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N:\Теплоснабжение\!!Общая папка\ТАРИФЫ\ТАРИФЫ 2024 ТЕПЛО_ГАЗ\НА САЙТ\"/>
    </mc:Choice>
  </mc:AlternateContent>
  <bookViews>
    <workbookView xWindow="-120" yWindow="780" windowWidth="19440" windowHeight="10260" tabRatio="690" firstSheet="1" activeTab="1"/>
  </bookViews>
  <sheets>
    <sheet name="БАЗА" sheetId="13" state="hidden" r:id="rId1"/>
    <sheet name=" 2024" sheetId="11" r:id="rId2"/>
    <sheet name="НВВ 2022" sheetId="29" state="hidden" r:id="rId3"/>
    <sheet name="ЗДЕСЬ ЗАПОЛНЯЕМ ТАРиОБЪЕМЫ  (2" sheetId="30" state="hidden" r:id="rId4"/>
    <sheet name="ЗДЕСЬ ЗАПОЛНЯЕМ ИСХОДНЫЙ 2024" sheetId="31" state="hidden" r:id="rId5"/>
    <sheet name="СМЕТА 2021-2022" sheetId="2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def1999" localSheetId="1">'[1]1999-veca'!#REF!</definedName>
    <definedName name="_def1999" localSheetId="4">'[1]1999-veca'!#REF!</definedName>
    <definedName name="_def1999" localSheetId="3">'[1]1999-veca'!#REF!</definedName>
    <definedName name="_def1999" localSheetId="2">'[1]1999-veca'!#REF!</definedName>
    <definedName name="_def1999" localSheetId="5">'[1]1999-veca'!#REF!</definedName>
    <definedName name="_def1999">'[1]1999-veca'!#REF!</definedName>
    <definedName name="_def2000г" localSheetId="1">#REF!</definedName>
    <definedName name="_def2000г" localSheetId="4">#REF!</definedName>
    <definedName name="_def2000г" localSheetId="3">#REF!</definedName>
    <definedName name="_def2000г" localSheetId="2">#REF!</definedName>
    <definedName name="_def2000г" localSheetId="5">#REF!</definedName>
    <definedName name="_def2000г">#REF!</definedName>
    <definedName name="_def2001г" localSheetId="1">#REF!</definedName>
    <definedName name="_def2001г" localSheetId="4">#REF!</definedName>
    <definedName name="_def2001г" localSheetId="3">#REF!</definedName>
    <definedName name="_def2001г" localSheetId="2">#REF!</definedName>
    <definedName name="_def2001г" localSheetId="5">#REF!</definedName>
    <definedName name="_def2001г">#REF!</definedName>
    <definedName name="_def2002г" localSheetId="1">#REF!</definedName>
    <definedName name="_def2002г" localSheetId="4">#REF!</definedName>
    <definedName name="_def2002г" localSheetId="3">#REF!</definedName>
    <definedName name="_def2002г" localSheetId="2">#REF!</definedName>
    <definedName name="_def2002г" localSheetId="5">#REF!</definedName>
    <definedName name="_def2002г">#REF!</definedName>
    <definedName name="_inf2000" localSheetId="1">#REF!</definedName>
    <definedName name="_inf2000" localSheetId="4">#REF!</definedName>
    <definedName name="_inf2000" localSheetId="3">#REF!</definedName>
    <definedName name="_inf2000" localSheetId="2">#REF!</definedName>
    <definedName name="_inf2000" localSheetId="5">#REF!</definedName>
    <definedName name="_inf2000">#REF!</definedName>
    <definedName name="_inf2001" localSheetId="1">#REF!</definedName>
    <definedName name="_inf2001" localSheetId="4">#REF!</definedName>
    <definedName name="_inf2001" localSheetId="3">#REF!</definedName>
    <definedName name="_inf2001" localSheetId="2">#REF!</definedName>
    <definedName name="_inf2001" localSheetId="5">#REF!</definedName>
    <definedName name="_inf2001">#REF!</definedName>
    <definedName name="_inf2002" localSheetId="1">#REF!</definedName>
    <definedName name="_inf2002" localSheetId="4">#REF!</definedName>
    <definedName name="_inf2002" localSheetId="3">#REF!</definedName>
    <definedName name="_inf2002" localSheetId="2">#REF!</definedName>
    <definedName name="_inf2002" localSheetId="5">#REF!</definedName>
    <definedName name="_inf2002">#REF!</definedName>
    <definedName name="_inf2003" localSheetId="1">#REF!</definedName>
    <definedName name="_inf2003" localSheetId="4">#REF!</definedName>
    <definedName name="_inf2003" localSheetId="3">#REF!</definedName>
    <definedName name="_inf2003" localSheetId="2">#REF!</definedName>
    <definedName name="_inf2003" localSheetId="5">#REF!</definedName>
    <definedName name="_inf2003">#REF!</definedName>
    <definedName name="_inf2004" localSheetId="1">#REF!</definedName>
    <definedName name="_inf2004" localSheetId="4">#REF!</definedName>
    <definedName name="_inf2004" localSheetId="3">#REF!</definedName>
    <definedName name="_inf2004" localSheetId="2">#REF!</definedName>
    <definedName name="_inf2004" localSheetId="5">#REF!</definedName>
    <definedName name="_inf2004">#REF!</definedName>
    <definedName name="_inf2005" localSheetId="1">#REF!</definedName>
    <definedName name="_inf2005" localSheetId="4">#REF!</definedName>
    <definedName name="_inf2005" localSheetId="3">#REF!</definedName>
    <definedName name="_inf2005" localSheetId="2">#REF!</definedName>
    <definedName name="_inf2005" localSheetId="5">#REF!</definedName>
    <definedName name="_inf2005">#REF!</definedName>
    <definedName name="_inf2006" localSheetId="1">#REF!</definedName>
    <definedName name="_inf2006" localSheetId="4">#REF!</definedName>
    <definedName name="_inf2006" localSheetId="3">#REF!</definedName>
    <definedName name="_inf2006" localSheetId="2">#REF!</definedName>
    <definedName name="_inf2006" localSheetId="5">#REF!</definedName>
    <definedName name="_inf2006">#REF!</definedName>
    <definedName name="_inf2007" localSheetId="1">#REF!</definedName>
    <definedName name="_inf2007" localSheetId="4">#REF!</definedName>
    <definedName name="_inf2007" localSheetId="3">#REF!</definedName>
    <definedName name="_inf2007" localSheetId="2">#REF!</definedName>
    <definedName name="_inf2007" localSheetId="5">#REF!</definedName>
    <definedName name="_inf2007">#REF!</definedName>
    <definedName name="_inf2008" localSheetId="1">#REF!</definedName>
    <definedName name="_inf2008" localSheetId="4">#REF!</definedName>
    <definedName name="_inf2008" localSheetId="3">#REF!</definedName>
    <definedName name="_inf2008" localSheetId="2">#REF!</definedName>
    <definedName name="_inf2008" localSheetId="5">#REF!</definedName>
    <definedName name="_inf2008">#REF!</definedName>
    <definedName name="_inf2009" localSheetId="1">#REF!</definedName>
    <definedName name="_inf2009" localSheetId="4">#REF!</definedName>
    <definedName name="_inf2009" localSheetId="3">#REF!</definedName>
    <definedName name="_inf2009" localSheetId="2">#REF!</definedName>
    <definedName name="_inf2009" localSheetId="5">#REF!</definedName>
    <definedName name="_inf2009">#REF!</definedName>
    <definedName name="_inf2010" localSheetId="1">#REF!</definedName>
    <definedName name="_inf2010" localSheetId="4">#REF!</definedName>
    <definedName name="_inf2010" localSheetId="3">#REF!</definedName>
    <definedName name="_inf2010" localSheetId="2">#REF!</definedName>
    <definedName name="_inf2010" localSheetId="5">#REF!</definedName>
    <definedName name="_inf2010">#REF!</definedName>
    <definedName name="_inf2011" localSheetId="1">#REF!</definedName>
    <definedName name="_inf2011" localSheetId="4">#REF!</definedName>
    <definedName name="_inf2011" localSheetId="3">#REF!</definedName>
    <definedName name="_inf2011" localSheetId="2">#REF!</definedName>
    <definedName name="_inf2011" localSheetId="5">#REF!</definedName>
    <definedName name="_inf2011">#REF!</definedName>
    <definedName name="_inf2012" localSheetId="1">#REF!</definedName>
    <definedName name="_inf2012" localSheetId="4">#REF!</definedName>
    <definedName name="_inf2012" localSheetId="3">#REF!</definedName>
    <definedName name="_inf2012" localSheetId="2">#REF!</definedName>
    <definedName name="_inf2012" localSheetId="5">#REF!</definedName>
    <definedName name="_inf2012">#REF!</definedName>
    <definedName name="_inf2013" localSheetId="1">#REF!</definedName>
    <definedName name="_inf2013" localSheetId="4">#REF!</definedName>
    <definedName name="_inf2013" localSheetId="3">#REF!</definedName>
    <definedName name="_inf2013" localSheetId="2">#REF!</definedName>
    <definedName name="_inf2013" localSheetId="5">#REF!</definedName>
    <definedName name="_inf2013">#REF!</definedName>
    <definedName name="_inf2014" localSheetId="1">#REF!</definedName>
    <definedName name="_inf2014" localSheetId="4">#REF!</definedName>
    <definedName name="_inf2014" localSheetId="3">#REF!</definedName>
    <definedName name="_inf2014" localSheetId="2">#REF!</definedName>
    <definedName name="_inf2014" localSheetId="5">#REF!</definedName>
    <definedName name="_inf2014">#REF!</definedName>
    <definedName name="_inf2015" localSheetId="1">#REF!</definedName>
    <definedName name="_inf2015" localSheetId="4">#REF!</definedName>
    <definedName name="_inf2015" localSheetId="3">#REF!</definedName>
    <definedName name="_inf2015" localSheetId="2">#REF!</definedName>
    <definedName name="_inf2015" localSheetId="5">#REF!</definedName>
    <definedName name="_inf2015">#REF!</definedName>
    <definedName name="_mm1" localSheetId="1">[2]ПРОГНОЗ_1!#REF!</definedName>
    <definedName name="_mm1" localSheetId="4">[2]ПРОГНОЗ_1!#REF!</definedName>
    <definedName name="_mm1" localSheetId="3">[2]ПРОГНОЗ_1!#REF!</definedName>
    <definedName name="_mm1" localSheetId="2">[2]ПРОГНОЗ_1!#REF!</definedName>
    <definedName name="_mm1" localSheetId="5">[2]ПРОГНОЗ_1!#REF!</definedName>
    <definedName name="_mm1">[2]ПРОГНОЗ_1!#REF!</definedName>
    <definedName name="_xlnm._FilterDatabase" localSheetId="1" hidden="1">' 2024'!$A$13:$S$377</definedName>
    <definedName name="_xlnm._FilterDatabase" localSheetId="0" hidden="1">БАЗА!$A$6:$AE$6</definedName>
    <definedName name="_xlnm._FilterDatabase" localSheetId="4" hidden="1">'ЗДЕСЬ ЗАПОЛНЯЕМ ИСХОДНЫЙ 2024'!$A$13:$GI$425</definedName>
    <definedName name="_xlnm._FilterDatabase" localSheetId="3" hidden="1">'ЗДЕСЬ ЗАПОЛНЯЕМ ТАРиОБЪЕМЫ  (2'!$A$13:$GI$427</definedName>
    <definedName name="_xlnm._FilterDatabase" localSheetId="2" hidden="1">'НВВ 2022'!$A$13:$DL$143</definedName>
    <definedName name="_xlnm._FilterDatabase" localSheetId="5" hidden="1">'СМЕТА 2021-2022'!$A$7:$MB$68</definedName>
    <definedName name="a04t" localSheetId="1">#REF!</definedName>
    <definedName name="a04t" localSheetId="4">#REF!</definedName>
    <definedName name="a04t" localSheetId="3">#REF!</definedName>
    <definedName name="a04t" localSheetId="2">#REF!</definedName>
    <definedName name="a04t" localSheetId="5">#REF!</definedName>
    <definedName name="a04t">#REF!</definedName>
    <definedName name="ajhvf1_140_3">[3]Форма1!$D$16</definedName>
    <definedName name="anscount" hidden="1">1</definedName>
    <definedName name="AVG_IDX_1">'[4]СРЕД 1'!$CV$74</definedName>
    <definedName name="AVG_IDX_10">'[4]СРЕД 10'!$CV$88</definedName>
    <definedName name="AVG_IDX_11">'[4]СРЕД 11'!$CV$78</definedName>
    <definedName name="AVG_IDX_12">'[4]СРЕД 12'!$CV$79</definedName>
    <definedName name="AVG_IDX_13">'[4]СРЕД 13'!$CV$86</definedName>
    <definedName name="AVG_IDX_14">'[4]СРЕД 14'!$CV$78</definedName>
    <definedName name="AVG_IDX_15">'[4]СРЕД 15'!$CV$84</definedName>
    <definedName name="AVG_IDX_2">'[4]СРЕД 2'!$CV$75</definedName>
    <definedName name="AVG_IDX_3">'[4]СРЕД 3'!$CV$98</definedName>
    <definedName name="AVG_IDX_4">'[4]СРЕД 4'!$CV$95</definedName>
    <definedName name="AVG_IDX_5">'[4]СРЕД 5'!$CV$73</definedName>
    <definedName name="AVG_IDX_6">'[4]СРЕД 6'!$CV$79</definedName>
    <definedName name="AVG_IDX_7">'[4]СРЕД 7'!$CV$80</definedName>
    <definedName name="AVG_IDX_8">'[4]СРЕД 8'!$CV$71</definedName>
    <definedName name="AVG_IDX_9">'[4]СРЕД 9'!$CV$86</definedName>
    <definedName name="AVG_IDX_OMSU_1">'[4]СРЕД 1'!$CX$74</definedName>
    <definedName name="AVG_IDX_OMSU_10">'[4]СРЕД 10'!$CX$88</definedName>
    <definedName name="AVG_IDX_OMSU_11">'[4]СРЕД 11'!$CX$78</definedName>
    <definedName name="AVG_IDX_OMSU_12">'[4]СРЕД 12'!$CX$79</definedName>
    <definedName name="AVG_IDX_OMSU_13">'[4]СРЕД 13'!$CX$86</definedName>
    <definedName name="AVG_IDX_OMSU_14">'[4]СРЕД 14'!$CX$78</definedName>
    <definedName name="AVG_IDX_OMSU_15">'[4]СРЕД 15'!$CX$84</definedName>
    <definedName name="AVG_IDX_OMSU_2">'[4]СРЕД 2'!$CX$75</definedName>
    <definedName name="AVG_IDX_OMSU_3">'[4]СРЕД 3'!$CX$98</definedName>
    <definedName name="AVG_IDX_OMSU_4">'[4]СРЕД 4'!$CX$95</definedName>
    <definedName name="AVG_IDX_OMSU_5">'[4]СРЕД 5'!$CX$73</definedName>
    <definedName name="AVG_IDX_OMSU_6">'[4]СРЕД 6'!$CX$79</definedName>
    <definedName name="AVG_IDX_OMSU_7">'[4]СРЕД 7'!$CX$80</definedName>
    <definedName name="AVG_IDX_OMSU_8">'[4]СРЕД 8'!$CX$71</definedName>
    <definedName name="AVG_IDX_OMSU_9">'[4]СРЕД 9'!$CX$86</definedName>
    <definedName name="base_month">[4]TECHSHEET!$K$6</definedName>
    <definedName name="base_period">[4]TECHSHEET!$K$7</definedName>
    <definedName name="BASE_TARIFF_LIST">[4]TECHSHEET!$D$95:$D$96</definedName>
    <definedName name="base_year">[4]TECHSHEET!$K$2</definedName>
    <definedName name="calc" localSheetId="1">#REF!</definedName>
    <definedName name="calc" localSheetId="4">#REF!</definedName>
    <definedName name="calc" localSheetId="3">#REF!</definedName>
    <definedName name="calc" localSheetId="2">#REF!</definedName>
    <definedName name="calc" localSheetId="5">#REF!</definedName>
    <definedName name="calc">#REF!</definedName>
    <definedName name="ddd" localSheetId="1">[5]ПРОГНОЗ_1!#REF!</definedName>
    <definedName name="ddd" localSheetId="4">[5]ПРОГНОЗ_1!#REF!</definedName>
    <definedName name="ddd" localSheetId="3">[5]ПРОГНОЗ_1!#REF!</definedName>
    <definedName name="ddd" localSheetId="2">[5]ПРОГНОЗ_1!#REF!</definedName>
    <definedName name="ddd" localSheetId="5">[5]ПРОГНОЗ_1!#REF!</definedName>
    <definedName name="ddd">[5]ПРОГНОЗ_1!#REF!</definedName>
    <definedName name="Det_141" localSheetId="1">'[6]5'!#REF!</definedName>
    <definedName name="Det_141" localSheetId="4">'[6]5'!#REF!</definedName>
    <definedName name="Det_141" localSheetId="3">'[6]5'!#REF!</definedName>
    <definedName name="Det_141" localSheetId="2">'[6]5'!#REF!</definedName>
    <definedName name="Det_141">'[6]5'!#REF!</definedName>
    <definedName name="DOCUMENT_SOURCE">[4]TECHSHEET!$D$165:$D$169</definedName>
    <definedName name="DOCUMENT_TYPES">[4]TECHSHEET!$D$173:$D$177</definedName>
    <definedName name="DOLL" localSheetId="1">#REF!</definedName>
    <definedName name="DOLL" localSheetId="4">#REF!</definedName>
    <definedName name="DOLL" localSheetId="3">#REF!</definedName>
    <definedName name="DOLL" localSheetId="2">#REF!</definedName>
    <definedName name="DOLL" localSheetId="5">#REF!</definedName>
    <definedName name="DOLL">#REF!</definedName>
    <definedName name="EE_1ST_FEATURE_LIST">[4]TECHSHEET!$D$107:$D$115</definedName>
    <definedName name="EE_ZONE_TARIFFING">[4]TECHSHEET!$D$55:$D$56</definedName>
    <definedName name="EOT_VS_TF_REASON_LIST">[4]TECHSHEET!$D$142:$D$144</definedName>
    <definedName name="Excel_BuiltIn_Print_Area_1_1" localSheetId="1">#REF!</definedName>
    <definedName name="Excel_BuiltIn_Print_Area_1_1" localSheetId="4">#REF!</definedName>
    <definedName name="Excel_BuiltIn_Print_Area_1_1" localSheetId="3">#REF!</definedName>
    <definedName name="Excel_BuiltIn_Print_Area_1_1" localSheetId="2">#REF!</definedName>
    <definedName name="Excel_BuiltIn_Print_Area_1_1" localSheetId="5">#REF!</definedName>
    <definedName name="Excel_BuiltIn_Print_Area_1_1">#REF!</definedName>
    <definedName name="ff" localSheetId="1">#REF!</definedName>
    <definedName name="ff" localSheetId="4">#REF!</definedName>
    <definedName name="ff" localSheetId="3">#REF!</definedName>
    <definedName name="ff" localSheetId="2">#REF!</definedName>
    <definedName name="ff" localSheetId="5">#REF!</definedName>
    <definedName name="ff">#REF!</definedName>
    <definedName name="fffff" localSheetId="1">'[7]Гр5(о)'!#REF!</definedName>
    <definedName name="fffff" localSheetId="4">'[7]Гр5(о)'!#REF!</definedName>
    <definedName name="fffff" localSheetId="3">'[7]Гр5(о)'!#REF!</definedName>
    <definedName name="fffff" localSheetId="2">'[7]Гр5(о)'!#REF!</definedName>
    <definedName name="fffff" localSheetId="5">'[7]Гр5(о)'!#REF!</definedName>
    <definedName name="fffff">'[7]Гр5(о)'!#REF!</definedName>
    <definedName name="GAS_LIQ_LIST">[4]TECHSHEET!$D$134:$D$138</definedName>
    <definedName name="gggg" localSheetId="1">#REF!</definedName>
    <definedName name="gggg" localSheetId="4">#REF!</definedName>
    <definedName name="gggg" localSheetId="3">#REF!</definedName>
    <definedName name="gggg" localSheetId="2">#REF!</definedName>
    <definedName name="gggg" localSheetId="5">#REF!</definedName>
    <definedName name="gggg">#REF!</definedName>
    <definedName name="jjjj" localSheetId="1">'[8]Гр5(о)'!#REF!</definedName>
    <definedName name="jjjj" localSheetId="4">'[8]Гр5(о)'!#REF!</definedName>
    <definedName name="jjjj" localSheetId="3">'[8]Гр5(о)'!#REF!</definedName>
    <definedName name="jjjj" localSheetId="2">'[8]Гр5(о)'!#REF!</definedName>
    <definedName name="jjjj" localSheetId="5">'[8]Гр5(о)'!#REF!</definedName>
    <definedName name="jjjj">'[8]Гр5(о)'!#REF!</definedName>
    <definedName name="KARTA">[9]KARTA!$A$1:$AJ$1211</definedName>
    <definedName name="LOGICAL">[4]TECHSHEET!$D$45:$D$46</definedName>
    <definedName name="MO_LIST_4">[4]REESTR_MO!$B$25:$B$38</definedName>
    <definedName name="MO_LIST_5">[4]REESTR_MO!$B$39:$B$54</definedName>
    <definedName name="MR_LIST">[4]REESTR_MO!$D$2:$D$34</definedName>
    <definedName name="MUNRAION">[10]TEHSHEET!$A$2:$A$74</definedName>
    <definedName name="NM_UNIT_LIST">[4]TECHSHEET!$D$87:$D$91</definedName>
    <definedName name="oblClient" localSheetId="1">[11]Переменные!#REF!</definedName>
    <definedName name="oblClient" localSheetId="4">[11]Переменные!#REF!</definedName>
    <definedName name="oblClient" localSheetId="3">[11]Переменные!#REF!</definedName>
    <definedName name="oblClient" localSheetId="2">[11]Переменные!#REF!</definedName>
    <definedName name="oblClient" localSheetId="5">[11]Переменные!#REF!</definedName>
    <definedName name="oblClient">[11]Переменные!#REF!</definedName>
    <definedName name="P19_T1_Protect" localSheetId="1" hidden="1">P5_T1_Protect,P6_T1_Protect,P7_T1_Protect,P8_T1_Protect,P9_T1_Protect,P10_T1_Protect,P11_T1_Protect,P12_T1_Protect,P13_T1_Protect,P14_T1_Protect</definedName>
    <definedName name="P19_T1_Protect" localSheetId="4" hidden="1">P5_T1_Protect,P6_T1_Protect,P7_T1_Protect,P8_T1_Protect,P9_T1_Protect,P10_T1_Protect,P11_T1_Protect,P12_T1_Protect,P13_T1_Protect,P14_T1_Protect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2" hidden="1">P5_T1_Protect,P6_T1_Protect,P7_T1_Protect,P8_T1_Protect,P9_T1_Protect,P10_T1_Protect,P11_T1_Protect,P12_T1_Protect,P13_T1_Protect,P14_T1_Protect</definedName>
    <definedName name="P19_T1_Protect" localSheetId="5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1" hidden="1">P5_T1_Protect,P6_T1_Protect,P7_T1_Protect,P8_T1_Protect,P9_T1_Protect,P10_T1_Protect,P11_T1_Protect,P12_T1_Protect,P13_T1_Protect,P14_T1_Protect</definedName>
    <definedName name="P19_T2_Protect" localSheetId="4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2" hidden="1">P5_T1_Protect,P6_T1_Protect,P7_T1_Protect,P8_T1_Protect,P9_T1_Protect,P10_T1_Protect,P11_T1_Protect,P12_T1_Protect,P13_T1_Protect,P14_T1_Protect</definedName>
    <definedName name="P19_T2_Protect" localSheetId="5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QUESTIONS_LIST">[4]TECHSHEET!$D$3:$D$10</definedName>
    <definedName name="RATE_JKU">'[4]Список МО'!$G$75</definedName>
    <definedName name="RATE_JKU_DOCS">'[4]Список МО'!$G$77</definedName>
    <definedName name="REGION_IDX_LIMIT_MIRROR">'[4]Список МО'!$M$73</definedName>
    <definedName name="REGION_IDX_VALUE_MIRROR">'[4]Список МО'!$M$69</definedName>
    <definedName name="regulation_year">[4]TECHSHEET!$K$3</definedName>
    <definedName name="report_month">[4]TECHSHEET!$K$5</definedName>
    <definedName name="report_period">[4]TECHSHEET!$K$8</definedName>
    <definedName name="RP_VS_BP_TF_REASON_LIST">[4]TECHSHEET!$D$148:$D$150</definedName>
    <definedName name="SAPBEXrevision" hidden="1">1</definedName>
    <definedName name="SAPBEXsysID" hidden="1">"BW2"</definedName>
    <definedName name="SAPBEXwbID" hidden="1">"479GSPMTNK9HM4ZSIVE5K2SH6"</definedName>
    <definedName name="SF_LIST">[4]TECHSHEET!$D$125:$D$130</definedName>
    <definedName name="SUBSID_SOURCE">[4]TECHSHEET!$D$119:$D$121</definedName>
    <definedName name="TARIFF_SOURCE_LIST">[4]TECHSHEET!$D$154:$D$156</definedName>
    <definedName name="time" localSheetId="1">#REF!</definedName>
    <definedName name="time" localSheetId="4">#REF!</definedName>
    <definedName name="time" localSheetId="3">#REF!</definedName>
    <definedName name="time" localSheetId="2">#REF!</definedName>
    <definedName name="time" localSheetId="5">#REF!</definedName>
    <definedName name="time">#REF!</definedName>
    <definedName name="title">'[12]Огл. Графиков'!$B$2:$B$31</definedName>
    <definedName name="UNITS_LIST">[4]TECHSHEET!$D$14:$D$15</definedName>
    <definedName name="version" hidden="1">[4]Инструкция!$B$3</definedName>
    <definedName name="VSNA_FEATURE_LIST">[4]TECHSHEET!$D$100:$D$103</definedName>
    <definedName name="YES_NO">[4]TECHSHEET!$D$160:$D$161</definedName>
    <definedName name="а" localSheetId="1">#REF!</definedName>
    <definedName name="а" localSheetId="4">#REF!</definedName>
    <definedName name="а" localSheetId="3">#REF!</definedName>
    <definedName name="а" localSheetId="2">#REF!</definedName>
    <definedName name="а" localSheetId="5">#REF!</definedName>
    <definedName name="а">#REF!</definedName>
    <definedName name="ааа" localSheetId="1">#REF!</definedName>
    <definedName name="ааа" localSheetId="4">#REF!</definedName>
    <definedName name="ааа" localSheetId="3">#REF!</definedName>
    <definedName name="ааа" localSheetId="2">#REF!</definedName>
    <definedName name="ааа" localSheetId="5">#REF!</definedName>
    <definedName name="ааа">#REF!</definedName>
    <definedName name="авв">[13]Содержание!$A$5:$IV$5</definedName>
    <definedName name="АнМ" localSheetId="1">'[14]Гр5(о)'!#REF!</definedName>
    <definedName name="АнМ" localSheetId="4">'[14]Гр5(о)'!#REF!</definedName>
    <definedName name="АнМ" localSheetId="3">'[14]Гр5(о)'!#REF!</definedName>
    <definedName name="АнМ" localSheetId="2">'[14]Гр5(о)'!#REF!</definedName>
    <definedName name="АнМ" localSheetId="5">'[14]Гр5(о)'!#REF!</definedName>
    <definedName name="АнМ">'[14]Гр5(о)'!#REF!</definedName>
    <definedName name="_xlnm.Database" localSheetId="1">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5">#REF!</definedName>
    <definedName name="_xlnm.Database">#REF!</definedName>
    <definedName name="База_данных2" localSheetId="1">#REF!</definedName>
    <definedName name="База_данных2" localSheetId="4">#REF!</definedName>
    <definedName name="База_данных2" localSheetId="3">#REF!</definedName>
    <definedName name="База_данных2" localSheetId="2">#REF!</definedName>
    <definedName name="База_данных2" localSheetId="5">#REF!</definedName>
    <definedName name="База_данных2">#REF!</definedName>
    <definedName name="в" localSheetId="1">#REF!</definedName>
    <definedName name="в" localSheetId="4">#REF!</definedName>
    <definedName name="в" localSheetId="3">#REF!</definedName>
    <definedName name="в" localSheetId="2">#REF!</definedName>
    <definedName name="в" localSheetId="5">#REF!</definedName>
    <definedName name="в">#REF!</definedName>
    <definedName name="вв" localSheetId="1">[15]ПРОГНОЗ_1!#REF!</definedName>
    <definedName name="вв" localSheetId="4">[15]ПРОГНОЗ_1!#REF!</definedName>
    <definedName name="вв" localSheetId="3">[15]ПРОГНОЗ_1!#REF!</definedName>
    <definedName name="вв" localSheetId="2">[15]ПРОГНОЗ_1!#REF!</definedName>
    <definedName name="вв" localSheetId="5">[15]ПРОГНОЗ_1!#REF!</definedName>
    <definedName name="вв">[15]ПРОГНОЗ_1!#REF!</definedName>
    <definedName name="Вып_н_2003" localSheetId="1">'[12]Текущие цены'!#REF!</definedName>
    <definedName name="Вып_н_2003" localSheetId="4">'[12]Текущие цены'!#REF!</definedName>
    <definedName name="Вып_н_2003" localSheetId="3">'[12]Текущие цены'!#REF!</definedName>
    <definedName name="Вып_н_2003" localSheetId="2">'[12]Текущие цены'!#REF!</definedName>
    <definedName name="Вып_н_2003">'[12]Текущие цены'!#REF!</definedName>
    <definedName name="вып_н_2004" localSheetId="1">'[12]Текущие цены'!#REF!</definedName>
    <definedName name="вып_н_2004" localSheetId="4">'[12]Текущие цены'!#REF!</definedName>
    <definedName name="вып_н_2004" localSheetId="3">'[12]Текущие цены'!#REF!</definedName>
    <definedName name="вып_н_2004" localSheetId="2">'[12]Текущие цены'!#REF!</definedName>
    <definedName name="вып_н_2004">'[12]Текущие цены'!#REF!</definedName>
    <definedName name="Вып_ОФ_с_пц">[12]рабочий!$Y$202:$AP$224</definedName>
    <definedName name="Вып_оф_с_цпг" localSheetId="1">'[12]Текущие цены'!#REF!</definedName>
    <definedName name="Вып_оф_с_цпг" localSheetId="4">'[12]Текущие цены'!#REF!</definedName>
    <definedName name="Вып_оф_с_цпг" localSheetId="3">'[12]Текущие цены'!#REF!</definedName>
    <definedName name="Вып_оф_с_цпг" localSheetId="2">'[12]Текущие цены'!#REF!</definedName>
    <definedName name="Вып_оф_с_цпг" localSheetId="5">'[12]Текущие цены'!#REF!</definedName>
    <definedName name="Вып_оф_с_цпг">'[12]Текущие цены'!#REF!</definedName>
    <definedName name="Вып_с_новых_ОФ">[12]рабочий!$Y$277:$AP$299</definedName>
    <definedName name="График">"Диагр. 4"</definedName>
    <definedName name="д" localSheetId="1">#REF!</definedName>
    <definedName name="д" localSheetId="4">#REF!</definedName>
    <definedName name="д" localSheetId="3">#REF!</definedName>
    <definedName name="д" localSheetId="2">#REF!</definedName>
    <definedName name="д" localSheetId="5">#REF!</definedName>
    <definedName name="д">#REF!</definedName>
    <definedName name="Дефл_ц_пред_год">'[12]Текущие цены'!$AT$36:$BK$58</definedName>
    <definedName name="Дефлятор_годовой">'[12]Текущие цены'!$Y$4:$AP$27</definedName>
    <definedName name="Дефлятор_цепной">'[12]Текущие цены'!$Y$36:$AP$58</definedName>
    <definedName name="ДС" localSheetId="1">#REF!</definedName>
    <definedName name="ДС" localSheetId="4">#REF!</definedName>
    <definedName name="ДС" localSheetId="3">#REF!</definedName>
    <definedName name="ДС" localSheetId="2">#REF!</definedName>
    <definedName name="ДС" localSheetId="5">#REF!</definedName>
    <definedName name="ДС">#REF!</definedName>
    <definedName name="енррненрнр" localSheetId="1">#REF!</definedName>
    <definedName name="енррненрнр" localSheetId="4">#REF!</definedName>
    <definedName name="енррненрнр" localSheetId="3">#REF!</definedName>
    <definedName name="енррненрнр" localSheetId="2">#REF!</definedName>
    <definedName name="енррненрнр" localSheetId="5">#REF!</definedName>
    <definedName name="енррненрнр">#REF!</definedName>
    <definedName name="_xlnm.Print_Titles" localSheetId="1">' 2024'!$10:$13</definedName>
    <definedName name="_xlnm.Print_Titles" localSheetId="4">'ЗДЕСЬ ЗАПОЛНЯЕМ ИСХОДНЫЙ 2024'!$10:$13</definedName>
    <definedName name="_xlnm.Print_Titles" localSheetId="3">'ЗДЕСЬ ЗАПОЛНЯЕМ ТАРиОБЪЕМЫ  (2'!$10:$13</definedName>
    <definedName name="_xlnm.Print_Titles" localSheetId="2">'НВВ 2022'!$10:$13</definedName>
    <definedName name="_xlnm.Print_Titles" localSheetId="5">'СМЕТА 2021-2022'!$B:$C</definedName>
    <definedName name="_xlnm.Print_Titles">[16]Содержание!$A$5:$IV$5</definedName>
    <definedName name="иии" localSheetId="1">#REF!</definedName>
    <definedName name="иии" localSheetId="4">#REF!</definedName>
    <definedName name="иии" localSheetId="3">#REF!</definedName>
    <definedName name="иии" localSheetId="2">#REF!</definedName>
    <definedName name="иии" localSheetId="5">#REF!</definedName>
    <definedName name="иии">#REF!</definedName>
    <definedName name="к" localSheetId="1">#REF!</definedName>
    <definedName name="к" localSheetId="4">#REF!</definedName>
    <definedName name="к" localSheetId="3">#REF!</definedName>
    <definedName name="к" localSheetId="2">#REF!</definedName>
    <definedName name="к" localSheetId="5">#REF!</definedName>
    <definedName name="к">#REF!</definedName>
    <definedName name="кв1__2" localSheetId="1">#REF!</definedName>
    <definedName name="кв1__2" localSheetId="4">#REF!</definedName>
    <definedName name="кв1__2" localSheetId="3">#REF!</definedName>
    <definedName name="кв1__2" localSheetId="2">#REF!</definedName>
    <definedName name="кв1__2" localSheetId="5">#REF!</definedName>
    <definedName name="кв1__2">#REF!</definedName>
    <definedName name="кв1_1" localSheetId="1">#REF!</definedName>
    <definedName name="кв1_1" localSheetId="4">#REF!</definedName>
    <definedName name="кв1_1" localSheetId="3">#REF!</definedName>
    <definedName name="кв1_1" localSheetId="2">#REF!</definedName>
    <definedName name="кв1_1" localSheetId="5">#REF!</definedName>
    <definedName name="кв1_1">#REF!</definedName>
    <definedName name="кв1_2" localSheetId="1">#REF!</definedName>
    <definedName name="кв1_2" localSheetId="4">#REF!</definedName>
    <definedName name="кв1_2" localSheetId="3">#REF!</definedName>
    <definedName name="кв1_2" localSheetId="2">#REF!</definedName>
    <definedName name="кв1_2" localSheetId="5">#REF!</definedName>
    <definedName name="кв1_2">#REF!</definedName>
    <definedName name="кв2_1" localSheetId="1">#REF!</definedName>
    <definedName name="кв2_1" localSheetId="4">#REF!</definedName>
    <definedName name="кв2_1" localSheetId="3">#REF!</definedName>
    <definedName name="кв2_1" localSheetId="2">#REF!</definedName>
    <definedName name="кв2_1" localSheetId="5">#REF!</definedName>
    <definedName name="кв2_1">#REF!</definedName>
    <definedName name="кв2_2" localSheetId="1">#REF!</definedName>
    <definedName name="кв2_2" localSheetId="4">#REF!</definedName>
    <definedName name="кв2_2" localSheetId="3">#REF!</definedName>
    <definedName name="кв2_2" localSheetId="2">#REF!</definedName>
    <definedName name="кв2_2" localSheetId="5">#REF!</definedName>
    <definedName name="кв2_2">#REF!</definedName>
    <definedName name="кв3_1" localSheetId="1">#REF!</definedName>
    <definedName name="кв3_1" localSheetId="4">#REF!</definedName>
    <definedName name="кв3_1" localSheetId="3">#REF!</definedName>
    <definedName name="кв3_1" localSheetId="2">#REF!</definedName>
    <definedName name="кв3_1" localSheetId="5">#REF!</definedName>
    <definedName name="кв3_1">#REF!</definedName>
    <definedName name="кв3_2" localSheetId="1">#REF!</definedName>
    <definedName name="кв3_2" localSheetId="4">#REF!</definedName>
    <definedName name="кв3_2" localSheetId="3">#REF!</definedName>
    <definedName name="кв3_2" localSheetId="2">#REF!</definedName>
    <definedName name="кв3_2" localSheetId="5">#REF!</definedName>
    <definedName name="кв3_2">#REF!</definedName>
    <definedName name="кв4_1" localSheetId="1">#REF!</definedName>
    <definedName name="кв4_1" localSheetId="4">#REF!</definedName>
    <definedName name="кв4_1" localSheetId="3">#REF!</definedName>
    <definedName name="кв4_1" localSheetId="2">#REF!</definedName>
    <definedName name="кв4_1" localSheetId="5">#REF!</definedName>
    <definedName name="кв4_1">#REF!</definedName>
    <definedName name="кв4_2" localSheetId="1">#REF!</definedName>
    <definedName name="кв4_2" localSheetId="4">#REF!</definedName>
    <definedName name="кв4_2" localSheetId="3">#REF!</definedName>
    <definedName name="кв4_2" localSheetId="2">#REF!</definedName>
    <definedName name="кв4_2" localSheetId="5">#REF!</definedName>
    <definedName name="кв4_2">#REF!</definedName>
    <definedName name="кост" localSheetId="1">#REF!</definedName>
    <definedName name="кост" localSheetId="4">#REF!</definedName>
    <definedName name="кост" localSheetId="3">#REF!</definedName>
    <definedName name="кост" localSheetId="2">#REF!</definedName>
    <definedName name="кост" localSheetId="5">#REF!</definedName>
    <definedName name="кост">#REF!</definedName>
    <definedName name="кредит" localSheetId="1">#REF!</definedName>
    <definedName name="кредит" localSheetId="4">#REF!</definedName>
    <definedName name="кредит" localSheetId="3">#REF!</definedName>
    <definedName name="кредит" localSheetId="2">#REF!</definedName>
    <definedName name="кредит" localSheetId="5">#REF!</definedName>
    <definedName name="кредит">#REF!</definedName>
    <definedName name="ллл" localSheetId="1">#REF!</definedName>
    <definedName name="ллл" localSheetId="4">#REF!</definedName>
    <definedName name="ллл" localSheetId="3">#REF!</definedName>
    <definedName name="ллл" localSheetId="2">#REF!</definedName>
    <definedName name="ллл" localSheetId="5">#REF!</definedName>
    <definedName name="ллл">#REF!</definedName>
    <definedName name="М1" localSheetId="1">[17]ПРОГНОЗ_1!#REF!</definedName>
    <definedName name="М1" localSheetId="4">[17]ПРОГНОЗ_1!#REF!</definedName>
    <definedName name="М1" localSheetId="3">[17]ПРОГНОЗ_1!#REF!</definedName>
    <definedName name="М1" localSheetId="2">[17]ПРОГНОЗ_1!#REF!</definedName>
    <definedName name="М1" localSheetId="5">[17]ПРОГНОЗ_1!#REF!</definedName>
    <definedName name="М1">[17]ПРОГНОЗ_1!#REF!</definedName>
    <definedName name="Модель2" localSheetId="1">#REF!</definedName>
    <definedName name="Модель2" localSheetId="4">#REF!</definedName>
    <definedName name="Модель2" localSheetId="3">#REF!</definedName>
    <definedName name="Модель2" localSheetId="2">#REF!</definedName>
    <definedName name="Модель2" localSheetId="5">#REF!</definedName>
    <definedName name="Модель2">#REF!</definedName>
    <definedName name="Мониторинг1" localSheetId="1">'[18]Гр5(о)'!#REF!</definedName>
    <definedName name="Мониторинг1" localSheetId="4">'[18]Гр5(о)'!#REF!</definedName>
    <definedName name="Мониторинг1" localSheetId="3">'[18]Гр5(о)'!#REF!</definedName>
    <definedName name="Мониторинг1" localSheetId="2">'[18]Гр5(о)'!#REF!</definedName>
    <definedName name="Мониторинг1" localSheetId="5">'[18]Гр5(о)'!#REF!</definedName>
    <definedName name="Мониторинг1">'[18]Гр5(о)'!#REF!</definedName>
    <definedName name="ннн" localSheetId="1">#REF!</definedName>
    <definedName name="ннн" localSheetId="4">#REF!</definedName>
    <definedName name="ннн" localSheetId="3">#REF!</definedName>
    <definedName name="ннн" localSheetId="2">#REF!</definedName>
    <definedName name="ннн" localSheetId="5">#REF!</definedName>
    <definedName name="ннн">#REF!</definedName>
    <definedName name="новые_ОФ_2003">[12]рабочий!$F$305:$W$327</definedName>
    <definedName name="новые_ОФ_2004">[12]рабочий!$F$335:$W$357</definedName>
    <definedName name="новые_ОФ_а_всего">[12]рабочий!$F$767:$V$789</definedName>
    <definedName name="новые_ОФ_всего">[12]рабочий!$F$1331:$V$1353</definedName>
    <definedName name="новые_ОФ_п_всего">[12]рабочий!$F$1293:$V$1315</definedName>
    <definedName name="нр" localSheetId="1">#REF!</definedName>
    <definedName name="нр" localSheetId="4">#REF!</definedName>
    <definedName name="нр" localSheetId="3">#REF!</definedName>
    <definedName name="нр" localSheetId="2">#REF!</definedName>
    <definedName name="нр" localSheetId="5">#REF!</definedName>
    <definedName name="нр">#REF!</definedName>
    <definedName name="_xlnm.Print_Area" localSheetId="1">' 2024'!$B$1:$S$141</definedName>
    <definedName name="_xlnm.Print_Area" localSheetId="4">'ЗДЕСЬ ЗАПОЛНЯЕМ ИСХОДНЫЙ 2024'!$B$1:$AH$161</definedName>
    <definedName name="_xlnm.Print_Area" localSheetId="3">'ЗДЕСЬ ЗАПОЛНЯЕМ ТАРиОБЪЕМЫ  (2'!$B$1:$AH$163</definedName>
    <definedName name="_xlnm.Print_Area" localSheetId="2">'НВВ 2022'!$B$1:$AH$160</definedName>
    <definedName name="Оглавление">[19]Содержание!$A$5:$IV$5</definedName>
    <definedName name="окраска_05">[12]окраска!$C$7:$Z$30</definedName>
    <definedName name="окраска_06">[12]окраска!$C$35:$Z$58</definedName>
    <definedName name="окраска_07">[12]окраска!$C$63:$Z$86</definedName>
    <definedName name="окраска_08">[12]окраска!$C$91:$Z$114</definedName>
    <definedName name="окраска_09">[12]окраска!$C$119:$Z$142</definedName>
    <definedName name="окраска_10">[12]окраска!$C$147:$Z$170</definedName>
    <definedName name="окраска_11">[12]окраска!$C$175:$Z$198</definedName>
    <definedName name="окраска_12">[12]окраска!$C$203:$Z$226</definedName>
    <definedName name="окраска_13">[12]окраска!$C$231:$Z$254</definedName>
    <definedName name="окраска_14">[12]окраска!$C$259:$Z$282</definedName>
    <definedName name="окраска_15">[12]окраска!$C$287:$Z$310</definedName>
    <definedName name="ооо" localSheetId="1">#REF!</definedName>
    <definedName name="ооо" localSheetId="4">#REF!</definedName>
    <definedName name="ооо" localSheetId="3">#REF!</definedName>
    <definedName name="ооо" localSheetId="2">#REF!</definedName>
    <definedName name="ооо" localSheetId="5">#REF!</definedName>
    <definedName name="ооо">#REF!</definedName>
    <definedName name="ОФ_а_с_пц">[12]рабочий!$CI$121:$CY$143</definedName>
    <definedName name="оф_н_а_2003_пц" localSheetId="1">'[12]Текущие цены'!#REF!</definedName>
    <definedName name="оф_н_а_2003_пц" localSheetId="4">'[12]Текущие цены'!#REF!</definedName>
    <definedName name="оф_н_а_2003_пц" localSheetId="3">'[12]Текущие цены'!#REF!</definedName>
    <definedName name="оф_н_а_2003_пц" localSheetId="2">'[12]Текущие цены'!#REF!</definedName>
    <definedName name="оф_н_а_2003_пц" localSheetId="5">'[12]Текущие цены'!#REF!</definedName>
    <definedName name="оф_н_а_2003_пц">'[12]Текущие цены'!#REF!</definedName>
    <definedName name="оф_н_а_2004" localSheetId="1">'[12]Текущие цены'!#REF!</definedName>
    <definedName name="оф_н_а_2004" localSheetId="4">'[12]Текущие цены'!#REF!</definedName>
    <definedName name="оф_н_а_2004" localSheetId="3">'[12]Текущие цены'!#REF!</definedName>
    <definedName name="оф_н_а_2004" localSheetId="2">'[12]Текущие цены'!#REF!</definedName>
    <definedName name="оф_н_а_2004">'[12]Текущие цены'!#REF!</definedName>
    <definedName name="пар">[20]KARTA!$A$1:$AJ$1211</definedName>
    <definedName name="ПОКАЗАТЕЛИ_ДОЛГОСР.ПРОГНОЗА" localSheetId="1">#REF!</definedName>
    <definedName name="ПОКАЗАТЕЛИ_ДОЛГОСР.ПРОГНОЗА" localSheetId="4">#REF!</definedName>
    <definedName name="ПОКАЗАТЕЛИ_ДОЛГОСР.ПРОГНОЗА" localSheetId="3">#REF!</definedName>
    <definedName name="ПОКАЗАТЕЛИ_ДОЛГОСР.ПРОГНОЗА" localSheetId="2">#REF!</definedName>
    <definedName name="ПОКАЗАТЕЛИ_ДОЛГОСР.ПРОГНОЗА" localSheetId="5">#REF!</definedName>
    <definedName name="ПОКАЗАТЕЛИ_ДОЛГОСР.ПРОГНОЗА">#REF!</definedName>
    <definedName name="покупок">[21]Содержание!$A$5:$IV$5</definedName>
    <definedName name="ПОТР._РЫНОКДП" localSheetId="1">'[1]1999-veca'!#REF!</definedName>
    <definedName name="ПОТР._РЫНОКДП" localSheetId="4">'[1]1999-veca'!#REF!</definedName>
    <definedName name="ПОТР._РЫНОКДП" localSheetId="3">'[1]1999-veca'!#REF!</definedName>
    <definedName name="ПОТР._РЫНОКДП" localSheetId="2">'[1]1999-veca'!#REF!</definedName>
    <definedName name="ПОТР._РЫНОКДП" localSheetId="5">'[1]1999-veca'!#REF!</definedName>
    <definedName name="ПОТР._РЫНОКДП">'[1]1999-veca'!#REF!</definedName>
    <definedName name="Потреб_вып_всего" localSheetId="1">'[12]Текущие цены'!#REF!</definedName>
    <definedName name="Потреб_вып_всего" localSheetId="4">'[12]Текущие цены'!#REF!</definedName>
    <definedName name="Потреб_вып_всего" localSheetId="3">'[12]Текущие цены'!#REF!</definedName>
    <definedName name="Потреб_вып_всего" localSheetId="2">'[12]Текущие цены'!#REF!</definedName>
    <definedName name="Потреб_вып_всего">'[12]Текущие цены'!#REF!</definedName>
    <definedName name="Потреб_вып_оф_н_цпг" localSheetId="1">'[12]Текущие цены'!#REF!</definedName>
    <definedName name="Потреб_вып_оф_н_цпг" localSheetId="4">'[12]Текущие цены'!#REF!</definedName>
    <definedName name="Потреб_вып_оф_н_цпг" localSheetId="3">'[12]Текущие цены'!#REF!</definedName>
    <definedName name="Потреб_вып_оф_н_цпг" localSheetId="2">'[12]Текущие цены'!#REF!</definedName>
    <definedName name="Потреб_вып_оф_н_цпг">'[12]Текущие цены'!#REF!</definedName>
    <definedName name="ппп" localSheetId="1">#REF!</definedName>
    <definedName name="ппп" localSheetId="4">#REF!</definedName>
    <definedName name="ппп" localSheetId="3">#REF!</definedName>
    <definedName name="ппп" localSheetId="2">#REF!</definedName>
    <definedName name="ппп" localSheetId="5">#REF!</definedName>
    <definedName name="ппп">#REF!</definedName>
    <definedName name="пппп" localSheetId="1">'[22]2002(v1)'!#REF!</definedName>
    <definedName name="пппп" localSheetId="4">'[22]2002(v1)'!#REF!</definedName>
    <definedName name="пппп" localSheetId="3">'[22]2002(v1)'!#REF!</definedName>
    <definedName name="пппп" localSheetId="2">'[22]2002(v1)'!#REF!</definedName>
    <definedName name="пппп" localSheetId="5">'[22]2002(v1)'!#REF!</definedName>
    <definedName name="пппп">'[22]2002(v1)'!#REF!</definedName>
    <definedName name="пр" localSheetId="1">#REF!</definedName>
    <definedName name="пр" localSheetId="4">#REF!</definedName>
    <definedName name="пр" localSheetId="3">#REF!</definedName>
    <definedName name="пр" localSheetId="2">#REF!</definedName>
    <definedName name="пр" localSheetId="5">#REF!</definedName>
    <definedName name="пр">#REF!</definedName>
    <definedName name="про" localSheetId="1">#REF!</definedName>
    <definedName name="про" localSheetId="4">#REF!</definedName>
    <definedName name="про" localSheetId="3">#REF!</definedName>
    <definedName name="про" localSheetId="2">#REF!</definedName>
    <definedName name="про" localSheetId="5">#REF!</definedName>
    <definedName name="про">#REF!</definedName>
    <definedName name="про1" localSheetId="1">#REF!</definedName>
    <definedName name="про1" localSheetId="4">#REF!</definedName>
    <definedName name="про1" localSheetId="3">#REF!</definedName>
    <definedName name="про1" localSheetId="2">#REF!</definedName>
    <definedName name="про1" localSheetId="5">#REF!</definedName>
    <definedName name="про1">#REF!</definedName>
    <definedName name="про2" localSheetId="1">#REF!</definedName>
    <definedName name="про2" localSheetId="4">#REF!</definedName>
    <definedName name="про2" localSheetId="3">#REF!</definedName>
    <definedName name="про2" localSheetId="2">#REF!</definedName>
    <definedName name="про2" localSheetId="5">#REF!</definedName>
    <definedName name="про2">#REF!</definedName>
    <definedName name="про3" localSheetId="1">#REF!</definedName>
    <definedName name="про3" localSheetId="4">#REF!</definedName>
    <definedName name="про3" localSheetId="3">#REF!</definedName>
    <definedName name="про3" localSheetId="2">#REF!</definedName>
    <definedName name="про3" localSheetId="5">#REF!</definedName>
    <definedName name="про3">#REF!</definedName>
    <definedName name="про4" localSheetId="1">#REF!</definedName>
    <definedName name="про4" localSheetId="4">#REF!</definedName>
    <definedName name="про4" localSheetId="3">#REF!</definedName>
    <definedName name="про4" localSheetId="2">#REF!</definedName>
    <definedName name="про4" localSheetId="5">#REF!</definedName>
    <definedName name="про4">#REF!</definedName>
    <definedName name="про5" localSheetId="1">#REF!</definedName>
    <definedName name="про5" localSheetId="4">#REF!</definedName>
    <definedName name="про5" localSheetId="3">#REF!</definedName>
    <definedName name="про5" localSheetId="2">#REF!</definedName>
    <definedName name="про5" localSheetId="5">#REF!</definedName>
    <definedName name="про5">#REF!</definedName>
    <definedName name="про6" localSheetId="1">#REF!</definedName>
    <definedName name="про6" localSheetId="4">#REF!</definedName>
    <definedName name="про6" localSheetId="3">#REF!</definedName>
    <definedName name="про6" localSheetId="2">#REF!</definedName>
    <definedName name="про6" localSheetId="5">#REF!</definedName>
    <definedName name="про6">#REF!</definedName>
    <definedName name="про7" localSheetId="1">#REF!</definedName>
    <definedName name="про7" localSheetId="4">#REF!</definedName>
    <definedName name="про7" localSheetId="3">#REF!</definedName>
    <definedName name="про7" localSheetId="2">#REF!</definedName>
    <definedName name="про7" localSheetId="5">#REF!</definedName>
    <definedName name="про7">#REF!</definedName>
    <definedName name="Прогноз_Вып_пц">[12]рабочий!$Y$240:$AP$262</definedName>
    <definedName name="Прогноз_вып_цпг" localSheetId="1">'[12]Текущие цены'!#REF!</definedName>
    <definedName name="Прогноз_вып_цпг" localSheetId="4">'[12]Текущие цены'!#REF!</definedName>
    <definedName name="Прогноз_вып_цпг" localSheetId="3">'[12]Текущие цены'!#REF!</definedName>
    <definedName name="Прогноз_вып_цпг" localSheetId="2">'[12]Текущие цены'!#REF!</definedName>
    <definedName name="Прогноз_вып_цпг" localSheetId="5">'[12]Текущие цены'!#REF!</definedName>
    <definedName name="Прогноз_вып_цпг">'[12]Текущие цены'!#REF!</definedName>
    <definedName name="Прогноз97" localSheetId="1">[23]ПРОГНОЗ_1!#REF!</definedName>
    <definedName name="Прогноз97" localSheetId="4">[23]ПРОГНОЗ_1!#REF!</definedName>
    <definedName name="Прогноз97" localSheetId="3">[23]ПРОГНОЗ_1!#REF!</definedName>
    <definedName name="Прогноз97" localSheetId="2">[23]ПРОГНОЗ_1!#REF!</definedName>
    <definedName name="Прогноз97">[23]ПРОГНОЗ_1!#REF!</definedName>
    <definedName name="ррр" localSheetId="1">#REF!</definedName>
    <definedName name="ррр" localSheetId="4">#REF!</definedName>
    <definedName name="ррр" localSheetId="3">#REF!</definedName>
    <definedName name="ррр" localSheetId="2">#REF!</definedName>
    <definedName name="ррр" localSheetId="5">#REF!</definedName>
    <definedName name="ррр">#REF!</definedName>
    <definedName name="СПИСОК_СТОЛБЦОВ">[24]База_А!$H$1:$N$1</definedName>
    <definedName name="СПИСОК_СТОЛБЦОВ_2" localSheetId="5">БАЗА!$H$6:$AD$6</definedName>
    <definedName name="СПИСОК_СТОЛБЦОВ_2">БАЗА!$H$6:$AD$6</definedName>
    <definedName name="ттт" localSheetId="1">#REF!</definedName>
    <definedName name="ттт" localSheetId="4">#REF!</definedName>
    <definedName name="ттт" localSheetId="3">#REF!</definedName>
    <definedName name="ттт" localSheetId="2">#REF!</definedName>
    <definedName name="ттт" localSheetId="5">#REF!</definedName>
    <definedName name="ттт">#REF!</definedName>
    <definedName name="у" localSheetId="1">#REF!</definedName>
    <definedName name="у" localSheetId="4">#REF!</definedName>
    <definedName name="у" localSheetId="3">#REF!</definedName>
    <definedName name="у" localSheetId="2">#REF!</definedName>
    <definedName name="у" localSheetId="5">#REF!</definedName>
    <definedName name="у">#REF!</definedName>
    <definedName name="фо_а_н_пц">[12]рабочий!$AR$240:$BI$263</definedName>
    <definedName name="фо_а_с_пц">[12]рабочий!$AS$202:$BI$224</definedName>
    <definedName name="фо_н_03">[12]рабочий!$X$305:$X$327</definedName>
    <definedName name="фо_н_04">[12]рабочий!$X$335:$X$357</definedName>
    <definedName name="форма_56" localSheetId="1">#REF!</definedName>
    <definedName name="форма_56" localSheetId="4">#REF!</definedName>
    <definedName name="форма_56" localSheetId="3">#REF!</definedName>
    <definedName name="форма_56" localSheetId="2">#REF!</definedName>
    <definedName name="форма_56" localSheetId="5">#REF!</definedName>
    <definedName name="форма_56">#REF!</definedName>
    <definedName name="форма1_110_3">[25]Форма1!$D$5</definedName>
    <definedName name="форма1_120_3">[25]Форма1!$D$9</definedName>
    <definedName name="форма1_120_4">[26]Форма1!$D$9</definedName>
    <definedName name="форма1_125_2">[25]Форма1!$D$13</definedName>
    <definedName name="форма1_130_3">[25]Форма1!$D$12</definedName>
    <definedName name="форма1_135_3">[25]Форма1!$D$13</definedName>
    <definedName name="форма1_135_9">[26]Форма1!$D$13</definedName>
    <definedName name="форма1_140_3">[25]Форма1!$D$16</definedName>
    <definedName name="форма1_150_3">[25]Форма1!$D$22</definedName>
    <definedName name="форма1_210_3">[25]Форма1!$D$26</definedName>
    <definedName name="форма1_230_3">[25]Форма1!$D$35</definedName>
    <definedName name="форма1_240_3">[25]Форма1!$D$41</definedName>
    <definedName name="форма1_250_3">[25]Форма1!$D$48</definedName>
    <definedName name="форма1_260_3">[25]Форма1!$D$52</definedName>
    <definedName name="форма1_270_3">[25]Форма1!$D$57</definedName>
    <definedName name="форма1_450_3">[25]Форма1!$D$70</definedName>
    <definedName name="форма1_510_3">[25]Форма1!$D$77</definedName>
    <definedName name="форма1_610_3">[25]Форма1!$D$83</definedName>
    <definedName name="форма1_620_3">[25]Форма1!$D$86</definedName>
    <definedName name="форма1_650_3">[25]Форма1!$D$97</definedName>
    <definedName name="форма1_660_3">[25]Форма1!$D$98</definedName>
    <definedName name="форма3_150_3">[25]Форма3!$D$57</definedName>
    <definedName name="форма7_333_1">[25]Форма1!$D$48</definedName>
    <definedName name="форма7_333_3">[25]Форма1!$D$52</definedName>
    <definedName name="фф" localSheetId="1">'[27]Гр5(о)'!#REF!</definedName>
    <definedName name="фф" localSheetId="4">'[27]Гр5(о)'!#REF!</definedName>
    <definedName name="фф" localSheetId="3">'[27]Гр5(о)'!#REF!</definedName>
    <definedName name="фф" localSheetId="2">'[27]Гр5(о)'!#REF!</definedName>
    <definedName name="фф" localSheetId="5">'[27]Гр5(о)'!#REF!</definedName>
    <definedName name="фф">'[27]Гр5(о)'!#REF!</definedName>
    <definedName name="ффф" localSheetId="1">#REF!</definedName>
    <definedName name="ффф" localSheetId="4">#REF!</definedName>
    <definedName name="ффф" localSheetId="3">#REF!</definedName>
    <definedName name="ффф" localSheetId="2">#REF!</definedName>
    <definedName name="ффф" localSheetId="5">#REF!</definedName>
    <definedName name="ффф">#REF!</definedName>
    <definedName name="хххх" localSheetId="1" hidden="1">P5_T1_Protect,P6_T1_Protect,P7_T1_Protect,P8_T1_Protect,P9_T1_Protect,P10_T1_Protect,P11_T1_Protect,P12_T1_Protect,P13_T1_Protect,P14_T1_Protect</definedName>
    <definedName name="хххх" localSheetId="4" hidden="1">P5_T1_Protect,P6_T1_Protect,P7_T1_Protect,P8_T1_Protect,P9_T1_Protect,P10_T1_Protect,P11_T1_Protect,P12_T1_Protect,P13_T1_Protect,P14_T1_Protect</definedName>
    <definedName name="хххх" localSheetId="3" hidden="1">P5_T1_Protect,P6_T1_Protect,P7_T1_Protect,P8_T1_Protect,P9_T1_Protect,P10_T1_Protect,P11_T1_Protect,P12_T1_Protect,P13_T1_Protect,P14_T1_Protect</definedName>
    <definedName name="хххх" localSheetId="2" hidden="1">P5_T1_Protect,P6_T1_Protect,P7_T1_Protect,P8_T1_Protect,P9_T1_Protect,P10_T1_Protect,P11_T1_Protect,P12_T1_Protect,P13_T1_Protect,P14_T1_Protect</definedName>
    <definedName name="хххх" localSheetId="5" hidden="1">P5_T1_Protect,P6_T1_Protect,P7_T1_Protect,P8_T1_Protect,P9_T1_Protect,P10_T1_Protect,P11_T1_Protect,P12_T1_Protect,P13_T1_Protect,P14_T1_Protect</definedName>
    <definedName name="хххх" hidden="1">P5_T1_Protect,P6_T1_Protect,P7_T1_Protect,P8_T1_Protect,P9_T1_Protect,P10_T1_Protect,P11_T1_Protect,P12_T1_Protect,P13_T1_Protect,P14_T1_Protect</definedName>
    <definedName name="ш" localSheetId="1">#REF!</definedName>
    <definedName name="ш" localSheetId="4">#REF!</definedName>
    <definedName name="ш" localSheetId="3">#REF!</definedName>
    <definedName name="ш" localSheetId="2">#REF!</definedName>
    <definedName name="ш" localSheetId="5">#REF!</definedName>
    <definedName name="ш">#REF!</definedName>
    <definedName name="ы" localSheetId="1">#REF!</definedName>
    <definedName name="ы" localSheetId="4">#REF!</definedName>
    <definedName name="ы" localSheetId="3">#REF!</definedName>
    <definedName name="ы" localSheetId="2">#REF!</definedName>
    <definedName name="ы" localSheetId="5">#REF!</definedName>
    <definedName name="ы">#REF!</definedName>
    <definedName name="ььь" localSheetId="1">#REF!</definedName>
    <definedName name="ььь" localSheetId="4">#REF!</definedName>
    <definedName name="ььь" localSheetId="3">#REF!</definedName>
    <definedName name="ььь" localSheetId="2">#REF!</definedName>
    <definedName name="ььь" localSheetId="5">#REF!</definedName>
    <definedName name="ььь">#REF!</definedName>
    <definedName name="э" localSheetId="1">#REF!</definedName>
    <definedName name="э" localSheetId="4">#REF!</definedName>
    <definedName name="э" localSheetId="3">#REF!</definedName>
    <definedName name="э" localSheetId="2">#REF!</definedName>
    <definedName name="э" localSheetId="5">#REF!</definedName>
    <definedName name="э">#REF!</definedName>
    <definedName name="юююю" localSheetId="1">#REF!</definedName>
    <definedName name="юююю" localSheetId="4">#REF!</definedName>
    <definedName name="юююю" localSheetId="3">#REF!</definedName>
    <definedName name="юююю" localSheetId="2">#REF!</definedName>
    <definedName name="юююю" localSheetId="5">#REF!</definedName>
    <definedName name="юююю">#REF!</definedName>
  </definedNames>
  <calcPr calcId="162913"/>
</workbook>
</file>

<file path=xl/calcChain.xml><?xml version="1.0" encoding="utf-8"?>
<calcChain xmlns="http://schemas.openxmlformats.org/spreadsheetml/2006/main">
  <c r="O139" i="11" l="1"/>
  <c r="I139" i="11"/>
  <c r="X134" i="13" l="1"/>
  <c r="G125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6" i="13"/>
  <c r="G127" i="13"/>
  <c r="G128" i="13"/>
  <c r="G129" i="13"/>
  <c r="G130" i="13"/>
  <c r="G131" i="13"/>
  <c r="G132" i="13"/>
  <c r="G133" i="13"/>
  <c r="G134" i="13"/>
  <c r="L7" i="13"/>
  <c r="S7" i="13"/>
  <c r="U7" i="13"/>
  <c r="Q7" i="13" s="1"/>
  <c r="I7" i="13" s="1"/>
  <c r="I3" i="13" s="1"/>
  <c r="W7" i="13"/>
  <c r="L8" i="13"/>
  <c r="S8" i="13"/>
  <c r="U8" i="13"/>
  <c r="W8" i="13"/>
  <c r="L9" i="13"/>
  <c r="S9" i="13"/>
  <c r="U9" i="13"/>
  <c r="W9" i="13"/>
  <c r="L10" i="13"/>
  <c r="S10" i="13"/>
  <c r="U10" i="13"/>
  <c r="Q10" i="13" s="1"/>
  <c r="W10" i="13"/>
  <c r="L11" i="13"/>
  <c r="S11" i="13"/>
  <c r="U11" i="13"/>
  <c r="W11" i="13"/>
  <c r="L12" i="13"/>
  <c r="S12" i="13"/>
  <c r="U12" i="13"/>
  <c r="W12" i="13"/>
  <c r="L13" i="13"/>
  <c r="S13" i="13"/>
  <c r="U13" i="13"/>
  <c r="W13" i="13"/>
  <c r="L14" i="13"/>
  <c r="S14" i="13"/>
  <c r="U14" i="13"/>
  <c r="W14" i="13"/>
  <c r="L15" i="13"/>
  <c r="S15" i="13"/>
  <c r="U15" i="13"/>
  <c r="Q15" i="13" s="1"/>
  <c r="W15" i="13"/>
  <c r="L16" i="13"/>
  <c r="S16" i="13"/>
  <c r="U16" i="13"/>
  <c r="W16" i="13"/>
  <c r="L17" i="13"/>
  <c r="S17" i="13"/>
  <c r="U17" i="13"/>
  <c r="W17" i="13"/>
  <c r="L18" i="13"/>
  <c r="S18" i="13"/>
  <c r="U18" i="13"/>
  <c r="Q18" i="13" s="1"/>
  <c r="W18" i="13"/>
  <c r="L19" i="13"/>
  <c r="S19" i="13"/>
  <c r="U19" i="13"/>
  <c r="W19" i="13"/>
  <c r="L20" i="13"/>
  <c r="S20" i="13"/>
  <c r="U20" i="13"/>
  <c r="W20" i="13"/>
  <c r="L21" i="13"/>
  <c r="S21" i="13"/>
  <c r="U21" i="13"/>
  <c r="W21" i="13"/>
  <c r="L22" i="13"/>
  <c r="S22" i="13"/>
  <c r="U22" i="13"/>
  <c r="Q22" i="13" s="1"/>
  <c r="W22" i="13"/>
  <c r="L23" i="13"/>
  <c r="S23" i="13"/>
  <c r="U23" i="13"/>
  <c r="W23" i="13"/>
  <c r="L24" i="13"/>
  <c r="S24" i="13"/>
  <c r="U24" i="13"/>
  <c r="W24" i="13"/>
  <c r="L25" i="13"/>
  <c r="S25" i="13"/>
  <c r="U25" i="13"/>
  <c r="W25" i="13"/>
  <c r="L26" i="13"/>
  <c r="S26" i="13"/>
  <c r="U26" i="13"/>
  <c r="W26" i="13"/>
  <c r="L27" i="13"/>
  <c r="S27" i="13"/>
  <c r="U27" i="13"/>
  <c r="Q27" i="13" s="1"/>
  <c r="W27" i="13"/>
  <c r="L28" i="13"/>
  <c r="S28" i="13"/>
  <c r="U28" i="13"/>
  <c r="W28" i="13"/>
  <c r="L29" i="13"/>
  <c r="S29" i="13"/>
  <c r="U29" i="13"/>
  <c r="W29" i="13"/>
  <c r="L30" i="13"/>
  <c r="S30" i="13"/>
  <c r="U30" i="13"/>
  <c r="Q30" i="13" s="1"/>
  <c r="W30" i="13"/>
  <c r="L31" i="13"/>
  <c r="S31" i="13"/>
  <c r="U31" i="13"/>
  <c r="Q31" i="13" s="1"/>
  <c r="W31" i="13"/>
  <c r="L32" i="13"/>
  <c r="S32" i="13"/>
  <c r="U32" i="13"/>
  <c r="W32" i="13"/>
  <c r="L33" i="13"/>
  <c r="S33" i="13"/>
  <c r="U33" i="13"/>
  <c r="W33" i="13"/>
  <c r="L34" i="13"/>
  <c r="S34" i="13"/>
  <c r="U34" i="13"/>
  <c r="Q34" i="13" s="1"/>
  <c r="W34" i="13"/>
  <c r="L35" i="13"/>
  <c r="S35" i="13"/>
  <c r="U35" i="13"/>
  <c r="W35" i="13"/>
  <c r="L36" i="13"/>
  <c r="S36" i="13"/>
  <c r="U36" i="13"/>
  <c r="W36" i="13"/>
  <c r="L37" i="13"/>
  <c r="S37" i="13"/>
  <c r="U37" i="13"/>
  <c r="W37" i="13"/>
  <c r="L38" i="13"/>
  <c r="S38" i="13"/>
  <c r="U38" i="13"/>
  <c r="W38" i="13"/>
  <c r="L39" i="13"/>
  <c r="S39" i="13"/>
  <c r="U39" i="13"/>
  <c r="Q39" i="13" s="1"/>
  <c r="W39" i="13"/>
  <c r="L40" i="13"/>
  <c r="S40" i="13"/>
  <c r="U40" i="13"/>
  <c r="W40" i="13"/>
  <c r="L41" i="13"/>
  <c r="S41" i="13"/>
  <c r="U41" i="13"/>
  <c r="W41" i="13"/>
  <c r="L42" i="13"/>
  <c r="S42" i="13"/>
  <c r="U42" i="13"/>
  <c r="Q42" i="13" s="1"/>
  <c r="W42" i="13"/>
  <c r="L43" i="13"/>
  <c r="S43" i="13"/>
  <c r="U43" i="13"/>
  <c r="Q43" i="13" s="1"/>
  <c r="I43" i="13" s="1"/>
  <c r="W43" i="13"/>
  <c r="L44" i="13"/>
  <c r="S44" i="13"/>
  <c r="U44" i="13"/>
  <c r="W44" i="13"/>
  <c r="L45" i="13"/>
  <c r="S45" i="13"/>
  <c r="U45" i="13"/>
  <c r="W45" i="13"/>
  <c r="L46" i="13"/>
  <c r="S46" i="13"/>
  <c r="U46" i="13"/>
  <c r="W46" i="13"/>
  <c r="L47" i="13"/>
  <c r="S47" i="13"/>
  <c r="U47" i="13"/>
  <c r="W47" i="13"/>
  <c r="L48" i="13"/>
  <c r="S48" i="13"/>
  <c r="U48" i="13"/>
  <c r="W48" i="13"/>
  <c r="L49" i="13"/>
  <c r="S49" i="13"/>
  <c r="U49" i="13"/>
  <c r="L50" i="13"/>
  <c r="S50" i="13"/>
  <c r="U50" i="13"/>
  <c r="L51" i="13"/>
  <c r="S51" i="13"/>
  <c r="U51" i="13"/>
  <c r="W51" i="13"/>
  <c r="L52" i="13"/>
  <c r="S52" i="13"/>
  <c r="U52" i="13"/>
  <c r="Q52" i="13" s="1"/>
  <c r="I52" i="13" s="1"/>
  <c r="W52" i="13"/>
  <c r="L53" i="13"/>
  <c r="S53" i="13"/>
  <c r="U53" i="13"/>
  <c r="W53" i="13"/>
  <c r="L54" i="13"/>
  <c r="S54" i="13"/>
  <c r="U54" i="13"/>
  <c r="W54" i="13"/>
  <c r="L55" i="13"/>
  <c r="S55" i="13"/>
  <c r="U55" i="13"/>
  <c r="W55" i="13"/>
  <c r="L56" i="13"/>
  <c r="S56" i="13"/>
  <c r="U56" i="13"/>
  <c r="W56" i="13"/>
  <c r="L57" i="13"/>
  <c r="S57" i="13"/>
  <c r="U57" i="13"/>
  <c r="W57" i="13"/>
  <c r="L58" i="13"/>
  <c r="S58" i="13"/>
  <c r="U58" i="13"/>
  <c r="W58" i="13"/>
  <c r="L59" i="13"/>
  <c r="S59" i="13"/>
  <c r="U59" i="13"/>
  <c r="W59" i="13"/>
  <c r="L60" i="13"/>
  <c r="S60" i="13"/>
  <c r="U60" i="13"/>
  <c r="Q60" i="13"/>
  <c r="I60" i="13" s="1"/>
  <c r="W60" i="13"/>
  <c r="L61" i="13"/>
  <c r="S61" i="13"/>
  <c r="U61" i="13"/>
  <c r="Q61" i="13" s="1"/>
  <c r="I61" i="13" s="1"/>
  <c r="W61" i="13"/>
  <c r="L62" i="13"/>
  <c r="S62" i="13"/>
  <c r="U62" i="13"/>
  <c r="W62" i="13"/>
  <c r="L63" i="13"/>
  <c r="S63" i="13"/>
  <c r="U63" i="13"/>
  <c r="W63" i="13"/>
  <c r="L64" i="13"/>
  <c r="S64" i="13"/>
  <c r="U64" i="13"/>
  <c r="W64" i="13"/>
  <c r="L65" i="13"/>
  <c r="S65" i="13"/>
  <c r="U65" i="13"/>
  <c r="W65" i="13"/>
  <c r="L66" i="13"/>
  <c r="S66" i="13"/>
  <c r="U66" i="13"/>
  <c r="W66" i="13"/>
  <c r="L67" i="13"/>
  <c r="S67" i="13"/>
  <c r="U67" i="13"/>
  <c r="W67" i="13"/>
  <c r="L68" i="13"/>
  <c r="S68" i="13"/>
  <c r="Q68" i="13" s="1"/>
  <c r="U68" i="13"/>
  <c r="W68" i="13"/>
  <c r="L69" i="13"/>
  <c r="S69" i="13"/>
  <c r="U69" i="13"/>
  <c r="W69" i="13"/>
  <c r="L70" i="13"/>
  <c r="S70" i="13"/>
  <c r="U70" i="13"/>
  <c r="Q70" i="13" s="1"/>
  <c r="I70" i="13" s="1"/>
  <c r="W70" i="13"/>
  <c r="L71" i="13"/>
  <c r="S71" i="13"/>
  <c r="U71" i="13"/>
  <c r="W71" i="13"/>
  <c r="L72" i="13"/>
  <c r="S72" i="13"/>
  <c r="U72" i="13"/>
  <c r="W72" i="13"/>
  <c r="L73" i="13"/>
  <c r="S73" i="13"/>
  <c r="U73" i="13"/>
  <c r="W73" i="13"/>
  <c r="L74" i="13"/>
  <c r="S74" i="13"/>
  <c r="U74" i="13"/>
  <c r="W74" i="13"/>
  <c r="L75" i="13"/>
  <c r="S75" i="13"/>
  <c r="U75" i="13"/>
  <c r="W75" i="13"/>
  <c r="L76" i="13"/>
  <c r="S76" i="13"/>
  <c r="U76" i="13"/>
  <c r="W76" i="13"/>
  <c r="L77" i="13"/>
  <c r="S77" i="13"/>
  <c r="U77" i="13"/>
  <c r="Q77" i="13" s="1"/>
  <c r="I77" i="13" s="1"/>
  <c r="W77" i="13"/>
  <c r="L78" i="13"/>
  <c r="S78" i="13"/>
  <c r="U78" i="13"/>
  <c r="Q78" i="13" s="1"/>
  <c r="W78" i="13"/>
  <c r="L79" i="13"/>
  <c r="S79" i="13"/>
  <c r="U79" i="13"/>
  <c r="W79" i="13"/>
  <c r="L80" i="13"/>
  <c r="S80" i="13"/>
  <c r="U80" i="13"/>
  <c r="Q80" i="13" s="1"/>
  <c r="I80" i="13" s="1"/>
  <c r="W80" i="13"/>
  <c r="L81" i="13"/>
  <c r="S81" i="13"/>
  <c r="U81" i="13"/>
  <c r="W81" i="13"/>
  <c r="L82" i="13"/>
  <c r="S82" i="13"/>
  <c r="U82" i="13"/>
  <c r="L83" i="13"/>
  <c r="S83" i="13"/>
  <c r="U83" i="13"/>
  <c r="W83" i="13"/>
  <c r="L84" i="13"/>
  <c r="S84" i="13"/>
  <c r="U84" i="13"/>
  <c r="W84" i="13"/>
  <c r="L85" i="13"/>
  <c r="S85" i="13"/>
  <c r="U85" i="13"/>
  <c r="W85" i="13"/>
  <c r="L86" i="13"/>
  <c r="S86" i="13"/>
  <c r="U86" i="13"/>
  <c r="W86" i="13"/>
  <c r="L87" i="13"/>
  <c r="S87" i="13"/>
  <c r="U87" i="13"/>
  <c r="W87" i="13"/>
  <c r="L88" i="13"/>
  <c r="S88" i="13"/>
  <c r="U88" i="13"/>
  <c r="W88" i="13"/>
  <c r="L89" i="13"/>
  <c r="S89" i="13"/>
  <c r="Q89" i="13" s="1"/>
  <c r="I89" i="13" s="1"/>
  <c r="U89" i="13"/>
  <c r="W89" i="13"/>
  <c r="L90" i="13"/>
  <c r="S90" i="13"/>
  <c r="U90" i="13"/>
  <c r="Q90" i="13" s="1"/>
  <c r="W90" i="13"/>
  <c r="L91" i="13"/>
  <c r="S91" i="13"/>
  <c r="U91" i="13"/>
  <c r="W91" i="13"/>
  <c r="L92" i="13"/>
  <c r="S92" i="13"/>
  <c r="U92" i="13"/>
  <c r="W92" i="13"/>
  <c r="L93" i="13"/>
  <c r="S93" i="13"/>
  <c r="U93" i="13"/>
  <c r="W93" i="13"/>
  <c r="L94" i="13"/>
  <c r="S94" i="13"/>
  <c r="U94" i="13"/>
  <c r="W94" i="13"/>
  <c r="L95" i="13"/>
  <c r="S95" i="13"/>
  <c r="U95" i="13"/>
  <c r="W95" i="13"/>
  <c r="L96" i="13"/>
  <c r="S96" i="13"/>
  <c r="U96" i="13"/>
  <c r="W96" i="13"/>
  <c r="L97" i="13"/>
  <c r="S97" i="13"/>
  <c r="U97" i="13"/>
  <c r="W97" i="13"/>
  <c r="L98" i="13"/>
  <c r="S98" i="13"/>
  <c r="U98" i="13"/>
  <c r="W98" i="13"/>
  <c r="L99" i="13"/>
  <c r="S99" i="13"/>
  <c r="U99" i="13"/>
  <c r="W99" i="13"/>
  <c r="L100" i="13"/>
  <c r="S100" i="13"/>
  <c r="U100" i="13"/>
  <c r="W100" i="13"/>
  <c r="L101" i="13"/>
  <c r="S101" i="13"/>
  <c r="U101" i="13"/>
  <c r="W101" i="13"/>
  <c r="L102" i="13"/>
  <c r="S102" i="13"/>
  <c r="U102" i="13"/>
  <c r="W102" i="13"/>
  <c r="L103" i="13"/>
  <c r="S103" i="13"/>
  <c r="U103" i="13"/>
  <c r="W103" i="13"/>
  <c r="L104" i="13"/>
  <c r="S104" i="13"/>
  <c r="U104" i="13"/>
  <c r="W104" i="13"/>
  <c r="L105" i="13"/>
  <c r="S105" i="13"/>
  <c r="U105" i="13"/>
  <c r="W105" i="13"/>
  <c r="L106" i="13"/>
  <c r="S106" i="13"/>
  <c r="U106" i="13"/>
  <c r="W106" i="13"/>
  <c r="L107" i="13"/>
  <c r="S107" i="13"/>
  <c r="U107" i="13"/>
  <c r="W107" i="13"/>
  <c r="L108" i="13"/>
  <c r="S108" i="13"/>
  <c r="U108" i="13"/>
  <c r="W108" i="13"/>
  <c r="L109" i="13"/>
  <c r="S109" i="13"/>
  <c r="U109" i="13"/>
  <c r="W109" i="13"/>
  <c r="L110" i="13"/>
  <c r="S110" i="13"/>
  <c r="U110" i="13"/>
  <c r="W110" i="13"/>
  <c r="L111" i="13"/>
  <c r="S111" i="13"/>
  <c r="U111" i="13"/>
  <c r="L112" i="13"/>
  <c r="S112" i="13"/>
  <c r="U112" i="13"/>
  <c r="W112" i="13"/>
  <c r="L113" i="13"/>
  <c r="S113" i="13"/>
  <c r="U113" i="13"/>
  <c r="L114" i="13"/>
  <c r="S114" i="13"/>
  <c r="U114" i="13"/>
  <c r="L115" i="13"/>
  <c r="U115" i="13"/>
  <c r="W115" i="13"/>
  <c r="L116" i="13"/>
  <c r="S116" i="13"/>
  <c r="U116" i="13"/>
  <c r="W116" i="13"/>
  <c r="L117" i="13"/>
  <c r="S117" i="13"/>
  <c r="U117" i="13"/>
  <c r="W117" i="13"/>
  <c r="L118" i="13"/>
  <c r="S118" i="13"/>
  <c r="U118" i="13"/>
  <c r="W118" i="13"/>
  <c r="L119" i="13"/>
  <c r="S119" i="13"/>
  <c r="U119" i="13"/>
  <c r="W119" i="13"/>
  <c r="L120" i="13"/>
  <c r="S120" i="13"/>
  <c r="U120" i="13"/>
  <c r="W120" i="13"/>
  <c r="L121" i="13"/>
  <c r="S121" i="13"/>
  <c r="U121" i="13"/>
  <c r="W121" i="13"/>
  <c r="L122" i="13"/>
  <c r="S122" i="13"/>
  <c r="U122" i="13"/>
  <c r="W122" i="13"/>
  <c r="L123" i="13"/>
  <c r="S123" i="13"/>
  <c r="U123" i="13"/>
  <c r="W123" i="13"/>
  <c r="L124" i="13"/>
  <c r="S124" i="13"/>
  <c r="U124" i="13"/>
  <c r="W124" i="13"/>
  <c r="L125" i="13"/>
  <c r="S125" i="13"/>
  <c r="U125" i="13"/>
  <c r="W125" i="13"/>
  <c r="L126" i="13"/>
  <c r="S126" i="13"/>
  <c r="U126" i="13"/>
  <c r="W126" i="13"/>
  <c r="L127" i="13"/>
  <c r="S127" i="13"/>
  <c r="U127" i="13"/>
  <c r="W127" i="13"/>
  <c r="L128" i="13"/>
  <c r="S128" i="13"/>
  <c r="U128" i="13"/>
  <c r="W128" i="13"/>
  <c r="L129" i="13"/>
  <c r="S129" i="13"/>
  <c r="U129" i="13"/>
  <c r="L130" i="13"/>
  <c r="S130" i="13"/>
  <c r="U130" i="13"/>
  <c r="W130" i="13"/>
  <c r="L131" i="13"/>
  <c r="S131" i="13"/>
  <c r="U131" i="13"/>
  <c r="W131" i="13"/>
  <c r="L132" i="13"/>
  <c r="S132" i="13"/>
  <c r="U132" i="13"/>
  <c r="W132" i="13"/>
  <c r="L133" i="13"/>
  <c r="S133" i="13"/>
  <c r="U133" i="13"/>
  <c r="W133" i="13"/>
  <c r="L134" i="13"/>
  <c r="S134" i="13"/>
  <c r="U134" i="13"/>
  <c r="W134" i="13"/>
  <c r="M7" i="13"/>
  <c r="T7" i="13"/>
  <c r="V7" i="13"/>
  <c r="M8" i="13"/>
  <c r="T8" i="13"/>
  <c r="V8" i="13"/>
  <c r="R8" i="13" s="1"/>
  <c r="M9" i="13"/>
  <c r="T9" i="13"/>
  <c r="O9" i="13" s="1"/>
  <c r="V9" i="13"/>
  <c r="M10" i="13"/>
  <c r="T10" i="13"/>
  <c r="V10" i="13"/>
  <c r="M11" i="13"/>
  <c r="T11" i="13"/>
  <c r="V11" i="13"/>
  <c r="X11" i="13"/>
  <c r="M12" i="13"/>
  <c r="T12" i="13"/>
  <c r="O12" i="13" s="1"/>
  <c r="V12" i="13"/>
  <c r="X12" i="13"/>
  <c r="M13" i="13"/>
  <c r="K13" i="13" s="1"/>
  <c r="T13" i="13"/>
  <c r="V13" i="13"/>
  <c r="M14" i="13"/>
  <c r="T14" i="13"/>
  <c r="O14" i="13" s="1"/>
  <c r="V14" i="13"/>
  <c r="M15" i="13"/>
  <c r="T15" i="13"/>
  <c r="O15" i="13" s="1"/>
  <c r="V15" i="13"/>
  <c r="M16" i="13"/>
  <c r="T16" i="13"/>
  <c r="V16" i="13"/>
  <c r="M17" i="13"/>
  <c r="T17" i="13"/>
  <c r="O17" i="13" s="1"/>
  <c r="V17" i="13"/>
  <c r="M18" i="13"/>
  <c r="T18" i="13"/>
  <c r="O18" i="13" s="1"/>
  <c r="V18" i="13"/>
  <c r="M19" i="13"/>
  <c r="T19" i="13"/>
  <c r="V19" i="13"/>
  <c r="M20" i="13"/>
  <c r="T20" i="13"/>
  <c r="V20" i="13"/>
  <c r="M21" i="13"/>
  <c r="T21" i="13"/>
  <c r="O21" i="13" s="1"/>
  <c r="V21" i="13"/>
  <c r="M22" i="13"/>
  <c r="T22" i="13"/>
  <c r="V22" i="13"/>
  <c r="X22" i="13"/>
  <c r="M23" i="13"/>
  <c r="T23" i="13"/>
  <c r="V23" i="13"/>
  <c r="X23" i="13"/>
  <c r="M24" i="13"/>
  <c r="T24" i="13"/>
  <c r="O24" i="13" s="1"/>
  <c r="V24" i="13"/>
  <c r="R24" i="13" s="1"/>
  <c r="J24" i="13" s="1"/>
  <c r="X24" i="13"/>
  <c r="M25" i="13"/>
  <c r="T25" i="13"/>
  <c r="V25" i="13"/>
  <c r="X25" i="13"/>
  <c r="M26" i="13"/>
  <c r="T26" i="13"/>
  <c r="V26" i="13"/>
  <c r="M27" i="13"/>
  <c r="T27" i="13"/>
  <c r="O27" i="13" s="1"/>
  <c r="V27" i="13"/>
  <c r="R27" i="13" s="1"/>
  <c r="M28" i="13"/>
  <c r="T28" i="13"/>
  <c r="O28" i="13" s="1"/>
  <c r="V28" i="13"/>
  <c r="X28" i="13"/>
  <c r="M29" i="13"/>
  <c r="T29" i="13"/>
  <c r="V29" i="13"/>
  <c r="M30" i="13"/>
  <c r="T30" i="13"/>
  <c r="V30" i="13"/>
  <c r="M31" i="13"/>
  <c r="T31" i="13"/>
  <c r="V31" i="13"/>
  <c r="M32" i="13"/>
  <c r="T32" i="13"/>
  <c r="O32" i="13" s="1"/>
  <c r="V32" i="13"/>
  <c r="M33" i="13"/>
  <c r="T33" i="13"/>
  <c r="O33" i="13" s="1"/>
  <c r="V33" i="13"/>
  <c r="M34" i="13"/>
  <c r="T34" i="13"/>
  <c r="V34" i="13"/>
  <c r="M35" i="13"/>
  <c r="T35" i="13"/>
  <c r="O35" i="13" s="1"/>
  <c r="V35" i="13"/>
  <c r="X35" i="13"/>
  <c r="M36" i="13"/>
  <c r="T36" i="13"/>
  <c r="R36" i="13" s="1"/>
  <c r="V36" i="13"/>
  <c r="M37" i="13"/>
  <c r="T37" i="13"/>
  <c r="V37" i="13"/>
  <c r="M38" i="13"/>
  <c r="T38" i="13"/>
  <c r="O38" i="13" s="1"/>
  <c r="V38" i="13"/>
  <c r="R38" i="13"/>
  <c r="J38" i="13" s="1"/>
  <c r="M39" i="13"/>
  <c r="K39" i="13" s="1"/>
  <c r="T39" i="13"/>
  <c r="O39" i="13" s="1"/>
  <c r="V39" i="13"/>
  <c r="T40" i="13"/>
  <c r="V40" i="13"/>
  <c r="M41" i="13"/>
  <c r="T41" i="13"/>
  <c r="V41" i="13"/>
  <c r="X41" i="13"/>
  <c r="M42" i="13"/>
  <c r="T42" i="13"/>
  <c r="V42" i="13"/>
  <c r="M43" i="13"/>
  <c r="T43" i="13"/>
  <c r="V43" i="13"/>
  <c r="M44" i="13"/>
  <c r="T44" i="13"/>
  <c r="V44" i="13"/>
  <c r="X44" i="13"/>
  <c r="M45" i="13"/>
  <c r="T45" i="13"/>
  <c r="O45" i="13" s="1"/>
  <c r="V45" i="13"/>
  <c r="X45" i="13"/>
  <c r="M46" i="13"/>
  <c r="T46" i="13"/>
  <c r="V46" i="13"/>
  <c r="M47" i="13"/>
  <c r="T47" i="13"/>
  <c r="V47" i="13"/>
  <c r="M48" i="13"/>
  <c r="T48" i="13"/>
  <c r="O48" i="13" s="1"/>
  <c r="V48" i="13"/>
  <c r="X48" i="13"/>
  <c r="T49" i="13"/>
  <c r="V49" i="13"/>
  <c r="T50" i="13"/>
  <c r="V50" i="13"/>
  <c r="M51" i="13"/>
  <c r="T51" i="13"/>
  <c r="V51" i="13"/>
  <c r="T52" i="13"/>
  <c r="V52" i="13"/>
  <c r="M53" i="13"/>
  <c r="T53" i="13"/>
  <c r="V53" i="13"/>
  <c r="M54" i="13"/>
  <c r="T54" i="13"/>
  <c r="O54" i="13" s="1"/>
  <c r="V54" i="13"/>
  <c r="M55" i="13"/>
  <c r="T55" i="13"/>
  <c r="V55" i="13"/>
  <c r="M56" i="13"/>
  <c r="T56" i="13"/>
  <c r="V56" i="13"/>
  <c r="M57" i="13"/>
  <c r="K57" i="13" s="1"/>
  <c r="T57" i="13"/>
  <c r="V57" i="13"/>
  <c r="P57" i="13" s="1"/>
  <c r="M58" i="13"/>
  <c r="T58" i="13"/>
  <c r="O58" i="13" s="1"/>
  <c r="V58" i="13"/>
  <c r="X58" i="13"/>
  <c r="M59" i="13"/>
  <c r="T59" i="13"/>
  <c r="V59" i="13"/>
  <c r="M60" i="13"/>
  <c r="K60" i="13" s="1"/>
  <c r="T60" i="13"/>
  <c r="V60" i="13"/>
  <c r="M61" i="13"/>
  <c r="T61" i="13"/>
  <c r="V61" i="13"/>
  <c r="X61" i="13"/>
  <c r="M62" i="13"/>
  <c r="T62" i="13"/>
  <c r="O62" i="13" s="1"/>
  <c r="V62" i="13"/>
  <c r="M63" i="13"/>
  <c r="T63" i="13"/>
  <c r="V63" i="13"/>
  <c r="X63" i="13"/>
  <c r="T64" i="13"/>
  <c r="V64" i="13"/>
  <c r="X64" i="13"/>
  <c r="T65" i="13"/>
  <c r="V65" i="13"/>
  <c r="X65" i="13"/>
  <c r="T66" i="13"/>
  <c r="O66" i="13" s="1"/>
  <c r="V66" i="13"/>
  <c r="X66" i="13"/>
  <c r="T67" i="13"/>
  <c r="V67" i="13"/>
  <c r="X67" i="13"/>
  <c r="T68" i="13"/>
  <c r="V68" i="13"/>
  <c r="X68" i="13"/>
  <c r="T69" i="13"/>
  <c r="V69" i="13"/>
  <c r="X69" i="13"/>
  <c r="M70" i="13"/>
  <c r="T70" i="13"/>
  <c r="V70" i="13"/>
  <c r="X70" i="13"/>
  <c r="M71" i="13"/>
  <c r="T71" i="13"/>
  <c r="V71" i="13"/>
  <c r="M72" i="13"/>
  <c r="T72" i="13"/>
  <c r="V72" i="13"/>
  <c r="M73" i="13"/>
  <c r="K73" i="13" s="1"/>
  <c r="T73" i="13"/>
  <c r="V73" i="13"/>
  <c r="X73" i="13"/>
  <c r="M74" i="13"/>
  <c r="T74" i="13"/>
  <c r="V74" i="13"/>
  <c r="P74" i="13" s="1"/>
  <c r="M75" i="13"/>
  <c r="T75" i="13"/>
  <c r="V75" i="13"/>
  <c r="M76" i="13"/>
  <c r="K76" i="13" s="1"/>
  <c r="T76" i="13"/>
  <c r="V76" i="13"/>
  <c r="X76" i="13"/>
  <c r="M77" i="13"/>
  <c r="T77" i="13"/>
  <c r="V77" i="13"/>
  <c r="M78" i="13"/>
  <c r="T78" i="13"/>
  <c r="O78" i="13" s="1"/>
  <c r="V78" i="13"/>
  <c r="M79" i="13"/>
  <c r="T79" i="13"/>
  <c r="V79" i="13"/>
  <c r="R79" i="13" s="1"/>
  <c r="X79" i="13"/>
  <c r="M80" i="13"/>
  <c r="T80" i="13"/>
  <c r="V80" i="13"/>
  <c r="X80" i="13"/>
  <c r="M81" i="13"/>
  <c r="T81" i="13"/>
  <c r="V81" i="13"/>
  <c r="M82" i="13"/>
  <c r="T82" i="13"/>
  <c r="V82" i="13"/>
  <c r="M83" i="13"/>
  <c r="T83" i="13"/>
  <c r="O83" i="13" s="1"/>
  <c r="V83" i="13"/>
  <c r="M84" i="13"/>
  <c r="T84" i="13"/>
  <c r="V84" i="13"/>
  <c r="M85" i="13"/>
  <c r="T85" i="13"/>
  <c r="V85" i="13"/>
  <c r="M86" i="13"/>
  <c r="T86" i="13"/>
  <c r="V86" i="13"/>
  <c r="M87" i="13"/>
  <c r="T87" i="13"/>
  <c r="V87" i="13"/>
  <c r="P87" i="13" s="1"/>
  <c r="M88" i="13"/>
  <c r="T88" i="13"/>
  <c r="V88" i="13"/>
  <c r="X88" i="13"/>
  <c r="M89" i="13"/>
  <c r="T89" i="13"/>
  <c r="V89" i="13"/>
  <c r="X89" i="13"/>
  <c r="M90" i="13"/>
  <c r="T90" i="13"/>
  <c r="O90" i="13" s="1"/>
  <c r="V90" i="13"/>
  <c r="X90" i="13"/>
  <c r="M91" i="13"/>
  <c r="T91" i="13"/>
  <c r="V91" i="13"/>
  <c r="X91" i="13"/>
  <c r="M92" i="13"/>
  <c r="T92" i="13"/>
  <c r="O92" i="13" s="1"/>
  <c r="V92" i="13"/>
  <c r="M93" i="13"/>
  <c r="T93" i="13"/>
  <c r="V93" i="13"/>
  <c r="P93" i="13" s="1"/>
  <c r="M94" i="13"/>
  <c r="T94" i="13"/>
  <c r="V94" i="13"/>
  <c r="X94" i="13"/>
  <c r="M95" i="13"/>
  <c r="T95" i="13"/>
  <c r="O95" i="13" s="1"/>
  <c r="V95" i="13"/>
  <c r="X95" i="13"/>
  <c r="M96" i="13"/>
  <c r="T96" i="13"/>
  <c r="O96" i="13" s="1"/>
  <c r="V96" i="13"/>
  <c r="X96" i="13"/>
  <c r="M97" i="13"/>
  <c r="T97" i="13"/>
  <c r="V97" i="13"/>
  <c r="X97" i="13"/>
  <c r="M98" i="13"/>
  <c r="T98" i="13"/>
  <c r="V98" i="13"/>
  <c r="M99" i="13"/>
  <c r="T99" i="13"/>
  <c r="V99" i="13"/>
  <c r="M100" i="13"/>
  <c r="T100" i="13"/>
  <c r="V100" i="13"/>
  <c r="M101" i="13"/>
  <c r="T101" i="13"/>
  <c r="V101" i="13"/>
  <c r="M102" i="13"/>
  <c r="T102" i="13"/>
  <c r="V102" i="13"/>
  <c r="M103" i="13"/>
  <c r="T103" i="13"/>
  <c r="V103" i="13"/>
  <c r="M104" i="13"/>
  <c r="T104" i="13"/>
  <c r="V104" i="13"/>
  <c r="M105" i="13"/>
  <c r="T105" i="13"/>
  <c r="O105" i="13" s="1"/>
  <c r="V105" i="13"/>
  <c r="M106" i="13"/>
  <c r="T106" i="13"/>
  <c r="V106" i="13"/>
  <c r="M107" i="13"/>
  <c r="T107" i="13"/>
  <c r="O107" i="13" s="1"/>
  <c r="V107" i="13"/>
  <c r="M108" i="13"/>
  <c r="T108" i="13"/>
  <c r="V108" i="13"/>
  <c r="M109" i="13"/>
  <c r="T109" i="13"/>
  <c r="V109" i="13"/>
  <c r="M110" i="13"/>
  <c r="T110" i="13"/>
  <c r="V110" i="13"/>
  <c r="M111" i="13"/>
  <c r="T111" i="13"/>
  <c r="O111" i="13" s="1"/>
  <c r="V111" i="13"/>
  <c r="M112" i="13"/>
  <c r="T112" i="13"/>
  <c r="V112" i="13"/>
  <c r="M113" i="13"/>
  <c r="T113" i="13"/>
  <c r="V113" i="13"/>
  <c r="X113" i="13"/>
  <c r="M114" i="13"/>
  <c r="T114" i="13"/>
  <c r="V114" i="13"/>
  <c r="M115" i="13"/>
  <c r="K115" i="13" s="1"/>
  <c r="T115" i="13"/>
  <c r="V115" i="13"/>
  <c r="X115" i="13"/>
  <c r="M116" i="13"/>
  <c r="T116" i="13"/>
  <c r="V116" i="13"/>
  <c r="X116" i="13"/>
  <c r="M117" i="13"/>
  <c r="T117" i="13"/>
  <c r="V117" i="13"/>
  <c r="X117" i="13"/>
  <c r="M118" i="13"/>
  <c r="T118" i="13"/>
  <c r="V118" i="13"/>
  <c r="X118" i="13"/>
  <c r="M119" i="13"/>
  <c r="T119" i="13"/>
  <c r="V119" i="13"/>
  <c r="X119" i="13"/>
  <c r="M120" i="13"/>
  <c r="T120" i="13"/>
  <c r="V120" i="13"/>
  <c r="M121" i="13"/>
  <c r="T121" i="13"/>
  <c r="V121" i="13"/>
  <c r="M122" i="13"/>
  <c r="T122" i="13"/>
  <c r="V122" i="13"/>
  <c r="X122" i="13"/>
  <c r="M123" i="13"/>
  <c r="T123" i="13"/>
  <c r="O123" i="13" s="1"/>
  <c r="V123" i="13"/>
  <c r="M124" i="13"/>
  <c r="T124" i="13"/>
  <c r="V124" i="13"/>
  <c r="X124" i="13"/>
  <c r="M125" i="13"/>
  <c r="T125" i="13"/>
  <c r="V125" i="13"/>
  <c r="X125" i="13"/>
  <c r="M126" i="13"/>
  <c r="T126" i="13"/>
  <c r="V126" i="13"/>
  <c r="X126" i="13"/>
  <c r="T127" i="13"/>
  <c r="O127" i="13" s="1"/>
  <c r="V127" i="13"/>
  <c r="M128" i="13"/>
  <c r="T128" i="13"/>
  <c r="V128" i="13"/>
  <c r="M129" i="13"/>
  <c r="T129" i="13"/>
  <c r="O129" i="13" s="1"/>
  <c r="V129" i="13"/>
  <c r="M130" i="13"/>
  <c r="T130" i="13"/>
  <c r="V130" i="13"/>
  <c r="P130" i="13" s="1"/>
  <c r="X130" i="13"/>
  <c r="M131" i="13"/>
  <c r="T131" i="13"/>
  <c r="V131" i="13"/>
  <c r="X131" i="13"/>
  <c r="M132" i="13"/>
  <c r="T132" i="13"/>
  <c r="V132" i="13"/>
  <c r="R132" i="13" s="1"/>
  <c r="X132" i="13"/>
  <c r="T133" i="13"/>
  <c r="V133" i="13"/>
  <c r="M134" i="13"/>
  <c r="T134" i="13"/>
  <c r="V134" i="13"/>
  <c r="AA38" i="13"/>
  <c r="AA8" i="13"/>
  <c r="AB8" i="13"/>
  <c r="AA9" i="13"/>
  <c r="AB9" i="13"/>
  <c r="AA10" i="13"/>
  <c r="AB10" i="13"/>
  <c r="AA11" i="13"/>
  <c r="AB11" i="13"/>
  <c r="AA12" i="13"/>
  <c r="AB12" i="13"/>
  <c r="AA13" i="13"/>
  <c r="AB13" i="13"/>
  <c r="AA14" i="13"/>
  <c r="AB14" i="13"/>
  <c r="AA15" i="13"/>
  <c r="AB15" i="13"/>
  <c r="AA16" i="13"/>
  <c r="AB16" i="13"/>
  <c r="AA17" i="13"/>
  <c r="AB17" i="13"/>
  <c r="AA18" i="13"/>
  <c r="AB18" i="13"/>
  <c r="AA19" i="13"/>
  <c r="AB19" i="13"/>
  <c r="AA20" i="13"/>
  <c r="AB20" i="13"/>
  <c r="AA21" i="13"/>
  <c r="AB21" i="13"/>
  <c r="AA22" i="13"/>
  <c r="AB22" i="13"/>
  <c r="AA23" i="13"/>
  <c r="AB23" i="13"/>
  <c r="AA24" i="13"/>
  <c r="AB24" i="13"/>
  <c r="AA25" i="13"/>
  <c r="AB25" i="13"/>
  <c r="AA26" i="13"/>
  <c r="AB26" i="13"/>
  <c r="AA27" i="13"/>
  <c r="AB27" i="13"/>
  <c r="AA28" i="13"/>
  <c r="AB28" i="13"/>
  <c r="AA29" i="13"/>
  <c r="AB29" i="13"/>
  <c r="AA30" i="13"/>
  <c r="AB30" i="13"/>
  <c r="AA31" i="13"/>
  <c r="AB31" i="13"/>
  <c r="AA32" i="13"/>
  <c r="AB32" i="13"/>
  <c r="AA33" i="13"/>
  <c r="AB33" i="13"/>
  <c r="AA34" i="13"/>
  <c r="AB34" i="13"/>
  <c r="AA35" i="13"/>
  <c r="AB35" i="13"/>
  <c r="AA36" i="13"/>
  <c r="AB36" i="13"/>
  <c r="AA37" i="13"/>
  <c r="AB38" i="13"/>
  <c r="AA39" i="13"/>
  <c r="AB39" i="13"/>
  <c r="AA40" i="13"/>
  <c r="AA41" i="13"/>
  <c r="AB41" i="13"/>
  <c r="AA42" i="13"/>
  <c r="AB42" i="13"/>
  <c r="AA43" i="13"/>
  <c r="AB43" i="13"/>
  <c r="AA44" i="13"/>
  <c r="AB44" i="13"/>
  <c r="AA45" i="13"/>
  <c r="AB45" i="13"/>
  <c r="AA46" i="13"/>
  <c r="AB46" i="13"/>
  <c r="AA47" i="13"/>
  <c r="AB47" i="13"/>
  <c r="AA48" i="13"/>
  <c r="AB48" i="13"/>
  <c r="AA49" i="13"/>
  <c r="AB49" i="13"/>
  <c r="AA50" i="13"/>
  <c r="AB50" i="13"/>
  <c r="AA51" i="13"/>
  <c r="AB51" i="13"/>
  <c r="AA52" i="13"/>
  <c r="AB52" i="13"/>
  <c r="AA53" i="13"/>
  <c r="AB53" i="13"/>
  <c r="AA54" i="13"/>
  <c r="AB54" i="13"/>
  <c r="AA55" i="13"/>
  <c r="AB55" i="13"/>
  <c r="AA56" i="13"/>
  <c r="AB56" i="13"/>
  <c r="AA57" i="13"/>
  <c r="AB57" i="13"/>
  <c r="AA58" i="13"/>
  <c r="AB58" i="13"/>
  <c r="AA59" i="13"/>
  <c r="AB59" i="13"/>
  <c r="AA60" i="13"/>
  <c r="AB60" i="13"/>
  <c r="AA61" i="13"/>
  <c r="AB61" i="13"/>
  <c r="AA62" i="13"/>
  <c r="AB62" i="13"/>
  <c r="AA63" i="13"/>
  <c r="AB63" i="13"/>
  <c r="AA64" i="13"/>
  <c r="AB64" i="13"/>
  <c r="AA65" i="13"/>
  <c r="AB65" i="13"/>
  <c r="AA66" i="13"/>
  <c r="AB66" i="13"/>
  <c r="AA67" i="13"/>
  <c r="AB67" i="13"/>
  <c r="AA68" i="13"/>
  <c r="AB68" i="13"/>
  <c r="AA69" i="13"/>
  <c r="AB69" i="13"/>
  <c r="AA70" i="13"/>
  <c r="AB70" i="13"/>
  <c r="AA71" i="13"/>
  <c r="AB71" i="13"/>
  <c r="AA72" i="13"/>
  <c r="AB72" i="13"/>
  <c r="AA73" i="13"/>
  <c r="AB73" i="13"/>
  <c r="AA74" i="13"/>
  <c r="AB74" i="13"/>
  <c r="AA75" i="13"/>
  <c r="AB75" i="13"/>
  <c r="AA76" i="13"/>
  <c r="AB76" i="13"/>
  <c r="AA77" i="13"/>
  <c r="AA78" i="13"/>
  <c r="AB78" i="13"/>
  <c r="AA79" i="13"/>
  <c r="AB79" i="13"/>
  <c r="AA80" i="13"/>
  <c r="AB80" i="13"/>
  <c r="AA81" i="13"/>
  <c r="AB81" i="13"/>
  <c r="AA82" i="13"/>
  <c r="AB82" i="13"/>
  <c r="AA83" i="13"/>
  <c r="AB83" i="13"/>
  <c r="AA84" i="13"/>
  <c r="AB84" i="13"/>
  <c r="AA85" i="13"/>
  <c r="AB85" i="13"/>
  <c r="AA86" i="13"/>
  <c r="AB86" i="13"/>
  <c r="AA87" i="13"/>
  <c r="AB87" i="13"/>
  <c r="AA88" i="13"/>
  <c r="AB88" i="13"/>
  <c r="AA89" i="13"/>
  <c r="AB89" i="13"/>
  <c r="AA90" i="13"/>
  <c r="AB90" i="13"/>
  <c r="AA91" i="13"/>
  <c r="AB91" i="13"/>
  <c r="AA92" i="13"/>
  <c r="AB92" i="13"/>
  <c r="AA93" i="13"/>
  <c r="AB93" i="13"/>
  <c r="AA94" i="13"/>
  <c r="AB94" i="13"/>
  <c r="AA95" i="13"/>
  <c r="AB95" i="13"/>
  <c r="AA96" i="13"/>
  <c r="AB96" i="13"/>
  <c r="AA97" i="13"/>
  <c r="AB97" i="13"/>
  <c r="AA98" i="13"/>
  <c r="AB98" i="13"/>
  <c r="AA99" i="13"/>
  <c r="AB99" i="13"/>
  <c r="AA100" i="13"/>
  <c r="AB100" i="13"/>
  <c r="AA101" i="13"/>
  <c r="AB101" i="13"/>
  <c r="AA102" i="13"/>
  <c r="AB102" i="13"/>
  <c r="AA103" i="13"/>
  <c r="AB103" i="13"/>
  <c r="AA104" i="13"/>
  <c r="AB104" i="13"/>
  <c r="AA105" i="13"/>
  <c r="AB105" i="13"/>
  <c r="AA106" i="13"/>
  <c r="AB106" i="13"/>
  <c r="AA107" i="13"/>
  <c r="AB107" i="13"/>
  <c r="AA108" i="13"/>
  <c r="AB108" i="13"/>
  <c r="AA109" i="13"/>
  <c r="AB109" i="13"/>
  <c r="AA110" i="13"/>
  <c r="AB110" i="13"/>
  <c r="AB111" i="13"/>
  <c r="AA112" i="13"/>
  <c r="AB112" i="13"/>
  <c r="AA113" i="13"/>
  <c r="AB113" i="13"/>
  <c r="AA114" i="13"/>
  <c r="AB114" i="13"/>
  <c r="AA115" i="13"/>
  <c r="AB115" i="13"/>
  <c r="AA116" i="13"/>
  <c r="AB116" i="13"/>
  <c r="AA117" i="13"/>
  <c r="AB117" i="13"/>
  <c r="AA118" i="13"/>
  <c r="AB118" i="13"/>
  <c r="AA119" i="13"/>
  <c r="AB119" i="13"/>
  <c r="AA120" i="13"/>
  <c r="AB120" i="13"/>
  <c r="AA121" i="13"/>
  <c r="AB121" i="13"/>
  <c r="AA122" i="13"/>
  <c r="AB122" i="13"/>
  <c r="AA123" i="13"/>
  <c r="AB123" i="13"/>
  <c r="AA124" i="13"/>
  <c r="AB124" i="13"/>
  <c r="AA125" i="13"/>
  <c r="AB125" i="13"/>
  <c r="AA126" i="13"/>
  <c r="AB126" i="13"/>
  <c r="AA127" i="13"/>
  <c r="AB127" i="13"/>
  <c r="AA128" i="13"/>
  <c r="AB128" i="13"/>
  <c r="AA129" i="13"/>
  <c r="AB129" i="13"/>
  <c r="AA130" i="13"/>
  <c r="AB130" i="13"/>
  <c r="AA131" i="13"/>
  <c r="AB131" i="13"/>
  <c r="AA132" i="13"/>
  <c r="P139" i="11"/>
  <c r="AA133" i="13"/>
  <c r="AA134" i="13"/>
  <c r="AB134" i="13"/>
  <c r="AB7" i="13"/>
  <c r="AA7" i="13"/>
  <c r="K23" i="13"/>
  <c r="K34" i="13"/>
  <c r="K44" i="13"/>
  <c r="K47" i="13"/>
  <c r="K48" i="13"/>
  <c r="K51" i="13"/>
  <c r="K75" i="13"/>
  <c r="K95" i="13"/>
  <c r="K126" i="13"/>
  <c r="K130" i="13"/>
  <c r="F7" i="13"/>
  <c r="F10" i="13"/>
  <c r="F8" i="13"/>
  <c r="F9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B8" i="13"/>
  <c r="D8" i="13"/>
  <c r="B9" i="13"/>
  <c r="D9" i="13"/>
  <c r="B10" i="13"/>
  <c r="D10" i="13"/>
  <c r="B11" i="13"/>
  <c r="D11" i="13"/>
  <c r="B12" i="13"/>
  <c r="D12" i="13"/>
  <c r="B13" i="13"/>
  <c r="D13" i="13"/>
  <c r="B14" i="13"/>
  <c r="D14" i="13"/>
  <c r="B15" i="13"/>
  <c r="D15" i="13"/>
  <c r="B16" i="13"/>
  <c r="D16" i="13"/>
  <c r="B17" i="13"/>
  <c r="D17" i="13"/>
  <c r="B18" i="13"/>
  <c r="D18" i="13"/>
  <c r="B19" i="13"/>
  <c r="D19" i="13"/>
  <c r="B20" i="13"/>
  <c r="D20" i="13"/>
  <c r="B21" i="13"/>
  <c r="D21" i="13"/>
  <c r="B22" i="13"/>
  <c r="D22" i="13"/>
  <c r="B23" i="13"/>
  <c r="D23" i="13"/>
  <c r="B24" i="13"/>
  <c r="D24" i="13"/>
  <c r="B25" i="13"/>
  <c r="D25" i="13"/>
  <c r="B26" i="13"/>
  <c r="D26" i="13"/>
  <c r="B27" i="13"/>
  <c r="D27" i="13"/>
  <c r="B28" i="13"/>
  <c r="D28" i="13"/>
  <c r="B29" i="13"/>
  <c r="D29" i="13"/>
  <c r="B30" i="13"/>
  <c r="D30" i="13"/>
  <c r="B31" i="13"/>
  <c r="D31" i="13"/>
  <c r="B32" i="13"/>
  <c r="D32" i="13"/>
  <c r="B33" i="13"/>
  <c r="D33" i="13"/>
  <c r="B34" i="13"/>
  <c r="D34" i="13"/>
  <c r="B42" i="11"/>
  <c r="B35" i="13" s="1"/>
  <c r="D35" i="13"/>
  <c r="B36" i="13"/>
  <c r="D36" i="13"/>
  <c r="B37" i="13"/>
  <c r="D37" i="13"/>
  <c r="B38" i="13"/>
  <c r="D38" i="13"/>
  <c r="B39" i="13"/>
  <c r="D39" i="13"/>
  <c r="B40" i="13"/>
  <c r="D40" i="13"/>
  <c r="B41" i="13"/>
  <c r="D41" i="13"/>
  <c r="B42" i="13"/>
  <c r="D42" i="13"/>
  <c r="B43" i="13"/>
  <c r="D43" i="13"/>
  <c r="B44" i="13"/>
  <c r="D44" i="13"/>
  <c r="B45" i="13"/>
  <c r="D45" i="13"/>
  <c r="B46" i="13"/>
  <c r="D46" i="13"/>
  <c r="B47" i="13"/>
  <c r="D47" i="13"/>
  <c r="B48" i="13"/>
  <c r="D48" i="13"/>
  <c r="B49" i="13"/>
  <c r="D49" i="13"/>
  <c r="B50" i="13"/>
  <c r="D50" i="13"/>
  <c r="B51" i="13"/>
  <c r="D51" i="13"/>
  <c r="B52" i="13"/>
  <c r="D52" i="13"/>
  <c r="B53" i="13"/>
  <c r="D53" i="13"/>
  <c r="B54" i="13"/>
  <c r="D54" i="13"/>
  <c r="B55" i="13"/>
  <c r="D55" i="13"/>
  <c r="B56" i="13"/>
  <c r="D56" i="13"/>
  <c r="B57" i="13"/>
  <c r="D57" i="13"/>
  <c r="B58" i="13"/>
  <c r="D58" i="13"/>
  <c r="B59" i="13"/>
  <c r="D59" i="13"/>
  <c r="B60" i="13"/>
  <c r="D60" i="13"/>
  <c r="B61" i="13"/>
  <c r="D61" i="13"/>
  <c r="B62" i="13"/>
  <c r="D62" i="13"/>
  <c r="B63" i="13"/>
  <c r="D63" i="13"/>
  <c r="B70" i="11"/>
  <c r="D64" i="13"/>
  <c r="D65" i="13"/>
  <c r="D66" i="13"/>
  <c r="D67" i="13"/>
  <c r="D68" i="13"/>
  <c r="D69" i="13"/>
  <c r="D70" i="13"/>
  <c r="B71" i="13"/>
  <c r="D71" i="13"/>
  <c r="B72" i="13"/>
  <c r="D72" i="13"/>
  <c r="B73" i="13"/>
  <c r="D73" i="13"/>
  <c r="B74" i="13"/>
  <c r="D74" i="13"/>
  <c r="B75" i="13"/>
  <c r="D75" i="13"/>
  <c r="B76" i="13"/>
  <c r="D76" i="13"/>
  <c r="B77" i="13"/>
  <c r="D77" i="13"/>
  <c r="B78" i="13"/>
  <c r="D78" i="13"/>
  <c r="B79" i="13"/>
  <c r="D79" i="13"/>
  <c r="B80" i="13"/>
  <c r="D80" i="13"/>
  <c r="B81" i="13"/>
  <c r="D81" i="13"/>
  <c r="B82" i="13"/>
  <c r="D82" i="13"/>
  <c r="B83" i="13"/>
  <c r="D83" i="13"/>
  <c r="B84" i="13"/>
  <c r="D84" i="13"/>
  <c r="B85" i="13"/>
  <c r="D85" i="13"/>
  <c r="B86" i="13"/>
  <c r="D86" i="13"/>
  <c r="B87" i="13"/>
  <c r="D87" i="13"/>
  <c r="B88" i="13"/>
  <c r="D88" i="13"/>
  <c r="B89" i="13"/>
  <c r="D89" i="13"/>
  <c r="B90" i="13"/>
  <c r="D90" i="13"/>
  <c r="B91" i="13"/>
  <c r="D91" i="13"/>
  <c r="B92" i="13"/>
  <c r="D92" i="13"/>
  <c r="B93" i="13"/>
  <c r="D93" i="13"/>
  <c r="B94" i="13"/>
  <c r="D94" i="13"/>
  <c r="B95" i="13"/>
  <c r="D95" i="13"/>
  <c r="B96" i="13"/>
  <c r="D96" i="13"/>
  <c r="B97" i="13"/>
  <c r="D97" i="13"/>
  <c r="B98" i="13"/>
  <c r="D98" i="13"/>
  <c r="B99" i="13"/>
  <c r="D99" i="13"/>
  <c r="B100" i="13"/>
  <c r="D100" i="13"/>
  <c r="B101" i="13"/>
  <c r="D101" i="13"/>
  <c r="B102" i="13"/>
  <c r="D102" i="13"/>
  <c r="B103" i="13"/>
  <c r="D103" i="13"/>
  <c r="B104" i="13"/>
  <c r="D104" i="13"/>
  <c r="B105" i="13"/>
  <c r="D105" i="13"/>
  <c r="B106" i="13"/>
  <c r="D106" i="13"/>
  <c r="B107" i="13"/>
  <c r="D107" i="13"/>
  <c r="B108" i="13"/>
  <c r="D108" i="13"/>
  <c r="B109" i="13"/>
  <c r="D109" i="13"/>
  <c r="B110" i="13"/>
  <c r="D110" i="13"/>
  <c r="B111" i="13"/>
  <c r="D111" i="13"/>
  <c r="B112" i="13"/>
  <c r="D112" i="13"/>
  <c r="B113" i="13"/>
  <c r="D113" i="13"/>
  <c r="B114" i="13"/>
  <c r="D114" i="13"/>
  <c r="B115" i="13"/>
  <c r="D115" i="13"/>
  <c r="B116" i="13"/>
  <c r="D116" i="13"/>
  <c r="B117" i="13"/>
  <c r="D117" i="13"/>
  <c r="B118" i="13"/>
  <c r="D118" i="13"/>
  <c r="B119" i="13"/>
  <c r="D119" i="13"/>
  <c r="B120" i="13"/>
  <c r="D120" i="13"/>
  <c r="B121" i="13"/>
  <c r="D121" i="13"/>
  <c r="B122" i="13"/>
  <c r="D122" i="13"/>
  <c r="B123" i="13"/>
  <c r="D123" i="13"/>
  <c r="B124" i="13"/>
  <c r="D124" i="13"/>
  <c r="B125" i="13"/>
  <c r="D125" i="13"/>
  <c r="B126" i="13"/>
  <c r="D126" i="13"/>
  <c r="B127" i="13"/>
  <c r="D127" i="13"/>
  <c r="B128" i="13"/>
  <c r="D128" i="13"/>
  <c r="B129" i="13"/>
  <c r="D129" i="13"/>
  <c r="B130" i="13"/>
  <c r="D130" i="13"/>
  <c r="B131" i="13"/>
  <c r="D131" i="13"/>
  <c r="B132" i="13"/>
  <c r="D132" i="13"/>
  <c r="B133" i="13"/>
  <c r="D133" i="13"/>
  <c r="B134" i="13"/>
  <c r="D134" i="13"/>
  <c r="AC8" i="13"/>
  <c r="AD8" i="13"/>
  <c r="E9" i="13"/>
  <c r="E10" i="13" s="1"/>
  <c r="E11" i="13" s="1"/>
  <c r="E12" i="13" s="1"/>
  <c r="E13" i="13" s="1"/>
  <c r="E14" i="13" s="1"/>
  <c r="E15" i="13" s="1"/>
  <c r="E16" i="13" s="1"/>
  <c r="E17" i="13" s="1"/>
  <c r="E18" i="13" s="1"/>
  <c r="E19" i="13" s="1"/>
  <c r="E20" i="13" s="1"/>
  <c r="E21" i="13" s="1"/>
  <c r="E22" i="13" s="1"/>
  <c r="E23" i="13" s="1"/>
  <c r="E24" i="13" s="1"/>
  <c r="E25" i="13" s="1"/>
  <c r="E26" i="13" s="1"/>
  <c r="AC9" i="13"/>
  <c r="AD9" i="13"/>
  <c r="AC10" i="13"/>
  <c r="AD10" i="13"/>
  <c r="P11" i="13"/>
  <c r="AC11" i="13"/>
  <c r="AD11" i="13"/>
  <c r="AC12" i="13"/>
  <c r="AD12" i="13"/>
  <c r="AC13" i="13"/>
  <c r="AD13" i="13"/>
  <c r="AC14" i="13"/>
  <c r="AD14" i="13"/>
  <c r="AC15" i="13"/>
  <c r="AD15" i="13"/>
  <c r="AC16" i="13"/>
  <c r="AD16" i="13"/>
  <c r="AC17" i="13"/>
  <c r="AD17" i="13"/>
  <c r="AC18" i="13"/>
  <c r="AD18" i="13"/>
  <c r="AC19" i="13"/>
  <c r="AD19" i="13"/>
  <c r="P20" i="13"/>
  <c r="AC20" i="13"/>
  <c r="AD20" i="13"/>
  <c r="AC21" i="13"/>
  <c r="AD21" i="13"/>
  <c r="AC22" i="13"/>
  <c r="AD22" i="13"/>
  <c r="O23" i="13"/>
  <c r="AC23" i="13"/>
  <c r="AD23" i="13"/>
  <c r="AC24" i="13"/>
  <c r="AD24" i="13"/>
  <c r="AC25" i="13"/>
  <c r="AD25" i="13"/>
  <c r="AC26" i="13"/>
  <c r="AD26" i="13"/>
  <c r="E27" i="13"/>
  <c r="E28" i="13" s="1"/>
  <c r="E29" i="13" s="1"/>
  <c r="E30" i="13" s="1"/>
  <c r="E31" i="13" s="1"/>
  <c r="E32" i="13" s="1"/>
  <c r="E33" i="13" s="1"/>
  <c r="E34" i="13" s="1"/>
  <c r="E35" i="13" s="1"/>
  <c r="E36" i="13" s="1"/>
  <c r="E37" i="13" s="1"/>
  <c r="E38" i="13" s="1"/>
  <c r="E39" i="13" s="1"/>
  <c r="E40" i="13" s="1"/>
  <c r="E41" i="13" s="1"/>
  <c r="E42" i="13" s="1"/>
  <c r="E43" i="13" s="1"/>
  <c r="E44" i="13" s="1"/>
  <c r="E45" i="13" s="1"/>
  <c r="E46" i="13" s="1"/>
  <c r="E47" i="13" s="1"/>
  <c r="E48" i="13" s="1"/>
  <c r="E49" i="13" s="1"/>
  <c r="E50" i="13" s="1"/>
  <c r="E51" i="13" s="1"/>
  <c r="E52" i="13" s="1"/>
  <c r="E53" i="13" s="1"/>
  <c r="E54" i="13" s="1"/>
  <c r="E55" i="13" s="1"/>
  <c r="E56" i="13" s="1"/>
  <c r="E57" i="13" s="1"/>
  <c r="E58" i="13" s="1"/>
  <c r="E59" i="13" s="1"/>
  <c r="E60" i="13" s="1"/>
  <c r="E61" i="13" s="1"/>
  <c r="E62" i="13" s="1"/>
  <c r="E63" i="13" s="1"/>
  <c r="E64" i="13" s="1"/>
  <c r="E65" i="13" s="1"/>
  <c r="E66" i="13" s="1"/>
  <c r="E67" i="13" s="1"/>
  <c r="E68" i="13" s="1"/>
  <c r="E69" i="13" s="1"/>
  <c r="E70" i="13" s="1"/>
  <c r="E71" i="13" s="1"/>
  <c r="E72" i="13" s="1"/>
  <c r="E73" i="13" s="1"/>
  <c r="E74" i="13" s="1"/>
  <c r="E75" i="13" s="1"/>
  <c r="E76" i="13" s="1"/>
  <c r="E77" i="13" s="1"/>
  <c r="E78" i="13" s="1"/>
  <c r="E79" i="13" s="1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E91" i="13" s="1"/>
  <c r="E92" i="13" s="1"/>
  <c r="E93" i="13" s="1"/>
  <c r="E94" i="13" s="1"/>
  <c r="E95" i="13" s="1"/>
  <c r="E96" i="13" s="1"/>
  <c r="E97" i="13" s="1"/>
  <c r="E98" i="13" s="1"/>
  <c r="E99" i="13" s="1"/>
  <c r="E100" i="13" s="1"/>
  <c r="E101" i="13" s="1"/>
  <c r="E102" i="13" s="1"/>
  <c r="E103" i="13" s="1"/>
  <c r="E104" i="13" s="1"/>
  <c r="E105" i="13" s="1"/>
  <c r="E106" i="13" s="1"/>
  <c r="E107" i="13" s="1"/>
  <c r="E108" i="13" s="1"/>
  <c r="E109" i="13" s="1"/>
  <c r="E110" i="13" s="1"/>
  <c r="E111" i="13" s="1"/>
  <c r="E112" i="13" s="1"/>
  <c r="E113" i="13" s="1"/>
  <c r="E114" i="13" s="1"/>
  <c r="E115" i="13" s="1"/>
  <c r="E116" i="13" s="1"/>
  <c r="E117" i="13" s="1"/>
  <c r="E118" i="13" s="1"/>
  <c r="E119" i="13" s="1"/>
  <c r="E120" i="13" s="1"/>
  <c r="E121" i="13" s="1"/>
  <c r="E122" i="13" s="1"/>
  <c r="E123" i="13" s="1"/>
  <c r="E124" i="13" s="1"/>
  <c r="E125" i="13" s="1"/>
  <c r="E126" i="13" s="1"/>
  <c r="E127" i="13" s="1"/>
  <c r="E128" i="13" s="1"/>
  <c r="E129" i="13" s="1"/>
  <c r="E130" i="13" s="1"/>
  <c r="E131" i="13" s="1"/>
  <c r="E132" i="13" s="1"/>
  <c r="E133" i="13" s="1"/>
  <c r="E134" i="13" s="1"/>
  <c r="AC27" i="13"/>
  <c r="AD27" i="13"/>
  <c r="AC28" i="13"/>
  <c r="AD28" i="13"/>
  <c r="AC29" i="13"/>
  <c r="AD29" i="13"/>
  <c r="O30" i="13"/>
  <c r="AC30" i="13"/>
  <c r="AD30" i="13"/>
  <c r="AC31" i="13"/>
  <c r="AD31" i="13"/>
  <c r="AC32" i="13"/>
  <c r="AD32" i="13"/>
  <c r="AC33" i="13"/>
  <c r="AD33" i="13"/>
  <c r="AC34" i="13"/>
  <c r="AD34" i="13"/>
  <c r="AC35" i="13"/>
  <c r="AD35" i="13"/>
  <c r="AC36" i="13"/>
  <c r="AD36" i="13"/>
  <c r="AC37" i="13"/>
  <c r="AC38" i="13"/>
  <c r="Q45" i="11"/>
  <c r="AD38" i="13" s="1"/>
  <c r="AC39" i="13"/>
  <c r="AD39" i="13"/>
  <c r="AC40" i="13"/>
  <c r="AD40" i="13"/>
  <c r="AC41" i="13"/>
  <c r="AD41" i="13"/>
  <c r="O42" i="13"/>
  <c r="AC42" i="13"/>
  <c r="Q49" i="11"/>
  <c r="AD42" i="13" s="1"/>
  <c r="AC43" i="13"/>
  <c r="AD43" i="13"/>
  <c r="AC44" i="13"/>
  <c r="AD44" i="13"/>
  <c r="AC45" i="13"/>
  <c r="AD45" i="13"/>
  <c r="AC46" i="13"/>
  <c r="AD46" i="13"/>
  <c r="O47" i="13"/>
  <c r="AC47" i="13"/>
  <c r="AD47" i="13"/>
  <c r="P48" i="13"/>
  <c r="AC48" i="13"/>
  <c r="AD48" i="13"/>
  <c r="AC49" i="13"/>
  <c r="AD49" i="13"/>
  <c r="O50" i="13"/>
  <c r="AC50" i="13"/>
  <c r="AD50" i="13"/>
  <c r="P51" i="13"/>
  <c r="AC51" i="13"/>
  <c r="AD51" i="13"/>
  <c r="O52" i="13"/>
  <c r="AC52" i="13"/>
  <c r="AD52" i="13"/>
  <c r="O53" i="13"/>
  <c r="AC53" i="13"/>
  <c r="AD53" i="13"/>
  <c r="AC54" i="13"/>
  <c r="AD54" i="13"/>
  <c r="O55" i="13"/>
  <c r="AC55" i="13"/>
  <c r="AD55" i="13"/>
  <c r="O56" i="13"/>
  <c r="AC56" i="13"/>
  <c r="AD56" i="13"/>
  <c r="O57" i="13"/>
  <c r="AC57" i="13"/>
  <c r="AD57" i="13"/>
  <c r="AC58" i="13"/>
  <c r="AD58" i="13"/>
  <c r="AC59" i="13"/>
  <c r="AD59" i="13"/>
  <c r="AC60" i="13"/>
  <c r="AD60" i="13"/>
  <c r="AC61" i="13"/>
  <c r="AD61" i="13"/>
  <c r="AC62" i="13"/>
  <c r="AD62" i="13"/>
  <c r="O63" i="13"/>
  <c r="AC63" i="13"/>
  <c r="AD63" i="13"/>
  <c r="AC64" i="13"/>
  <c r="AD64" i="13"/>
  <c r="O65" i="13"/>
  <c r="AC65" i="13"/>
  <c r="AD65" i="13"/>
  <c r="P66" i="13"/>
  <c r="AC66" i="13"/>
  <c r="AD66" i="13"/>
  <c r="AC67" i="13"/>
  <c r="AD67" i="13"/>
  <c r="P68" i="13"/>
  <c r="AC68" i="13"/>
  <c r="AD68" i="13"/>
  <c r="AC69" i="13"/>
  <c r="AD69" i="13"/>
  <c r="AC70" i="13"/>
  <c r="AD70" i="13"/>
  <c r="O71" i="13"/>
  <c r="P71" i="13"/>
  <c r="AC71" i="13"/>
  <c r="AD71" i="13"/>
  <c r="O72" i="13"/>
  <c r="AC72" i="13"/>
  <c r="AD72" i="13"/>
  <c r="AC73" i="13"/>
  <c r="AD73" i="13"/>
  <c r="O74" i="13"/>
  <c r="AC74" i="13"/>
  <c r="AD74" i="13"/>
  <c r="P75" i="13"/>
  <c r="AC75" i="13"/>
  <c r="AD75" i="13"/>
  <c r="AC76" i="13"/>
  <c r="AD76" i="13"/>
  <c r="O77" i="13"/>
  <c r="AC77" i="13"/>
  <c r="AC78" i="13"/>
  <c r="AD78" i="13"/>
  <c r="AC79" i="13"/>
  <c r="AD79" i="13"/>
  <c r="O80" i="13"/>
  <c r="P80" i="13"/>
  <c r="AC80" i="13"/>
  <c r="AD80" i="13"/>
  <c r="AC81" i="13"/>
  <c r="AD81" i="13"/>
  <c r="AC82" i="13"/>
  <c r="AD82" i="13"/>
  <c r="P83" i="13"/>
  <c r="AC83" i="13"/>
  <c r="AD83" i="13"/>
  <c r="AC84" i="13"/>
  <c r="AD84" i="13"/>
  <c r="AC85" i="13"/>
  <c r="AD85" i="13"/>
  <c r="O86" i="13"/>
  <c r="AC86" i="13"/>
  <c r="AD86" i="13"/>
  <c r="AC87" i="13"/>
  <c r="AD87" i="13"/>
  <c r="AC88" i="13"/>
  <c r="AD88" i="13"/>
  <c r="O89" i="13"/>
  <c r="P89" i="13"/>
  <c r="AC89" i="13"/>
  <c r="AD89" i="13"/>
  <c r="AC90" i="13"/>
  <c r="AD90" i="13"/>
  <c r="AC91" i="13"/>
  <c r="AD91" i="13"/>
  <c r="AC92" i="13"/>
  <c r="AD92" i="13"/>
  <c r="O93" i="13"/>
  <c r="AC93" i="13"/>
  <c r="AD93" i="13"/>
  <c r="AC94" i="13"/>
  <c r="AD94" i="13"/>
  <c r="P95" i="13"/>
  <c r="AC95" i="13"/>
  <c r="AD95" i="13"/>
  <c r="P96" i="13"/>
  <c r="AC96" i="13"/>
  <c r="AD96" i="13"/>
  <c r="P97" i="13"/>
  <c r="AC97" i="13"/>
  <c r="AD97" i="13"/>
  <c r="O98" i="13"/>
  <c r="AC98" i="13"/>
  <c r="AD98" i="13"/>
  <c r="P99" i="13"/>
  <c r="AC99" i="13"/>
  <c r="AD99" i="13"/>
  <c r="AC100" i="13"/>
  <c r="AD100" i="13"/>
  <c r="P101" i="13"/>
  <c r="AC101" i="13"/>
  <c r="AD101" i="13"/>
  <c r="O102" i="13"/>
  <c r="AC102" i="13"/>
  <c r="AD102" i="13"/>
  <c r="P103" i="13"/>
  <c r="AC103" i="13"/>
  <c r="AD103" i="13"/>
  <c r="O104" i="13"/>
  <c r="AC104" i="13"/>
  <c r="AD104" i="13"/>
  <c r="P105" i="13"/>
  <c r="AC105" i="13"/>
  <c r="AD105" i="13"/>
  <c r="AC106" i="13"/>
  <c r="AD106" i="13"/>
  <c r="P107" i="13"/>
  <c r="AC107" i="13"/>
  <c r="AD107" i="13"/>
  <c r="O108" i="13"/>
  <c r="AC108" i="13"/>
  <c r="AD108" i="13"/>
  <c r="P109" i="13"/>
  <c r="AC109" i="13"/>
  <c r="AD109" i="13"/>
  <c r="O110" i="13"/>
  <c r="AC110" i="13"/>
  <c r="AD110" i="13"/>
  <c r="P111" i="13"/>
  <c r="AC111" i="13"/>
  <c r="AD111" i="13"/>
  <c r="AC112" i="13"/>
  <c r="AD112" i="13"/>
  <c r="P113" i="13"/>
  <c r="AC113" i="13"/>
  <c r="AD113" i="13"/>
  <c r="O114" i="13"/>
  <c r="AC114" i="13"/>
  <c r="AD114" i="13"/>
  <c r="P115" i="13"/>
  <c r="AC115" i="13"/>
  <c r="AD115" i="13"/>
  <c r="P116" i="13"/>
  <c r="AC116" i="13"/>
  <c r="AD116" i="13"/>
  <c r="O117" i="13"/>
  <c r="AC117" i="13"/>
  <c r="AD117" i="13"/>
  <c r="P118" i="13"/>
  <c r="AC118" i="13"/>
  <c r="AD118" i="13"/>
  <c r="AC119" i="13"/>
  <c r="AD119" i="13"/>
  <c r="O120" i="13"/>
  <c r="AC120" i="13"/>
  <c r="AD120" i="13"/>
  <c r="O121" i="13"/>
  <c r="AC121" i="13"/>
  <c r="AD121" i="13"/>
  <c r="AC122" i="13"/>
  <c r="AD122" i="13"/>
  <c r="AC123" i="13"/>
  <c r="AD123" i="13"/>
  <c r="O124" i="13"/>
  <c r="AC124" i="13"/>
  <c r="AD124" i="13"/>
  <c r="P125" i="13"/>
  <c r="AC125" i="13"/>
  <c r="AD125" i="13"/>
  <c r="O126" i="13"/>
  <c r="AC126" i="13"/>
  <c r="AD126" i="13"/>
  <c r="AC127" i="13"/>
  <c r="AD127" i="13"/>
  <c r="AC128" i="13"/>
  <c r="Q135" i="11"/>
  <c r="AD128" i="13" s="1"/>
  <c r="P129" i="13"/>
  <c r="AC129" i="13"/>
  <c r="AD129" i="13"/>
  <c r="AC130" i="13"/>
  <c r="AD130" i="13"/>
  <c r="AC131" i="13"/>
  <c r="AD131" i="13"/>
  <c r="O132" i="13"/>
  <c r="AC132" i="13"/>
  <c r="AC133" i="13"/>
  <c r="AC134" i="13"/>
  <c r="AD134" i="13"/>
  <c r="M40" i="13"/>
  <c r="M64" i="13"/>
  <c r="K64" i="13" s="1"/>
  <c r="M66" i="13"/>
  <c r="K66" i="13" s="1"/>
  <c r="M68" i="13"/>
  <c r="K68" i="13" s="1"/>
  <c r="M133" i="13"/>
  <c r="V2" i="13"/>
  <c r="U2" i="13"/>
  <c r="T2" i="13"/>
  <c r="R2" i="13"/>
  <c r="P2" i="13"/>
  <c r="L2" i="13"/>
  <c r="K2" i="13"/>
  <c r="I2" i="13"/>
  <c r="T3" i="13"/>
  <c r="V3" i="13"/>
  <c r="W1" i="13"/>
  <c r="X1" i="13"/>
  <c r="Y3" i="13"/>
  <c r="Y1" i="13" s="1"/>
  <c r="Z3" i="13"/>
  <c r="Z1" i="13" s="1"/>
  <c r="AA1" i="13"/>
  <c r="AB1" i="13"/>
  <c r="AC1" i="13"/>
  <c r="AD1" i="13"/>
  <c r="I14" i="11"/>
  <c r="I15" i="11"/>
  <c r="I16" i="11"/>
  <c r="I17" i="11"/>
  <c r="I20" i="11"/>
  <c r="I21" i="11"/>
  <c r="I22" i="11"/>
  <c r="I23" i="11"/>
  <c r="I24" i="11"/>
  <c r="I25" i="11"/>
  <c r="I26" i="11"/>
  <c r="I27" i="11"/>
  <c r="I28" i="11"/>
  <c r="I33" i="11"/>
  <c r="I34" i="11"/>
  <c r="I36" i="11"/>
  <c r="I37" i="11"/>
  <c r="I38" i="11"/>
  <c r="I39" i="11"/>
  <c r="I40" i="11"/>
  <c r="I41" i="11"/>
  <c r="I43" i="11"/>
  <c r="I50" i="11"/>
  <c r="I53" i="11"/>
  <c r="I54" i="11"/>
  <c r="H56" i="11"/>
  <c r="I56" i="11" s="1"/>
  <c r="H57" i="11"/>
  <c r="I57" i="11" s="1"/>
  <c r="I58" i="11"/>
  <c r="I59" i="11"/>
  <c r="I60" i="11"/>
  <c r="I61" i="11"/>
  <c r="I62" i="11"/>
  <c r="I63" i="11"/>
  <c r="I64" i="11"/>
  <c r="I66" i="11"/>
  <c r="I67" i="11"/>
  <c r="I69" i="11"/>
  <c r="I78" i="11"/>
  <c r="I79" i="11"/>
  <c r="I81" i="11"/>
  <c r="I82" i="11"/>
  <c r="I85" i="11"/>
  <c r="I88" i="11"/>
  <c r="I90" i="11"/>
  <c r="I91" i="11"/>
  <c r="I92" i="11"/>
  <c r="I93" i="11"/>
  <c r="I94" i="11"/>
  <c r="I99" i="11"/>
  <c r="I100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34" i="11"/>
  <c r="N14" i="11"/>
  <c r="N15" i="11"/>
  <c r="N16" i="11"/>
  <c r="O16" i="11" s="1"/>
  <c r="R16" i="11" s="1"/>
  <c r="N17" i="11"/>
  <c r="N20" i="11"/>
  <c r="O20" i="11" s="1"/>
  <c r="R20" i="11" s="1"/>
  <c r="N21" i="11"/>
  <c r="N22" i="11"/>
  <c r="O22" i="11" s="1"/>
  <c r="R22" i="11" s="1"/>
  <c r="N23" i="11"/>
  <c r="N24" i="11"/>
  <c r="O24" i="11" s="1"/>
  <c r="R24" i="11" s="1"/>
  <c r="N25" i="11"/>
  <c r="N26" i="11"/>
  <c r="O26" i="11" s="1"/>
  <c r="R26" i="11" s="1"/>
  <c r="N27" i="11"/>
  <c r="N28" i="11"/>
  <c r="O28" i="11" s="1"/>
  <c r="R28" i="11" s="1"/>
  <c r="N33" i="11"/>
  <c r="N34" i="11"/>
  <c r="O34" i="11" s="1"/>
  <c r="R34" i="11" s="1"/>
  <c r="N36" i="11"/>
  <c r="O36" i="11" s="1"/>
  <c r="R36" i="11" s="1"/>
  <c r="N37" i="11"/>
  <c r="N38" i="11"/>
  <c r="O38" i="11" s="1"/>
  <c r="R38" i="11" s="1"/>
  <c r="N39" i="11"/>
  <c r="N40" i="11"/>
  <c r="O40" i="11" s="1"/>
  <c r="R40" i="11" s="1"/>
  <c r="N41" i="11"/>
  <c r="N43" i="11"/>
  <c r="N44" i="11"/>
  <c r="O44" i="11" s="1"/>
  <c r="R44" i="11" s="1"/>
  <c r="N45" i="11"/>
  <c r="O46" i="11"/>
  <c r="O47" i="11"/>
  <c r="N49" i="11"/>
  <c r="N50" i="11"/>
  <c r="O50" i="11" s="1"/>
  <c r="R50" i="11" s="1"/>
  <c r="N53" i="11"/>
  <c r="N54" i="11"/>
  <c r="O54" i="11" s="1"/>
  <c r="R54" i="11" s="1"/>
  <c r="N56" i="11"/>
  <c r="O56" i="11" s="1"/>
  <c r="R56" i="11" s="1"/>
  <c r="N57" i="11"/>
  <c r="N58" i="11"/>
  <c r="O58" i="11" s="1"/>
  <c r="R58" i="11" s="1"/>
  <c r="N59" i="11"/>
  <c r="N60" i="11"/>
  <c r="O60" i="11" s="1"/>
  <c r="R60" i="11" s="1"/>
  <c r="N61" i="11"/>
  <c r="N62" i="11"/>
  <c r="O62" i="11" s="1"/>
  <c r="R62" i="11" s="1"/>
  <c r="N63" i="11"/>
  <c r="N64" i="11"/>
  <c r="O64" i="11" s="1"/>
  <c r="R64" i="11" s="1"/>
  <c r="N66" i="11"/>
  <c r="O66" i="11" s="1"/>
  <c r="R66" i="11" s="1"/>
  <c r="N67" i="11"/>
  <c r="N69" i="11"/>
  <c r="N78" i="11"/>
  <c r="O78" i="11" s="1"/>
  <c r="R78" i="11" s="1"/>
  <c r="N79" i="11"/>
  <c r="N81" i="11"/>
  <c r="N82" i="11"/>
  <c r="O82" i="11" s="1"/>
  <c r="R82" i="11" s="1"/>
  <c r="N84" i="11"/>
  <c r="O84" i="11" s="1"/>
  <c r="R84" i="11" s="1"/>
  <c r="N85" i="11"/>
  <c r="N88" i="11"/>
  <c r="O88" i="11" s="1"/>
  <c r="R88" i="11" s="1"/>
  <c r="N90" i="11"/>
  <c r="O90" i="11" s="1"/>
  <c r="R90" i="11" s="1"/>
  <c r="N91" i="11"/>
  <c r="N92" i="11"/>
  <c r="O92" i="11" s="1"/>
  <c r="R92" i="11" s="1"/>
  <c r="N93" i="11"/>
  <c r="N94" i="11"/>
  <c r="O94" i="11" s="1"/>
  <c r="R94" i="11" s="1"/>
  <c r="N99" i="11"/>
  <c r="O99" i="11" s="1"/>
  <c r="R99" i="11" s="1"/>
  <c r="N100" i="11"/>
  <c r="N105" i="11"/>
  <c r="O105" i="11" s="1"/>
  <c r="R105" i="11" s="1"/>
  <c r="N106" i="11"/>
  <c r="N107" i="11"/>
  <c r="O107" i="11"/>
  <c r="R107" i="11" s="1"/>
  <c r="N108" i="11"/>
  <c r="N109" i="11"/>
  <c r="O109" i="11" s="1"/>
  <c r="R109" i="11" s="1"/>
  <c r="N110" i="11"/>
  <c r="N111" i="11"/>
  <c r="O111" i="11" s="1"/>
  <c r="R111" i="11" s="1"/>
  <c r="N112" i="11"/>
  <c r="N113" i="11"/>
  <c r="O113" i="11" s="1"/>
  <c r="R113" i="11" s="1"/>
  <c r="N114" i="11"/>
  <c r="N115" i="11"/>
  <c r="O115" i="11" s="1"/>
  <c r="R115" i="11" s="1"/>
  <c r="N116" i="11"/>
  <c r="N117" i="11"/>
  <c r="O117" i="11" s="1"/>
  <c r="R117" i="11" s="1"/>
  <c r="N127" i="11"/>
  <c r="O128" i="11"/>
  <c r="N134" i="11"/>
  <c r="N135" i="11"/>
  <c r="O135" i="11" s="1"/>
  <c r="R135" i="11" s="1"/>
  <c r="S135" i="11" s="1"/>
  <c r="O140" i="11"/>
  <c r="P44" i="11"/>
  <c r="P47" i="11"/>
  <c r="AB40" i="13" s="1"/>
  <c r="P84" i="11"/>
  <c r="P140" i="11"/>
  <c r="AB133" i="13" s="1"/>
  <c r="Q140" i="11"/>
  <c r="AD133" i="13" s="1"/>
  <c r="R46" i="11"/>
  <c r="R47" i="11"/>
  <c r="R140" i="11"/>
  <c r="R141" i="11"/>
  <c r="S127" i="11"/>
  <c r="S140" i="11"/>
  <c r="H118" i="11"/>
  <c r="J118" i="11"/>
  <c r="AA111" i="13" s="1"/>
  <c r="I118" i="11"/>
  <c r="O118" i="11"/>
  <c r="H89" i="11"/>
  <c r="H120" i="11"/>
  <c r="H121" i="11"/>
  <c r="H136" i="11"/>
  <c r="N46" i="11"/>
  <c r="N47" i="11"/>
  <c r="N89" i="11"/>
  <c r="N118" i="11"/>
  <c r="N119" i="11"/>
  <c r="N121" i="11"/>
  <c r="N128" i="11"/>
  <c r="N130" i="11"/>
  <c r="N136" i="11"/>
  <c r="N140" i="11"/>
  <c r="L118" i="11"/>
  <c r="R118" i="11"/>
  <c r="C7" i="13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C85" i="13" s="1"/>
  <c r="C86" i="13" s="1"/>
  <c r="C87" i="13" s="1"/>
  <c r="C88" i="13" s="1"/>
  <c r="C89" i="13" s="1"/>
  <c r="C90" i="13" s="1"/>
  <c r="C91" i="13" s="1"/>
  <c r="C92" i="13" s="1"/>
  <c r="C93" i="13" s="1"/>
  <c r="C94" i="13" s="1"/>
  <c r="C95" i="13" s="1"/>
  <c r="C96" i="13" s="1"/>
  <c r="C97" i="13" s="1"/>
  <c r="C98" i="13" s="1"/>
  <c r="C99" i="13" s="1"/>
  <c r="C100" i="13" s="1"/>
  <c r="C101" i="13" s="1"/>
  <c r="C102" i="13" s="1"/>
  <c r="C103" i="13" s="1"/>
  <c r="C104" i="13" s="1"/>
  <c r="C105" i="13" s="1"/>
  <c r="C106" i="13" s="1"/>
  <c r="C107" i="13" s="1"/>
  <c r="C108" i="13" s="1"/>
  <c r="C109" i="13" s="1"/>
  <c r="C110" i="13" s="1"/>
  <c r="C111" i="13" s="1"/>
  <c r="C112" i="13" s="1"/>
  <c r="C113" i="13" s="1"/>
  <c r="C114" i="13" s="1"/>
  <c r="C115" i="13" s="1"/>
  <c r="C116" i="13" s="1"/>
  <c r="C117" i="13" s="1"/>
  <c r="C118" i="13" s="1"/>
  <c r="C119" i="13" s="1"/>
  <c r="C120" i="13" s="1"/>
  <c r="C121" i="13" s="1"/>
  <c r="C122" i="13" s="1"/>
  <c r="C123" i="13" s="1"/>
  <c r="C124" i="13" s="1"/>
  <c r="C125" i="13" s="1"/>
  <c r="C126" i="13" s="1"/>
  <c r="C127" i="13" s="1"/>
  <c r="C128" i="13" s="1"/>
  <c r="C129" i="13" s="1"/>
  <c r="C130" i="13" s="1"/>
  <c r="C131" i="13" s="1"/>
  <c r="C132" i="13" s="1"/>
  <c r="C133" i="13" s="1"/>
  <c r="C134" i="13" s="1"/>
  <c r="A8" i="13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E7" i="13"/>
  <c r="E8" i="13" s="1"/>
  <c r="CL446" i="31"/>
  <c r="Z28" i="31"/>
  <c r="CJ28" i="31" s="1"/>
  <c r="N28" i="31"/>
  <c r="AG28" i="31"/>
  <c r="CK28" i="31"/>
  <c r="CL28" i="31"/>
  <c r="H58" i="31"/>
  <c r="CJ58" i="31" s="1"/>
  <c r="Z58" i="31"/>
  <c r="N58" i="31"/>
  <c r="AG58" i="31"/>
  <c r="Z61" i="31"/>
  <c r="CJ61" i="31"/>
  <c r="N61" i="31"/>
  <c r="AG61" i="31"/>
  <c r="CK61" i="31"/>
  <c r="CL61" i="31"/>
  <c r="Z111" i="31"/>
  <c r="CJ111" i="31" s="1"/>
  <c r="N111" i="31"/>
  <c r="AG111" i="31"/>
  <c r="Z14" i="31"/>
  <c r="CJ14" i="31"/>
  <c r="N14" i="31"/>
  <c r="CK14" i="31" s="1"/>
  <c r="CL14" i="31" s="1"/>
  <c r="AG14" i="31"/>
  <c r="Z15" i="31"/>
  <c r="CJ15" i="31"/>
  <c r="N15" i="31"/>
  <c r="AG15" i="31"/>
  <c r="Z16" i="31"/>
  <c r="CJ16" i="31"/>
  <c r="N16" i="31"/>
  <c r="AG16" i="31"/>
  <c r="CK16" i="31" s="1"/>
  <c r="CL16" i="31" s="1"/>
  <c r="Z17" i="31"/>
  <c r="CJ17" i="31"/>
  <c r="N17" i="31"/>
  <c r="CK17" i="31" s="1"/>
  <c r="AG17" i="31"/>
  <c r="Z18" i="31"/>
  <c r="CJ18" i="31"/>
  <c r="AG18" i="31"/>
  <c r="CK18" i="31"/>
  <c r="CL18" i="31"/>
  <c r="Z19" i="31"/>
  <c r="CJ19" i="31"/>
  <c r="AG19" i="31"/>
  <c r="CK19" i="31"/>
  <c r="CL19" i="31" s="1"/>
  <c r="Z20" i="31"/>
  <c r="CJ20" i="31"/>
  <c r="CL20" i="31" s="1"/>
  <c r="N20" i="31"/>
  <c r="AG20" i="31"/>
  <c r="CK20" i="31" s="1"/>
  <c r="Z21" i="31"/>
  <c r="CJ21" i="31" s="1"/>
  <c r="N21" i="31"/>
  <c r="AG21" i="31"/>
  <c r="CK21" i="31"/>
  <c r="CL21" i="31"/>
  <c r="Z22" i="31"/>
  <c r="CJ22" i="31"/>
  <c r="N22" i="31"/>
  <c r="AG22" i="31"/>
  <c r="CK22" i="31" s="1"/>
  <c r="Z23" i="31"/>
  <c r="CJ23" i="31" s="1"/>
  <c r="CL23" i="31" s="1"/>
  <c r="N23" i="31"/>
  <c r="AG23" i="31"/>
  <c r="CK23" i="31"/>
  <c r="Z24" i="31"/>
  <c r="CJ24" i="31"/>
  <c r="N24" i="31"/>
  <c r="AG24" i="31"/>
  <c r="CK24" i="31" s="1"/>
  <c r="Z25" i="31"/>
  <c r="CJ25" i="31" s="1"/>
  <c r="N25" i="31"/>
  <c r="AG25" i="31"/>
  <c r="CK25" i="31"/>
  <c r="Z26" i="31"/>
  <c r="CJ26" i="31"/>
  <c r="N26" i="31"/>
  <c r="AG26" i="31"/>
  <c r="CK26" i="31" s="1"/>
  <c r="Z27" i="31"/>
  <c r="CJ27" i="31" s="1"/>
  <c r="N27" i="31"/>
  <c r="AG27" i="31"/>
  <c r="CK27" i="31"/>
  <c r="CL27" i="31" s="1"/>
  <c r="Z29" i="31"/>
  <c r="CJ29" i="31"/>
  <c r="CL29" i="31" s="1"/>
  <c r="AG29" i="31"/>
  <c r="CK29" i="31"/>
  <c r="Z30" i="31"/>
  <c r="CJ30" i="31"/>
  <c r="CL30" i="31" s="1"/>
  <c r="AG30" i="31"/>
  <c r="CK30" i="31"/>
  <c r="Z31" i="31"/>
  <c r="CJ31" i="31"/>
  <c r="CL31" i="31" s="1"/>
  <c r="AG31" i="31"/>
  <c r="CK31" i="31"/>
  <c r="Z32" i="31"/>
  <c r="CJ32" i="31"/>
  <c r="AG32" i="31"/>
  <c r="CK32" i="31"/>
  <c r="CL32" i="31"/>
  <c r="Z33" i="31"/>
  <c r="CJ33" i="31"/>
  <c r="N33" i="31"/>
  <c r="AG33" i="31"/>
  <c r="Z34" i="31"/>
  <c r="CJ34" i="31"/>
  <c r="N34" i="31"/>
  <c r="CK34" i="31" s="1"/>
  <c r="AG34" i="31"/>
  <c r="Z35" i="31"/>
  <c r="CJ35" i="31" s="1"/>
  <c r="CL35" i="31" s="1"/>
  <c r="AG35" i="31"/>
  <c r="CK35" i="31"/>
  <c r="CJ36" i="31"/>
  <c r="CL36" i="31" s="1"/>
  <c r="CK36" i="31"/>
  <c r="Z37" i="31"/>
  <c r="CJ37" i="31" s="1"/>
  <c r="N37" i="31"/>
  <c r="CK37" i="31" s="1"/>
  <c r="AG37" i="31"/>
  <c r="CL37" i="31"/>
  <c r="Z38" i="31"/>
  <c r="CJ38" i="31"/>
  <c r="N38" i="31"/>
  <c r="AG38" i="31"/>
  <c r="CK38" i="31" s="1"/>
  <c r="CL38" i="31"/>
  <c r="Z39" i="31"/>
  <c r="CJ39" i="31"/>
  <c r="N39" i="31"/>
  <c r="CK39" i="31" s="1"/>
  <c r="AG39" i="31"/>
  <c r="Z40" i="31"/>
  <c r="CJ40" i="31" s="1"/>
  <c r="CL40" i="31" s="1"/>
  <c r="N40" i="31"/>
  <c r="AG40" i="31"/>
  <c r="CK40" i="31" s="1"/>
  <c r="Z41" i="31"/>
  <c r="CJ41" i="31" s="1"/>
  <c r="CL41" i="31" s="1"/>
  <c r="N41" i="31"/>
  <c r="CK41" i="31" s="1"/>
  <c r="AG41" i="31"/>
  <c r="Z42" i="31"/>
  <c r="CJ42" i="31"/>
  <c r="CL42" i="31" s="1"/>
  <c r="N42" i="31"/>
  <c r="AG42" i="31"/>
  <c r="CK42" i="31" s="1"/>
  <c r="Z43" i="31"/>
  <c r="CJ43" i="31"/>
  <c r="CL43" i="31" s="1"/>
  <c r="AG43" i="31"/>
  <c r="CK43" i="31"/>
  <c r="Z44" i="31"/>
  <c r="CJ44" i="31" s="1"/>
  <c r="CL44" i="31" s="1"/>
  <c r="N44" i="31"/>
  <c r="AG44" i="31"/>
  <c r="CK44" i="31"/>
  <c r="CJ45" i="31"/>
  <c r="CK45" i="31"/>
  <c r="CL45" i="31"/>
  <c r="N46" i="31"/>
  <c r="Z46" i="31"/>
  <c r="AG46" i="31"/>
  <c r="N47" i="31"/>
  <c r="Z47" i="31"/>
  <c r="CJ47" i="31" s="1"/>
  <c r="CL47" i="31" s="1"/>
  <c r="AG47" i="31"/>
  <c r="CK47" i="31"/>
  <c r="N48" i="31"/>
  <c r="Z48" i="31"/>
  <c r="AG48" i="31"/>
  <c r="N49" i="31"/>
  <c r="T49" i="31"/>
  <c r="Z49" i="31" s="1"/>
  <c r="CJ49" i="31"/>
  <c r="AA49" i="31"/>
  <c r="AG49" i="31"/>
  <c r="CK49" i="31"/>
  <c r="CL49" i="31"/>
  <c r="N51" i="31"/>
  <c r="V51" i="31"/>
  <c r="Z51" i="31"/>
  <c r="AC51" i="31"/>
  <c r="AG51" i="31"/>
  <c r="Z52" i="31"/>
  <c r="CJ52" i="31" s="1"/>
  <c r="N52" i="31"/>
  <c r="AG52" i="31"/>
  <c r="CK52" i="31"/>
  <c r="CL52" i="31"/>
  <c r="Z53" i="31"/>
  <c r="CJ53" i="31"/>
  <c r="CL53" i="31" s="1"/>
  <c r="AG53" i="31"/>
  <c r="CK53" i="31"/>
  <c r="Z54" i="31"/>
  <c r="CJ54" i="31"/>
  <c r="AG54" i="31"/>
  <c r="CK54" i="31" s="1"/>
  <c r="CL54" i="31" s="1"/>
  <c r="Z55" i="31"/>
  <c r="CJ55" i="31"/>
  <c r="N55" i="31"/>
  <c r="CK55" i="31" s="1"/>
  <c r="AG55" i="31"/>
  <c r="Z56" i="31"/>
  <c r="CJ56" i="31"/>
  <c r="N56" i="31"/>
  <c r="AG56" i="31"/>
  <c r="CK56" i="31"/>
  <c r="Z57" i="31"/>
  <c r="CJ57" i="31"/>
  <c r="AG57" i="31"/>
  <c r="CK57" i="31" s="1"/>
  <c r="H59" i="31"/>
  <c r="Z59" i="31"/>
  <c r="CJ59" i="31"/>
  <c r="N59" i="31"/>
  <c r="CK59" i="31" s="1"/>
  <c r="AG59" i="31"/>
  <c r="CL59" i="31"/>
  <c r="Z60" i="31"/>
  <c r="CJ60" i="31"/>
  <c r="N60" i="31"/>
  <c r="AG60" i="31"/>
  <c r="Z62" i="31"/>
  <c r="CJ62" i="31"/>
  <c r="N62" i="31"/>
  <c r="CK62" i="31" s="1"/>
  <c r="AG62" i="31"/>
  <c r="Z63" i="31"/>
  <c r="CJ63" i="31" s="1"/>
  <c r="N63" i="31"/>
  <c r="AG63" i="31"/>
  <c r="Z64" i="31"/>
  <c r="CJ64" i="31"/>
  <c r="CL64" i="31" s="1"/>
  <c r="N64" i="31"/>
  <c r="CK64" i="31" s="1"/>
  <c r="AG64" i="31"/>
  <c r="Z65" i="31"/>
  <c r="CJ65" i="31"/>
  <c r="N65" i="31"/>
  <c r="AG65" i="31"/>
  <c r="Z66" i="31"/>
  <c r="CJ66" i="31"/>
  <c r="CL66" i="31" s="1"/>
  <c r="N66" i="31"/>
  <c r="AG66" i="31"/>
  <c r="CK66" i="31" s="1"/>
  <c r="Z67" i="31"/>
  <c r="CJ67" i="31"/>
  <c r="AG67" i="31"/>
  <c r="CK67" i="31" s="1"/>
  <c r="Z68" i="31"/>
  <c r="CJ68" i="31" s="1"/>
  <c r="N68" i="31"/>
  <c r="AG68" i="31"/>
  <c r="CK68" i="31"/>
  <c r="Z69" i="31"/>
  <c r="CJ69" i="31" s="1"/>
  <c r="N69" i="31"/>
  <c r="CK69" i="31" s="1"/>
  <c r="AG69" i="31"/>
  <c r="Z70" i="31"/>
  <c r="CJ70" i="31" s="1"/>
  <c r="CL70" i="31" s="1"/>
  <c r="AG70" i="31"/>
  <c r="CK70" i="31"/>
  <c r="Z71" i="31"/>
  <c r="CJ71" i="31" s="1"/>
  <c r="CL71" i="31" s="1"/>
  <c r="N71" i="31"/>
  <c r="AG71" i="31"/>
  <c r="CK71" i="31" s="1"/>
  <c r="T72" i="31"/>
  <c r="Z72" i="31"/>
  <c r="CJ72" i="31" s="1"/>
  <c r="AG72" i="31"/>
  <c r="CK72" i="31" s="1"/>
  <c r="CL72" i="31" s="1"/>
  <c r="T73" i="31"/>
  <c r="Z73" i="31"/>
  <c r="CJ73" i="31" s="1"/>
  <c r="CL73" i="31" s="1"/>
  <c r="AA73" i="31"/>
  <c r="AG73" i="31"/>
  <c r="CK73" i="31" s="1"/>
  <c r="T74" i="31"/>
  <c r="Z74" i="31" s="1"/>
  <c r="CJ74" i="31" s="1"/>
  <c r="CL74" i="31" s="1"/>
  <c r="AA74" i="31"/>
  <c r="AG74" i="31"/>
  <c r="CK74" i="31" s="1"/>
  <c r="T75" i="31"/>
  <c r="Z75" i="31"/>
  <c r="CJ75" i="31"/>
  <c r="CL75" i="31" s="1"/>
  <c r="AA75" i="31"/>
  <c r="AG75" i="31" s="1"/>
  <c r="CK75" i="31"/>
  <c r="T76" i="31"/>
  <c r="Z76" i="31"/>
  <c r="CJ76" i="31" s="1"/>
  <c r="AA76" i="31"/>
  <c r="AG76" i="31"/>
  <c r="CK76" i="31" s="1"/>
  <c r="T77" i="31"/>
  <c r="Z77" i="31"/>
  <c r="CJ77" i="31" s="1"/>
  <c r="AA77" i="31"/>
  <c r="AG77" i="31" s="1"/>
  <c r="CK77" i="31" s="1"/>
  <c r="T78" i="31"/>
  <c r="Z78" i="31"/>
  <c r="CJ78" i="31" s="1"/>
  <c r="CL78" i="31" s="1"/>
  <c r="AA78" i="31"/>
  <c r="AG78" i="31"/>
  <c r="CK78" i="31" s="1"/>
  <c r="Z79" i="31"/>
  <c r="CJ79" i="31"/>
  <c r="CL79" i="31" s="1"/>
  <c r="AG79" i="31"/>
  <c r="CK79" i="31"/>
  <c r="Z80" i="31"/>
  <c r="CJ80" i="31"/>
  <c r="N80" i="31"/>
  <c r="AG80" i="31"/>
  <c r="CK80" i="31"/>
  <c r="CL80" i="31" s="1"/>
  <c r="Z81" i="31"/>
  <c r="CJ81" i="31" s="1"/>
  <c r="N81" i="31"/>
  <c r="AG81" i="31"/>
  <c r="CK81" i="31"/>
  <c r="Z82" i="31"/>
  <c r="CJ82" i="31" s="1"/>
  <c r="CL82" i="31" s="1"/>
  <c r="AG82" i="31"/>
  <c r="CK82" i="31" s="1"/>
  <c r="Z83" i="31"/>
  <c r="CJ83" i="31" s="1"/>
  <c r="CL83" i="31" s="1"/>
  <c r="N83" i="31"/>
  <c r="AG83" i="31"/>
  <c r="CK83" i="31" s="1"/>
  <c r="Z84" i="31"/>
  <c r="CJ84" i="31" s="1"/>
  <c r="CL84" i="31" s="1"/>
  <c r="N84" i="31"/>
  <c r="AG84" i="31"/>
  <c r="CK84" i="31"/>
  <c r="Z85" i="31"/>
  <c r="CJ85" i="31"/>
  <c r="CL85" i="31" s="1"/>
  <c r="AG85" i="31"/>
  <c r="CK85" i="31"/>
  <c r="N86" i="31"/>
  <c r="CK86" i="31" s="1"/>
  <c r="Z86" i="31"/>
  <c r="CJ86" i="31" s="1"/>
  <c r="CL86" i="31" s="1"/>
  <c r="AG86" i="31"/>
  <c r="Z87" i="31"/>
  <c r="CJ87" i="31" s="1"/>
  <c r="CL87" i="31" s="1"/>
  <c r="N87" i="31"/>
  <c r="AG87" i="31"/>
  <c r="CK87" i="31"/>
  <c r="Z88" i="31"/>
  <c r="CJ88" i="31"/>
  <c r="AG88" i="31"/>
  <c r="CK88" i="31" s="1"/>
  <c r="Z89" i="31"/>
  <c r="CJ89" i="31" s="1"/>
  <c r="AG89" i="31"/>
  <c r="CK89" i="31" s="1"/>
  <c r="Z90" i="31"/>
  <c r="CJ90" i="31" s="1"/>
  <c r="N90" i="31"/>
  <c r="CK90" i="31" s="1"/>
  <c r="CL90" i="31" s="1"/>
  <c r="AG90" i="31"/>
  <c r="N91" i="31"/>
  <c r="Z91" i="31"/>
  <c r="AG91" i="31"/>
  <c r="Z92" i="31"/>
  <c r="CJ92" i="31" s="1"/>
  <c r="N92" i="31"/>
  <c r="AG92" i="31"/>
  <c r="CK92" i="31"/>
  <c r="CL92" i="31" s="1"/>
  <c r="Z93" i="31"/>
  <c r="CJ93" i="31"/>
  <c r="N93" i="31"/>
  <c r="CK93" i="31" s="1"/>
  <c r="AG93" i="31"/>
  <c r="Z94" i="31"/>
  <c r="CJ94" i="31" s="1"/>
  <c r="CL94" i="31" s="1"/>
  <c r="N94" i="31"/>
  <c r="CK94" i="31" s="1"/>
  <c r="AG94" i="31"/>
  <c r="Z95" i="31"/>
  <c r="CJ95" i="31" s="1"/>
  <c r="N95" i="31"/>
  <c r="AG95" i="31"/>
  <c r="CK95" i="31"/>
  <c r="Z96" i="31"/>
  <c r="CJ96" i="31" s="1"/>
  <c r="N96" i="31"/>
  <c r="AG96" i="31"/>
  <c r="CK96" i="31" s="1"/>
  <c r="Z97" i="31"/>
  <c r="CJ97" i="31"/>
  <c r="AG97" i="31"/>
  <c r="CK97" i="31" s="1"/>
  <c r="CL97" i="31" s="1"/>
  <c r="Z98" i="31"/>
  <c r="CJ98" i="31"/>
  <c r="CL98" i="31" s="1"/>
  <c r="AG98" i="31"/>
  <c r="CK98" i="31"/>
  <c r="Z99" i="31"/>
  <c r="CJ99" i="31"/>
  <c r="AG99" i="31"/>
  <c r="CK99" i="31"/>
  <c r="CL99" i="31"/>
  <c r="Z100" i="31"/>
  <c r="CJ100" i="31"/>
  <c r="AG100" i="31"/>
  <c r="CK100" i="31"/>
  <c r="Z101" i="31"/>
  <c r="CJ101" i="31" s="1"/>
  <c r="N101" i="31"/>
  <c r="CK101" i="31" s="1"/>
  <c r="AG101" i="31"/>
  <c r="Z102" i="31"/>
  <c r="CJ102" i="31"/>
  <c r="N102" i="31"/>
  <c r="AG102" i="31"/>
  <c r="CK102" i="31"/>
  <c r="Z103" i="31"/>
  <c r="CJ103" i="31" s="1"/>
  <c r="CL103" i="31" s="1"/>
  <c r="AG103" i="31"/>
  <c r="CK103" i="31"/>
  <c r="Z104" i="31"/>
  <c r="CJ104" i="31" s="1"/>
  <c r="CL104" i="31" s="1"/>
  <c r="AG104" i="31"/>
  <c r="CK104" i="31"/>
  <c r="CJ105" i="31"/>
  <c r="CK105" i="31"/>
  <c r="CL105" i="31"/>
  <c r="Z106" i="31"/>
  <c r="CJ106" i="31"/>
  <c r="CL106" i="31" s="1"/>
  <c r="AG106" i="31"/>
  <c r="CK106" i="31"/>
  <c r="Z107" i="31"/>
  <c r="CJ107" i="31" s="1"/>
  <c r="CL107" i="31" s="1"/>
  <c r="N107" i="31"/>
  <c r="AG107" i="31"/>
  <c r="CK107" i="31"/>
  <c r="Z108" i="31"/>
  <c r="CJ108" i="31"/>
  <c r="N108" i="31"/>
  <c r="CK108" i="31" s="1"/>
  <c r="AG108" i="31"/>
  <c r="Z109" i="31"/>
  <c r="CJ109" i="31"/>
  <c r="N109" i="31"/>
  <c r="AG109" i="31"/>
  <c r="CK109" i="31"/>
  <c r="Z110" i="31"/>
  <c r="CJ110" i="31"/>
  <c r="N110" i="31"/>
  <c r="AG110" i="31"/>
  <c r="CK110" i="31"/>
  <c r="Z112" i="31"/>
  <c r="CJ112" i="31" s="1"/>
  <c r="CL112" i="31" s="1"/>
  <c r="N112" i="31"/>
  <c r="CK112" i="31" s="1"/>
  <c r="AG112" i="31"/>
  <c r="Z113" i="31"/>
  <c r="CJ113" i="31" s="1"/>
  <c r="CL113" i="31" s="1"/>
  <c r="N113" i="31"/>
  <c r="AG113" i="31"/>
  <c r="CK113" i="31"/>
  <c r="Z114" i="31"/>
  <c r="CJ114" i="31"/>
  <c r="N114" i="31"/>
  <c r="CK114" i="31" s="1"/>
  <c r="AG114" i="31"/>
  <c r="Z115" i="31"/>
  <c r="CJ115" i="31"/>
  <c r="N115" i="31"/>
  <c r="AG115" i="31"/>
  <c r="CK115" i="31"/>
  <c r="Z116" i="31"/>
  <c r="CJ116" i="31" s="1"/>
  <c r="CL116" i="31" s="1"/>
  <c r="N116" i="31"/>
  <c r="CK116" i="31" s="1"/>
  <c r="AG116" i="31"/>
  <c r="Z117" i="31"/>
  <c r="CJ117" i="31"/>
  <c r="N117" i="31"/>
  <c r="CK117" i="31" s="1"/>
  <c r="AG117" i="31"/>
  <c r="CL117" i="31"/>
  <c r="Z118" i="31"/>
  <c r="CJ118" i="31"/>
  <c r="CL118" i="31" s="1"/>
  <c r="N118" i="31"/>
  <c r="AG118" i="31"/>
  <c r="CK118" i="31"/>
  <c r="Z119" i="31"/>
  <c r="CJ119" i="31" s="1"/>
  <c r="N119" i="31"/>
  <c r="AG119" i="31"/>
  <c r="CK119" i="31" s="1"/>
  <c r="N120" i="31"/>
  <c r="CJ120" i="31"/>
  <c r="CK120" i="31"/>
  <c r="N121" i="31"/>
  <c r="CK121" i="31" s="1"/>
  <c r="Z121" i="31"/>
  <c r="CJ121" i="31"/>
  <c r="CL121" i="31" s="1"/>
  <c r="AG121" i="31"/>
  <c r="Z122" i="31"/>
  <c r="CJ122" i="31" s="1"/>
  <c r="CK122" i="31"/>
  <c r="CL122" i="31"/>
  <c r="N123" i="31"/>
  <c r="Z123" i="31"/>
  <c r="U124" i="31"/>
  <c r="Z124" i="31"/>
  <c r="CJ124" i="31" s="1"/>
  <c r="AG124" i="31"/>
  <c r="CK124" i="31"/>
  <c r="Z125" i="31"/>
  <c r="CJ125" i="31"/>
  <c r="CL125" i="31" s="1"/>
  <c r="AG125" i="31"/>
  <c r="CK125" i="31"/>
  <c r="Z126" i="31"/>
  <c r="CJ126" i="31"/>
  <c r="AG126" i="31"/>
  <c r="CK126" i="31" s="1"/>
  <c r="Z127" i="31"/>
  <c r="CJ127" i="31"/>
  <c r="CL127" i="31" s="1"/>
  <c r="AG127" i="31"/>
  <c r="CK127" i="31"/>
  <c r="Z128" i="31"/>
  <c r="CJ128" i="31" s="1"/>
  <c r="AG128" i="31"/>
  <c r="CK128" i="31" s="1"/>
  <c r="N129" i="31"/>
  <c r="CJ129" i="31" s="1"/>
  <c r="CL129" i="31" s="1"/>
  <c r="Z129" i="31"/>
  <c r="AG129" i="31"/>
  <c r="CK129" i="31"/>
  <c r="N130" i="31"/>
  <c r="Z130" i="31"/>
  <c r="CJ130" i="31" s="1"/>
  <c r="AG130" i="31"/>
  <c r="Z131" i="31"/>
  <c r="CJ131" i="31" s="1"/>
  <c r="AG131" i="31"/>
  <c r="CK131" i="31"/>
  <c r="CL131" i="31"/>
  <c r="N132" i="31"/>
  <c r="CJ132" i="31"/>
  <c r="CK132" i="31"/>
  <c r="CL132" i="31" s="1"/>
  <c r="Z133" i="31"/>
  <c r="CJ133" i="31" s="1"/>
  <c r="AG133" i="31"/>
  <c r="CK133" i="31" s="1"/>
  <c r="Z134" i="31"/>
  <c r="CJ134" i="31" s="1"/>
  <c r="AG134" i="31"/>
  <c r="CK134" i="31" s="1"/>
  <c r="Z135" i="31"/>
  <c r="CJ135" i="31" s="1"/>
  <c r="CL135" i="31" s="1"/>
  <c r="AG135" i="31"/>
  <c r="CK135" i="31" s="1"/>
  <c r="Z136" i="31"/>
  <c r="CJ136" i="31" s="1"/>
  <c r="CL136" i="31" s="1"/>
  <c r="N136" i="31"/>
  <c r="AG136" i="31"/>
  <c r="CK136" i="31"/>
  <c r="N137" i="31"/>
  <c r="V137" i="31"/>
  <c r="Z137" i="31" s="1"/>
  <c r="W137" i="31"/>
  <c r="AC137" i="31"/>
  <c r="AG137" i="31" s="1"/>
  <c r="AD137" i="31"/>
  <c r="N138" i="31"/>
  <c r="CJ138" i="31" s="1"/>
  <c r="Z138" i="31"/>
  <c r="AG138" i="31"/>
  <c r="CK138" i="31"/>
  <c r="Z139" i="31"/>
  <c r="CJ139" i="31"/>
  <c r="AG139" i="31"/>
  <c r="CK139" i="31" s="1"/>
  <c r="Z140" i="31"/>
  <c r="CJ140" i="31"/>
  <c r="AG140" i="31"/>
  <c r="CK140" i="31"/>
  <c r="CL140" i="31"/>
  <c r="U141" i="31"/>
  <c r="Z141" i="31"/>
  <c r="CJ141" i="31" s="1"/>
  <c r="CL141" i="31" s="1"/>
  <c r="AB141" i="31"/>
  <c r="AG141" i="31"/>
  <c r="CK141" i="31" s="1"/>
  <c r="W142" i="31"/>
  <c r="Z142" i="31"/>
  <c r="CJ142" i="31" s="1"/>
  <c r="N142" i="31"/>
  <c r="AE142" i="31"/>
  <c r="AD142" i="31" s="1"/>
  <c r="AG142" i="31" s="1"/>
  <c r="CL445" i="31"/>
  <c r="W445" i="31"/>
  <c r="V445" i="31"/>
  <c r="V438" i="31" s="1"/>
  <c r="U445" i="31"/>
  <c r="U437" i="31"/>
  <c r="V437" i="31"/>
  <c r="U434" i="31"/>
  <c r="W434" i="31" s="1"/>
  <c r="V434" i="31"/>
  <c r="W432" i="31"/>
  <c r="V432" i="31"/>
  <c r="U432" i="31"/>
  <c r="O49" i="31"/>
  <c r="BH427" i="31" s="1"/>
  <c r="CM425" i="31"/>
  <c r="CN425" i="31" s="1"/>
  <c r="CM424" i="31"/>
  <c r="CN424" i="31" s="1"/>
  <c r="CM423" i="31"/>
  <c r="CN423" i="31" s="1"/>
  <c r="CM422" i="31"/>
  <c r="CN422" i="31"/>
  <c r="CM421" i="31"/>
  <c r="CN421" i="31" s="1"/>
  <c r="CM420" i="31"/>
  <c r="CN420" i="31" s="1"/>
  <c r="CM419" i="31"/>
  <c r="CN419" i="31" s="1"/>
  <c r="CM418" i="31"/>
  <c r="CN418" i="31" s="1"/>
  <c r="CM417" i="31"/>
  <c r="CN417" i="31" s="1"/>
  <c r="CM416" i="31"/>
  <c r="CN416" i="31"/>
  <c r="CM415" i="31"/>
  <c r="CN415" i="31"/>
  <c r="CM414" i="31"/>
  <c r="CN414" i="31" s="1"/>
  <c r="CM413" i="31"/>
  <c r="CN413" i="31" s="1"/>
  <c r="CM412" i="31"/>
  <c r="CN412" i="31" s="1"/>
  <c r="CM411" i="31"/>
  <c r="CN411" i="31" s="1"/>
  <c r="CM410" i="31"/>
  <c r="CN410" i="31"/>
  <c r="CM409" i="31"/>
  <c r="CN409" i="31"/>
  <c r="CM408" i="31"/>
  <c r="CN408" i="31" s="1"/>
  <c r="CM407" i="31"/>
  <c r="CN407" i="31" s="1"/>
  <c r="CM406" i="31"/>
  <c r="CN406" i="31" s="1"/>
  <c r="CM405" i="31"/>
  <c r="CN405" i="31" s="1"/>
  <c r="CM404" i="31"/>
  <c r="CN404" i="31"/>
  <c r="CM403" i="31"/>
  <c r="CN403" i="31" s="1"/>
  <c r="CM402" i="31"/>
  <c r="CN402" i="31"/>
  <c r="CM401" i="31"/>
  <c r="CN401" i="31" s="1"/>
  <c r="CM400" i="31"/>
  <c r="CN400" i="31" s="1"/>
  <c r="CM399" i="31"/>
  <c r="CN399" i="31" s="1"/>
  <c r="CM398" i="31"/>
  <c r="CN398" i="31"/>
  <c r="CM397" i="31"/>
  <c r="CN397" i="31" s="1"/>
  <c r="CM396" i="31"/>
  <c r="CN396" i="31"/>
  <c r="CM395" i="31"/>
  <c r="CN395" i="31" s="1"/>
  <c r="CM394" i="31"/>
  <c r="CN394" i="31" s="1"/>
  <c r="CM393" i="31"/>
  <c r="CN393" i="31" s="1"/>
  <c r="CM392" i="31"/>
  <c r="CN392" i="31"/>
  <c r="CM391" i="31"/>
  <c r="CN391" i="31" s="1"/>
  <c r="CM390" i="31"/>
  <c r="CN390" i="31"/>
  <c r="CM389" i="31"/>
  <c r="CN389" i="31" s="1"/>
  <c r="CM388" i="31"/>
  <c r="CN388" i="31" s="1"/>
  <c r="CM387" i="31"/>
  <c r="CN387" i="31" s="1"/>
  <c r="CM386" i="31"/>
  <c r="CN386" i="31"/>
  <c r="CM385" i="31"/>
  <c r="CN385" i="31" s="1"/>
  <c r="CM384" i="31"/>
  <c r="CN384" i="31"/>
  <c r="CM383" i="31"/>
  <c r="CN383" i="31" s="1"/>
  <c r="CM382" i="31"/>
  <c r="CN382" i="31" s="1"/>
  <c r="CM381" i="31"/>
  <c r="CN381" i="31" s="1"/>
  <c r="CM380" i="31"/>
  <c r="CN380" i="31" s="1"/>
  <c r="CM379" i="31"/>
  <c r="CN379" i="31" s="1"/>
  <c r="CM378" i="31"/>
  <c r="CN378" i="31"/>
  <c r="CM377" i="31"/>
  <c r="CN377" i="31" s="1"/>
  <c r="CM376" i="31"/>
  <c r="CN376" i="31" s="1"/>
  <c r="CM375" i="31"/>
  <c r="CN375" i="31" s="1"/>
  <c r="CM374" i="31"/>
  <c r="CN374" i="31" s="1"/>
  <c r="CM373" i="31"/>
  <c r="CN373" i="31" s="1"/>
  <c r="CM372" i="31"/>
  <c r="CN372" i="31"/>
  <c r="CM371" i="31"/>
  <c r="CN371" i="31" s="1"/>
  <c r="CM370" i="31"/>
  <c r="CN370" i="31" s="1"/>
  <c r="CM369" i="31"/>
  <c r="CN369" i="31" s="1"/>
  <c r="CM368" i="31"/>
  <c r="CN368" i="31"/>
  <c r="CM367" i="31"/>
  <c r="CN367" i="31" s="1"/>
  <c r="CM366" i="31"/>
  <c r="CN366" i="31"/>
  <c r="CM365" i="31"/>
  <c r="CN365" i="31" s="1"/>
  <c r="CM364" i="31"/>
  <c r="CN364" i="31" s="1"/>
  <c r="CM363" i="31"/>
  <c r="CN363" i="31" s="1"/>
  <c r="CM362" i="31"/>
  <c r="CN362" i="31"/>
  <c r="CM361" i="31"/>
  <c r="CN361" i="31" s="1"/>
  <c r="CM360" i="31"/>
  <c r="CN360" i="31"/>
  <c r="CM359" i="31"/>
  <c r="CN359" i="31" s="1"/>
  <c r="CM358" i="31"/>
  <c r="CN358" i="31" s="1"/>
  <c r="CM357" i="31"/>
  <c r="CN357" i="31" s="1"/>
  <c r="CM356" i="31"/>
  <c r="CN356" i="31" s="1"/>
  <c r="CM355" i="31"/>
  <c r="CN355" i="31" s="1"/>
  <c r="CM354" i="31"/>
  <c r="CN354" i="31"/>
  <c r="CM353" i="31"/>
  <c r="CN353" i="31" s="1"/>
  <c r="CM352" i="31"/>
  <c r="CN352" i="31" s="1"/>
  <c r="CM351" i="31"/>
  <c r="CN351" i="31" s="1"/>
  <c r="CM350" i="31"/>
  <c r="CN350" i="31" s="1"/>
  <c r="CM349" i="31"/>
  <c r="CN349" i="31"/>
  <c r="CM348" i="31"/>
  <c r="CN348" i="31"/>
  <c r="CM347" i="31"/>
  <c r="CN347" i="31" s="1"/>
  <c r="CM346" i="31"/>
  <c r="CN346" i="31" s="1"/>
  <c r="CM345" i="31"/>
  <c r="CN345" i="31" s="1"/>
  <c r="CM344" i="31"/>
  <c r="CN344" i="31"/>
  <c r="CM343" i="31"/>
  <c r="CN343" i="31" s="1"/>
  <c r="CM342" i="31"/>
  <c r="CN342" i="31"/>
  <c r="CM341" i="31"/>
  <c r="CN341" i="31" s="1"/>
  <c r="CM340" i="31"/>
  <c r="CN340" i="31" s="1"/>
  <c r="CM339" i="31"/>
  <c r="CN339" i="31" s="1"/>
  <c r="CM338" i="31"/>
  <c r="CN338" i="31"/>
  <c r="CM337" i="31"/>
  <c r="CN337" i="31" s="1"/>
  <c r="CM336" i="31"/>
  <c r="CN336" i="31"/>
  <c r="CM335" i="31"/>
  <c r="CN335" i="31" s="1"/>
  <c r="CM334" i="31"/>
  <c r="CN334" i="31" s="1"/>
  <c r="CM333" i="31"/>
  <c r="CN333" i="31" s="1"/>
  <c r="CM332" i="31"/>
  <c r="CN332" i="31" s="1"/>
  <c r="CM331" i="31"/>
  <c r="CN331" i="31" s="1"/>
  <c r="CM330" i="31"/>
  <c r="CN330" i="31" s="1"/>
  <c r="CM329" i="31"/>
  <c r="CN329" i="31" s="1"/>
  <c r="CM328" i="31"/>
  <c r="CN328" i="31" s="1"/>
  <c r="CM327" i="31"/>
  <c r="CN327" i="31" s="1"/>
  <c r="CM326" i="31"/>
  <c r="CN326" i="31" s="1"/>
  <c r="CM325" i="31"/>
  <c r="CN325" i="31"/>
  <c r="CM324" i="31"/>
  <c r="CN324" i="31" s="1"/>
  <c r="CM323" i="31"/>
  <c r="CN323" i="31" s="1"/>
  <c r="CM322" i="31"/>
  <c r="CN322" i="31" s="1"/>
  <c r="CM321" i="31"/>
  <c r="CN321" i="31" s="1"/>
  <c r="CM320" i="31"/>
  <c r="CN320" i="31"/>
  <c r="CM319" i="31"/>
  <c r="CN319" i="31"/>
  <c r="CM318" i="31"/>
  <c r="CN318" i="31"/>
  <c r="CM317" i="31"/>
  <c r="CN317" i="31" s="1"/>
  <c r="CM316" i="31"/>
  <c r="CN316" i="31" s="1"/>
  <c r="CM315" i="31"/>
  <c r="CN315" i="31" s="1"/>
  <c r="CM314" i="31"/>
  <c r="CN314" i="31"/>
  <c r="CM313" i="31"/>
  <c r="CN313" i="31"/>
  <c r="CM312" i="31"/>
  <c r="CN312" i="31"/>
  <c r="CM311" i="31"/>
  <c r="CN311" i="31" s="1"/>
  <c r="CM310" i="31"/>
  <c r="CN310" i="31" s="1"/>
  <c r="CM309" i="31"/>
  <c r="CN309" i="31" s="1"/>
  <c r="CM308" i="31"/>
  <c r="CN308" i="31"/>
  <c r="CM307" i="31"/>
  <c r="CN307" i="31" s="1"/>
  <c r="CM306" i="31"/>
  <c r="CN306" i="31"/>
  <c r="CM305" i="31"/>
  <c r="CN305" i="31" s="1"/>
  <c r="CM304" i="31"/>
  <c r="CN304" i="31" s="1"/>
  <c r="CM303" i="31"/>
  <c r="CN303" i="31" s="1"/>
  <c r="CM302" i="31"/>
  <c r="CN302" i="31"/>
  <c r="CM301" i="31"/>
  <c r="CN301" i="31" s="1"/>
  <c r="CM300" i="31"/>
  <c r="CN300" i="31"/>
  <c r="CM299" i="31"/>
  <c r="CN299" i="31" s="1"/>
  <c r="CM298" i="31"/>
  <c r="CN298" i="31" s="1"/>
  <c r="CM297" i="31"/>
  <c r="CN297" i="31" s="1"/>
  <c r="CM296" i="31"/>
  <c r="CN296" i="31"/>
  <c r="CM295" i="31"/>
  <c r="CN295" i="31"/>
  <c r="CM294" i="31"/>
  <c r="CN294" i="31"/>
  <c r="CM293" i="31"/>
  <c r="CN293" i="31" s="1"/>
  <c r="CM292" i="31"/>
  <c r="CN292" i="31" s="1"/>
  <c r="CM291" i="31"/>
  <c r="CN291" i="31" s="1"/>
  <c r="CM290" i="31"/>
  <c r="CN290" i="31"/>
  <c r="CM289" i="31"/>
  <c r="CN289" i="31"/>
  <c r="CM288" i="31"/>
  <c r="CN288" i="31"/>
  <c r="CM287" i="31"/>
  <c r="CN287" i="31" s="1"/>
  <c r="CM286" i="31"/>
  <c r="CN286" i="31" s="1"/>
  <c r="CM285" i="31"/>
  <c r="CN285" i="31" s="1"/>
  <c r="CM284" i="31"/>
  <c r="CN284" i="31"/>
  <c r="CM283" i="31"/>
  <c r="CN283" i="31" s="1"/>
  <c r="CM282" i="31"/>
  <c r="CN282" i="31"/>
  <c r="CM281" i="31"/>
  <c r="CN281" i="31" s="1"/>
  <c r="CM280" i="31"/>
  <c r="CN280" i="31" s="1"/>
  <c r="CM279" i="31"/>
  <c r="CN279" i="31" s="1"/>
  <c r="CM278" i="31"/>
  <c r="CN278" i="31"/>
  <c r="CM277" i="31"/>
  <c r="CN277" i="31" s="1"/>
  <c r="CM276" i="31"/>
  <c r="CN276" i="31" s="1"/>
  <c r="CM275" i="31"/>
  <c r="CN275" i="31" s="1"/>
  <c r="CM274" i="31"/>
  <c r="CN274" i="31" s="1"/>
  <c r="CM273" i="31"/>
  <c r="CN273" i="31" s="1"/>
  <c r="CM272" i="31"/>
  <c r="CN272" i="31"/>
  <c r="CM271" i="31"/>
  <c r="CN271" i="31" s="1"/>
  <c r="CM270" i="31"/>
  <c r="CN270" i="31" s="1"/>
  <c r="CM269" i="31"/>
  <c r="CN269" i="31" s="1"/>
  <c r="CM268" i="31"/>
  <c r="CN268" i="31" s="1"/>
  <c r="CM267" i="31"/>
  <c r="CN267" i="31" s="1"/>
  <c r="CM266" i="31"/>
  <c r="CN266" i="31" s="1"/>
  <c r="CM265" i="31"/>
  <c r="CN265" i="31"/>
  <c r="CM264" i="31"/>
  <c r="CN264" i="31" s="1"/>
  <c r="CM263" i="31"/>
  <c r="CN263" i="31" s="1"/>
  <c r="CM262" i="31"/>
  <c r="CN262" i="31" s="1"/>
  <c r="CM261" i="31"/>
  <c r="CN261" i="31" s="1"/>
  <c r="CM260" i="31"/>
  <c r="CN260" i="31"/>
  <c r="CM259" i="31"/>
  <c r="CN259" i="31" s="1"/>
  <c r="CM258" i="31"/>
  <c r="CN258" i="31" s="1"/>
  <c r="CM257" i="31"/>
  <c r="CN257" i="31" s="1"/>
  <c r="CM256" i="31"/>
  <c r="CN256" i="31" s="1"/>
  <c r="CM255" i="31"/>
  <c r="CN255" i="31" s="1"/>
  <c r="CM254" i="31"/>
  <c r="CN254" i="31"/>
  <c r="CM253" i="31"/>
  <c r="CN253" i="31" s="1"/>
  <c r="CM252" i="31"/>
  <c r="CN252" i="31" s="1"/>
  <c r="CM251" i="31"/>
  <c r="CN251" i="31" s="1"/>
  <c r="CM250" i="31"/>
  <c r="CN250" i="31" s="1"/>
  <c r="CM249" i="31"/>
  <c r="CN249" i="31" s="1"/>
  <c r="CM248" i="31"/>
  <c r="CN248" i="31"/>
  <c r="CM247" i="31"/>
  <c r="CN247" i="31"/>
  <c r="CM246" i="31"/>
  <c r="CN246" i="31" s="1"/>
  <c r="CM245" i="31"/>
  <c r="CN245" i="31" s="1"/>
  <c r="CM244" i="31"/>
  <c r="CN244" i="31" s="1"/>
  <c r="CM243" i="31"/>
  <c r="CN243" i="31" s="1"/>
  <c r="CM242" i="31"/>
  <c r="CN242" i="31"/>
  <c r="CM241" i="31"/>
  <c r="CN241" i="31" s="1"/>
  <c r="CM240" i="31"/>
  <c r="CN240" i="31" s="1"/>
  <c r="CM239" i="31"/>
  <c r="CN239" i="31" s="1"/>
  <c r="CM238" i="31"/>
  <c r="CN238" i="31" s="1"/>
  <c r="CM237" i="31"/>
  <c r="CN237" i="31" s="1"/>
  <c r="CM236" i="31"/>
  <c r="CN236" i="31"/>
  <c r="CM235" i="31"/>
  <c r="CN235" i="31" s="1"/>
  <c r="CM234" i="31"/>
  <c r="CN234" i="31" s="1"/>
  <c r="CM233" i="31"/>
  <c r="CN233" i="31" s="1"/>
  <c r="CM232" i="31"/>
  <c r="CN232" i="31" s="1"/>
  <c r="CM231" i="31"/>
  <c r="CN231" i="31" s="1"/>
  <c r="CM230" i="31"/>
  <c r="CN230" i="31" s="1"/>
  <c r="CM229" i="31"/>
  <c r="CN229" i="31"/>
  <c r="CM228" i="31"/>
  <c r="CN228" i="31" s="1"/>
  <c r="CM227" i="31"/>
  <c r="CN227" i="31" s="1"/>
  <c r="CM226" i="31"/>
  <c r="CN226" i="31" s="1"/>
  <c r="CM225" i="31"/>
  <c r="CN225" i="31" s="1"/>
  <c r="CM224" i="31"/>
  <c r="CN224" i="31"/>
  <c r="CM223" i="31"/>
  <c r="CN223" i="31" s="1"/>
  <c r="CM222" i="31"/>
  <c r="CN222" i="31"/>
  <c r="CM221" i="31"/>
  <c r="CN221" i="31" s="1"/>
  <c r="CM220" i="31"/>
  <c r="CN220" i="31" s="1"/>
  <c r="CM219" i="31"/>
  <c r="CN219" i="31"/>
  <c r="CM218" i="31"/>
  <c r="CN218" i="31" s="1"/>
  <c r="CM217" i="31"/>
  <c r="CN217" i="31"/>
  <c r="CM216" i="31"/>
  <c r="CN216" i="31" s="1"/>
  <c r="CM215" i="31"/>
  <c r="CN215" i="31"/>
  <c r="CM214" i="31"/>
  <c r="CN214" i="31"/>
  <c r="CM213" i="31"/>
  <c r="CN213" i="31"/>
  <c r="CM212" i="31"/>
  <c r="CN212" i="31" s="1"/>
  <c r="CM211" i="31"/>
  <c r="CN211" i="31"/>
  <c r="CM210" i="31"/>
  <c r="CN210" i="31" s="1"/>
  <c r="CM209" i="31"/>
  <c r="CN209" i="31" s="1"/>
  <c r="CM208" i="31"/>
  <c r="CN208" i="31"/>
  <c r="CM207" i="31"/>
  <c r="CN207" i="31"/>
  <c r="CM206" i="31"/>
  <c r="CN206" i="31" s="1"/>
  <c r="CM205" i="31"/>
  <c r="CN205" i="31"/>
  <c r="CM204" i="31"/>
  <c r="CN204" i="31" s="1"/>
  <c r="CM203" i="31"/>
  <c r="CN203" i="31"/>
  <c r="CM202" i="31"/>
  <c r="CN202" i="31"/>
  <c r="CM201" i="31"/>
  <c r="CN201" i="31"/>
  <c r="CM200" i="31"/>
  <c r="CN200" i="31" s="1"/>
  <c r="CM199" i="31"/>
  <c r="CN199" i="31"/>
  <c r="CM198" i="31"/>
  <c r="CN198" i="31" s="1"/>
  <c r="CM197" i="31"/>
  <c r="CN197" i="31" s="1"/>
  <c r="CM196" i="31"/>
  <c r="CN196" i="31"/>
  <c r="CM195" i="31"/>
  <c r="CN195" i="31"/>
  <c r="CM194" i="31"/>
  <c r="CN194" i="31" s="1"/>
  <c r="CM193" i="31"/>
  <c r="CN193" i="31"/>
  <c r="CM192" i="31"/>
  <c r="CN192" i="31" s="1"/>
  <c r="CM191" i="31"/>
  <c r="CN191" i="31"/>
  <c r="CM190" i="31"/>
  <c r="CN190" i="31"/>
  <c r="CM189" i="31"/>
  <c r="CN189" i="31"/>
  <c r="CM188" i="31"/>
  <c r="CN188" i="31" s="1"/>
  <c r="CM187" i="31"/>
  <c r="CN187" i="31"/>
  <c r="CM186" i="31"/>
  <c r="CN186" i="31" s="1"/>
  <c r="CM185" i="31"/>
  <c r="CN185" i="31"/>
  <c r="CM184" i="31"/>
  <c r="CN184" i="31"/>
  <c r="CM183" i="31"/>
  <c r="CN183" i="31"/>
  <c r="CM182" i="31"/>
  <c r="CN182" i="31" s="1"/>
  <c r="CM181" i="31"/>
  <c r="CN181" i="31"/>
  <c r="CM180" i="31"/>
  <c r="CN180" i="31" s="1"/>
  <c r="CM179" i="31"/>
  <c r="CN179" i="31"/>
  <c r="CM178" i="31"/>
  <c r="CN178" i="31"/>
  <c r="CM177" i="31"/>
  <c r="CN177" i="31"/>
  <c r="CM176" i="31"/>
  <c r="CN176" i="31" s="1"/>
  <c r="CM175" i="31"/>
  <c r="CN175" i="31"/>
  <c r="N174" i="31"/>
  <c r="CM174" i="31" s="1"/>
  <c r="CN174" i="31" s="1"/>
  <c r="CM173" i="31"/>
  <c r="CN173" i="31" s="1"/>
  <c r="CM172" i="31"/>
  <c r="CN172" i="31" s="1"/>
  <c r="AG172" i="31"/>
  <c r="CM171" i="31"/>
  <c r="S171" i="31"/>
  <c r="CM170" i="31"/>
  <c r="CN170" i="31" s="1"/>
  <c r="AJ14" i="31"/>
  <c r="BA14" i="31"/>
  <c r="AJ15" i="31"/>
  <c r="BA15" i="31"/>
  <c r="AJ16" i="31"/>
  <c r="BA16" i="31"/>
  <c r="AJ17" i="31"/>
  <c r="BA17" i="31" s="1"/>
  <c r="AJ18" i="31"/>
  <c r="BA18" i="31"/>
  <c r="AJ19" i="31"/>
  <c r="BA19" i="31" s="1"/>
  <c r="AJ20" i="31"/>
  <c r="AT20" i="31" s="1"/>
  <c r="AJ21" i="31"/>
  <c r="BA21" i="31"/>
  <c r="AJ22" i="31"/>
  <c r="BA22" i="31"/>
  <c r="AJ23" i="31"/>
  <c r="BA23" i="31" s="1"/>
  <c r="AJ24" i="31"/>
  <c r="BA24" i="31"/>
  <c r="AJ25" i="31"/>
  <c r="AT25" i="31" s="1"/>
  <c r="AJ26" i="31"/>
  <c r="AT26" i="31" s="1"/>
  <c r="BA26" i="31"/>
  <c r="AJ27" i="31"/>
  <c r="BA27" i="31"/>
  <c r="AJ28" i="31"/>
  <c r="BA28" i="31"/>
  <c r="AJ29" i="31"/>
  <c r="BA29" i="31" s="1"/>
  <c r="AJ30" i="31"/>
  <c r="BA30" i="31"/>
  <c r="AJ31" i="31"/>
  <c r="BA31" i="31" s="1"/>
  <c r="AJ32" i="31"/>
  <c r="AT32" i="31" s="1"/>
  <c r="BA32" i="31"/>
  <c r="AJ33" i="31"/>
  <c r="BA33" i="31"/>
  <c r="AJ34" i="31"/>
  <c r="BA34" i="31"/>
  <c r="AJ35" i="31"/>
  <c r="BA35" i="31" s="1"/>
  <c r="AJ36" i="31"/>
  <c r="BA36" i="31"/>
  <c r="AJ37" i="31"/>
  <c r="AT37" i="31" s="1"/>
  <c r="AJ38" i="31"/>
  <c r="AJ39" i="31"/>
  <c r="BA39" i="31"/>
  <c r="AJ40" i="31"/>
  <c r="BA40" i="31"/>
  <c r="AJ41" i="31"/>
  <c r="BA41" i="31" s="1"/>
  <c r="AJ42" i="31"/>
  <c r="BA42" i="31"/>
  <c r="AJ43" i="31"/>
  <c r="BA43" i="31" s="1"/>
  <c r="AJ44" i="31"/>
  <c r="AT44" i="31" s="1"/>
  <c r="AJ45" i="31"/>
  <c r="BA45" i="31"/>
  <c r="P46" i="31"/>
  <c r="AJ46" i="31"/>
  <c r="BA46" i="31"/>
  <c r="AJ47" i="31"/>
  <c r="BA47" i="31"/>
  <c r="AJ48" i="31"/>
  <c r="BA48" i="31" s="1"/>
  <c r="P49" i="31"/>
  <c r="AJ49" i="31"/>
  <c r="AT49" i="31" s="1"/>
  <c r="AJ50" i="31"/>
  <c r="BA50" i="31"/>
  <c r="AJ51" i="31"/>
  <c r="BA51" i="31"/>
  <c r="AJ52" i="31"/>
  <c r="BA52" i="31" s="1"/>
  <c r="AJ53" i="31"/>
  <c r="BA53" i="31"/>
  <c r="AJ54" i="31"/>
  <c r="AT54" i="31" s="1"/>
  <c r="AJ55" i="31"/>
  <c r="AT55" i="31" s="1"/>
  <c r="BA55" i="31"/>
  <c r="AJ56" i="31"/>
  <c r="BA56" i="31"/>
  <c r="AJ57" i="31"/>
  <c r="BA57" i="31"/>
  <c r="AJ58" i="31"/>
  <c r="BA58" i="31" s="1"/>
  <c r="AJ59" i="31"/>
  <c r="BA59" i="31"/>
  <c r="AJ60" i="31"/>
  <c r="BA60" i="31" s="1"/>
  <c r="AJ61" i="31"/>
  <c r="AT61" i="31" s="1"/>
  <c r="BA61" i="31"/>
  <c r="AJ62" i="31"/>
  <c r="BA62" i="31"/>
  <c r="AJ63" i="31"/>
  <c r="BA63" i="31"/>
  <c r="AJ64" i="31"/>
  <c r="BA64" i="31" s="1"/>
  <c r="AJ65" i="31"/>
  <c r="BA65" i="31"/>
  <c r="AJ66" i="31"/>
  <c r="AT66" i="31" s="1"/>
  <c r="AJ67" i="31"/>
  <c r="AT67" i="31" s="1"/>
  <c r="AJ68" i="31"/>
  <c r="BA68" i="31"/>
  <c r="AJ69" i="31"/>
  <c r="BA69" i="31"/>
  <c r="AJ70" i="31"/>
  <c r="BA70" i="31" s="1"/>
  <c r="AJ71" i="31"/>
  <c r="BA71" i="31"/>
  <c r="AJ72" i="31"/>
  <c r="BA72" i="31" s="1"/>
  <c r="AJ73" i="31"/>
  <c r="AJ74" i="31"/>
  <c r="BA74" i="31"/>
  <c r="AJ75" i="31"/>
  <c r="BA75" i="31"/>
  <c r="AJ76" i="31"/>
  <c r="BA76" i="31" s="1"/>
  <c r="AJ77" i="31"/>
  <c r="BA77" i="31"/>
  <c r="AJ78" i="31"/>
  <c r="AT78" i="31" s="1"/>
  <c r="AJ79" i="31"/>
  <c r="AT79" i="31" s="1"/>
  <c r="BA79" i="31"/>
  <c r="AJ80" i="31"/>
  <c r="BA80" i="31"/>
  <c r="AJ81" i="31"/>
  <c r="BA81" i="31"/>
  <c r="AJ82" i="31"/>
  <c r="BA82" i="31" s="1"/>
  <c r="AJ83" i="31"/>
  <c r="BA83" i="31"/>
  <c r="AJ84" i="31"/>
  <c r="BA84" i="31" s="1"/>
  <c r="AJ85" i="31"/>
  <c r="AT85" i="31" s="1"/>
  <c r="AY85" i="31" s="1"/>
  <c r="P86" i="31"/>
  <c r="AJ86" i="31"/>
  <c r="BA86" i="31" s="1"/>
  <c r="AJ87" i="31"/>
  <c r="BA87" i="31"/>
  <c r="AJ88" i="31"/>
  <c r="BA88" i="31"/>
  <c r="AJ89" i="31"/>
  <c r="BA89" i="31" s="1"/>
  <c r="AJ90" i="31"/>
  <c r="BA90" i="31"/>
  <c r="AJ91" i="31"/>
  <c r="AJ92" i="31"/>
  <c r="BA92" i="31" s="1"/>
  <c r="AJ93" i="31"/>
  <c r="BA93" i="31"/>
  <c r="AJ94" i="31"/>
  <c r="BA94" i="31"/>
  <c r="AJ95" i="31"/>
  <c r="BA95" i="31" s="1"/>
  <c r="AJ96" i="31"/>
  <c r="BA96" i="31"/>
  <c r="AJ97" i="31"/>
  <c r="AJ98" i="31"/>
  <c r="BA98" i="31" s="1"/>
  <c r="AJ101" i="31"/>
  <c r="BA101" i="31"/>
  <c r="AJ102" i="31"/>
  <c r="BA102" i="31"/>
  <c r="AJ103" i="31"/>
  <c r="BA103" i="31" s="1"/>
  <c r="AJ104" i="31"/>
  <c r="BA104" i="31"/>
  <c r="AJ105" i="31"/>
  <c r="AJ106" i="31"/>
  <c r="BA106" i="31" s="1"/>
  <c r="AJ107" i="31"/>
  <c r="BA107" i="31"/>
  <c r="AJ108" i="31"/>
  <c r="BA108" i="31"/>
  <c r="AJ109" i="31"/>
  <c r="BA109" i="31" s="1"/>
  <c r="AJ110" i="31"/>
  <c r="BA110" i="31"/>
  <c r="AJ111" i="31"/>
  <c r="AJ112" i="31"/>
  <c r="BA112" i="31" s="1"/>
  <c r="AJ113" i="31"/>
  <c r="BA113" i="31"/>
  <c r="AJ114" i="31"/>
  <c r="BA114" i="31"/>
  <c r="AJ115" i="31"/>
  <c r="BA115" i="31" s="1"/>
  <c r="AJ116" i="31"/>
  <c r="BA116" i="31"/>
  <c r="AJ117" i="31"/>
  <c r="AJ118" i="31"/>
  <c r="BA118" i="31" s="1"/>
  <c r="AJ119" i="31"/>
  <c r="BA119" i="31"/>
  <c r="AJ121" i="31"/>
  <c r="BA121" i="31"/>
  <c r="AJ122" i="31"/>
  <c r="BA122" i="31" s="1"/>
  <c r="AJ123" i="31"/>
  <c r="BA123" i="31"/>
  <c r="AJ124" i="31"/>
  <c r="AJ125" i="31"/>
  <c r="BA125" i="31" s="1"/>
  <c r="AJ126" i="31"/>
  <c r="BA126" i="31"/>
  <c r="AJ127" i="31"/>
  <c r="BA127" i="31"/>
  <c r="AJ128" i="31"/>
  <c r="BA128" i="31" s="1"/>
  <c r="AJ129" i="31"/>
  <c r="BA129" i="31"/>
  <c r="AJ130" i="31"/>
  <c r="AJ131" i="31"/>
  <c r="BA131" i="31" s="1"/>
  <c r="AJ132" i="31"/>
  <c r="BA132" i="31"/>
  <c r="AJ133" i="31"/>
  <c r="BA133" i="31"/>
  <c r="AJ134" i="31"/>
  <c r="BA134" i="31" s="1"/>
  <c r="AJ135" i="31"/>
  <c r="BA135" i="31"/>
  <c r="AJ136" i="31"/>
  <c r="AJ137" i="31"/>
  <c r="BA137" i="31" s="1"/>
  <c r="AJ138" i="31"/>
  <c r="BA138" i="31"/>
  <c r="AJ139" i="31"/>
  <c r="BA139" i="31"/>
  <c r="AJ140" i="31"/>
  <c r="BA140" i="31" s="1"/>
  <c r="O141" i="31"/>
  <c r="P141" i="31"/>
  <c r="AJ141" i="31"/>
  <c r="AT141" i="31" s="1"/>
  <c r="P142" i="31"/>
  <c r="AJ142" i="31"/>
  <c r="BA142" i="31"/>
  <c r="AK14" i="31"/>
  <c r="BB14" i="31"/>
  <c r="AK15" i="31"/>
  <c r="BB15" i="31" s="1"/>
  <c r="AK16" i="31"/>
  <c r="BB16" i="31"/>
  <c r="AK17" i="31"/>
  <c r="AK18" i="31"/>
  <c r="BB18" i="31" s="1"/>
  <c r="AK19" i="31"/>
  <c r="BB19" i="31"/>
  <c r="AK20" i="31"/>
  <c r="BB20" i="31"/>
  <c r="AK21" i="31"/>
  <c r="AU21" i="31" s="1"/>
  <c r="AK22" i="31"/>
  <c r="BB22" i="31"/>
  <c r="AK23" i="31"/>
  <c r="AK24" i="31"/>
  <c r="BB24" i="31" s="1"/>
  <c r="AK25" i="31"/>
  <c r="BB25" i="31"/>
  <c r="AK26" i="31"/>
  <c r="BB26" i="31"/>
  <c r="AK27" i="31"/>
  <c r="BB27" i="31" s="1"/>
  <c r="AK28" i="31"/>
  <c r="BB28" i="31"/>
  <c r="AK29" i="31"/>
  <c r="BB29" i="31" s="1"/>
  <c r="AK30" i="31"/>
  <c r="BB30" i="31" s="1"/>
  <c r="AK31" i="31"/>
  <c r="BB31" i="31"/>
  <c r="AK32" i="31"/>
  <c r="BB32" i="31"/>
  <c r="AK33" i="31"/>
  <c r="AU33" i="31" s="1"/>
  <c r="AK34" i="31"/>
  <c r="BB34" i="31"/>
  <c r="AK35" i="31"/>
  <c r="AK36" i="31"/>
  <c r="BB36" i="31" s="1"/>
  <c r="AK37" i="31"/>
  <c r="BB37" i="31"/>
  <c r="AK38" i="31"/>
  <c r="BB38" i="31"/>
  <c r="AK39" i="31"/>
  <c r="BB39" i="31" s="1"/>
  <c r="AK40" i="31"/>
  <c r="BB40" i="31"/>
  <c r="AK41" i="31"/>
  <c r="BB41" i="31" s="1"/>
  <c r="AK42" i="31"/>
  <c r="BB42" i="31" s="1"/>
  <c r="AK43" i="31"/>
  <c r="BB43" i="31"/>
  <c r="AK44" i="31"/>
  <c r="BB44" i="31"/>
  <c r="AK45" i="31"/>
  <c r="AU45" i="31" s="1"/>
  <c r="Q46" i="31"/>
  <c r="AK46" i="31"/>
  <c r="Q47" i="31"/>
  <c r="BB47" i="31" s="1"/>
  <c r="AK47" i="31"/>
  <c r="AK48" i="31"/>
  <c r="BB48" i="31"/>
  <c r="AK49" i="31"/>
  <c r="BB49" i="31"/>
  <c r="AK50" i="31"/>
  <c r="BB50" i="31" s="1"/>
  <c r="Q51" i="31"/>
  <c r="AK51" i="31"/>
  <c r="AU51" i="31" s="1"/>
  <c r="AY51" i="31" s="1"/>
  <c r="BB51" i="31"/>
  <c r="AK52" i="31"/>
  <c r="BB52" i="31"/>
  <c r="AK53" i="31"/>
  <c r="BB53" i="31"/>
  <c r="AK54" i="31"/>
  <c r="BB54" i="31" s="1"/>
  <c r="AK55" i="31"/>
  <c r="AU55" i="31" s="1"/>
  <c r="BB55" i="31"/>
  <c r="AK56" i="31"/>
  <c r="AU56" i="31" s="1"/>
  <c r="AK57" i="31"/>
  <c r="AK58" i="31"/>
  <c r="BB58" i="31"/>
  <c r="AK59" i="31"/>
  <c r="BB59" i="31"/>
  <c r="AK60" i="31"/>
  <c r="BB60" i="31" s="1"/>
  <c r="AK61" i="31"/>
  <c r="BB61" i="31"/>
  <c r="AK62" i="31"/>
  <c r="BB62" i="31" s="1"/>
  <c r="AK63" i="31"/>
  <c r="AU63" i="31" s="1"/>
  <c r="BB63" i="31"/>
  <c r="AK64" i="31"/>
  <c r="BB64" i="31"/>
  <c r="AK65" i="31"/>
  <c r="BB65" i="31"/>
  <c r="AK66" i="31"/>
  <c r="BB66" i="31" s="1"/>
  <c r="AK67" i="31"/>
  <c r="AU67" i="31" s="1"/>
  <c r="BB67" i="31"/>
  <c r="AK68" i="31"/>
  <c r="AU68" i="31" s="1"/>
  <c r="AK69" i="31"/>
  <c r="AU69" i="31" s="1"/>
  <c r="BB69" i="31"/>
  <c r="AK70" i="31"/>
  <c r="BB70" i="31"/>
  <c r="AK71" i="31"/>
  <c r="BB71" i="31"/>
  <c r="AK72" i="31"/>
  <c r="BB72" i="31" s="1"/>
  <c r="AK73" i="31"/>
  <c r="BB73" i="31"/>
  <c r="AK74" i="31"/>
  <c r="BB74" i="31" s="1"/>
  <c r="AK75" i="31"/>
  <c r="AU75" i="31" s="1"/>
  <c r="AK76" i="31"/>
  <c r="BB76" i="31"/>
  <c r="AK77" i="31"/>
  <c r="BB77" i="31"/>
  <c r="AK78" i="31"/>
  <c r="BB78" i="31" s="1"/>
  <c r="AK79" i="31"/>
  <c r="AU79" i="31" s="1"/>
  <c r="BB79" i="31"/>
  <c r="AK80" i="31"/>
  <c r="AU80" i="31" s="1"/>
  <c r="AK81" i="31"/>
  <c r="AK82" i="31"/>
  <c r="BB82" i="31"/>
  <c r="AK83" i="31"/>
  <c r="BB83" i="31"/>
  <c r="AK84" i="31"/>
  <c r="BB84" i="31" s="1"/>
  <c r="AK85" i="31"/>
  <c r="BB85" i="31"/>
  <c r="Q86" i="31"/>
  <c r="AK86" i="31"/>
  <c r="BB86" i="31"/>
  <c r="AK87" i="31"/>
  <c r="AK88" i="31"/>
  <c r="BB88" i="31" s="1"/>
  <c r="AK89" i="31"/>
  <c r="BB89" i="31"/>
  <c r="AK90" i="31"/>
  <c r="BB90" i="31"/>
  <c r="AK91" i="31"/>
  <c r="AU91" i="31" s="1"/>
  <c r="AK92" i="31"/>
  <c r="BB92" i="31"/>
  <c r="AK93" i="31"/>
  <c r="AK94" i="31"/>
  <c r="BB94" i="31" s="1"/>
  <c r="AK95" i="31"/>
  <c r="BB95" i="31"/>
  <c r="AK96" i="31"/>
  <c r="BB96" i="31"/>
  <c r="AK97" i="31"/>
  <c r="BB97" i="31" s="1"/>
  <c r="AK98" i="31"/>
  <c r="BB98" i="31"/>
  <c r="AK101" i="31"/>
  <c r="AK102" i="31"/>
  <c r="BB102" i="31" s="1"/>
  <c r="AK103" i="31"/>
  <c r="BB103" i="31"/>
  <c r="AK104" i="31"/>
  <c r="BB104" i="31"/>
  <c r="AK105" i="31"/>
  <c r="AU105" i="31" s="1"/>
  <c r="AK106" i="31"/>
  <c r="BB106" i="31"/>
  <c r="AK107" i="31"/>
  <c r="AK108" i="31"/>
  <c r="BB108" i="31" s="1"/>
  <c r="AK109" i="31"/>
  <c r="BB109" i="31"/>
  <c r="AK110" i="31"/>
  <c r="BB110" i="31"/>
  <c r="AK111" i="31"/>
  <c r="BB111" i="31" s="1"/>
  <c r="AK112" i="31"/>
  <c r="BB112" i="31"/>
  <c r="AK113" i="31"/>
  <c r="AK114" i="31"/>
  <c r="BB114" i="31" s="1"/>
  <c r="AK115" i="31"/>
  <c r="BB115" i="31"/>
  <c r="AK116" i="31"/>
  <c r="BB116" i="31"/>
  <c r="AK117" i="31"/>
  <c r="AU117" i="31" s="1"/>
  <c r="AK118" i="31"/>
  <c r="BB118" i="31"/>
  <c r="AK119" i="31"/>
  <c r="AK121" i="31"/>
  <c r="BB121" i="31" s="1"/>
  <c r="AK122" i="31"/>
  <c r="BB122" i="31"/>
  <c r="AK123" i="31"/>
  <c r="BB123" i="31"/>
  <c r="AK124" i="31"/>
  <c r="BB124" i="31" s="1"/>
  <c r="AK125" i="31"/>
  <c r="BB125" i="31"/>
  <c r="AK126" i="31"/>
  <c r="AK127" i="31"/>
  <c r="BB127" i="31" s="1"/>
  <c r="AK128" i="31"/>
  <c r="BB128" i="31"/>
  <c r="AK129" i="31"/>
  <c r="BB129" i="31"/>
  <c r="AK130" i="31"/>
  <c r="AU130" i="31" s="1"/>
  <c r="AK131" i="31"/>
  <c r="BB131" i="31"/>
  <c r="AK132" i="31"/>
  <c r="AK133" i="31"/>
  <c r="BB133" i="31" s="1"/>
  <c r="AK134" i="31"/>
  <c r="BB134" i="31"/>
  <c r="AK135" i="31"/>
  <c r="BB135" i="31"/>
  <c r="AK136" i="31"/>
  <c r="BB136" i="31" s="1"/>
  <c r="Q137" i="31"/>
  <c r="AK137" i="31"/>
  <c r="BB137" i="31"/>
  <c r="AK138" i="31"/>
  <c r="BB138" i="31"/>
  <c r="AK139" i="31"/>
  <c r="BB139" i="31"/>
  <c r="AK140" i="31"/>
  <c r="BB140" i="31" s="1"/>
  <c r="AK141" i="31"/>
  <c r="Q142" i="31"/>
  <c r="AK142" i="31"/>
  <c r="AT15" i="31"/>
  <c r="AT16" i="31"/>
  <c r="AT17" i="31"/>
  <c r="AT18" i="31"/>
  <c r="AT19" i="31"/>
  <c r="AT21" i="31"/>
  <c r="AT22" i="31"/>
  <c r="AT23" i="31"/>
  <c r="AT24" i="31"/>
  <c r="AT27" i="31"/>
  <c r="AT28" i="31"/>
  <c r="AT29" i="31"/>
  <c r="AT30" i="31"/>
  <c r="AT31" i="31"/>
  <c r="AT33" i="31"/>
  <c r="AT34" i="31"/>
  <c r="AT35" i="31"/>
  <c r="AT36" i="31"/>
  <c r="AT39" i="31"/>
  <c r="AT40" i="31"/>
  <c r="AT41" i="31"/>
  <c r="AT42" i="31"/>
  <c r="AT43" i="31"/>
  <c r="AT45" i="31"/>
  <c r="AT46" i="31"/>
  <c r="AT47" i="31"/>
  <c r="AT48" i="31"/>
  <c r="AY48" i="31" s="1"/>
  <c r="AT50" i="31"/>
  <c r="AT51" i="31"/>
  <c r="AT52" i="31"/>
  <c r="AT53" i="31"/>
  <c r="AT56" i="31"/>
  <c r="AT57" i="31"/>
  <c r="AT58" i="31"/>
  <c r="AT59" i="31"/>
  <c r="AT60" i="31"/>
  <c r="AT62" i="31"/>
  <c r="AT63" i="31"/>
  <c r="AT64" i="31"/>
  <c r="AT65" i="31"/>
  <c r="AT68" i="31"/>
  <c r="AT69" i="31"/>
  <c r="AT70" i="31"/>
  <c r="AT71" i="31"/>
  <c r="AT72" i="31"/>
  <c r="AT74" i="31"/>
  <c r="AT75" i="31"/>
  <c r="AT76" i="31"/>
  <c r="AT77" i="31"/>
  <c r="AT80" i="31"/>
  <c r="AT81" i="31"/>
  <c r="AT82" i="31"/>
  <c r="AT83" i="31"/>
  <c r="AT84" i="31"/>
  <c r="AT86" i="31"/>
  <c r="AT87" i="31"/>
  <c r="AT88" i="31"/>
  <c r="AT89" i="31"/>
  <c r="AT90" i="31"/>
  <c r="AT92" i="31"/>
  <c r="AT93" i="31"/>
  <c r="AT94" i="31"/>
  <c r="AT95" i="31"/>
  <c r="AT96" i="31"/>
  <c r="AT98" i="31"/>
  <c r="AT101" i="31"/>
  <c r="AT102" i="31"/>
  <c r="AT103" i="31"/>
  <c r="AT104" i="31"/>
  <c r="AT106" i="31"/>
  <c r="AT107" i="31"/>
  <c r="AT108" i="31"/>
  <c r="AT109" i="31"/>
  <c r="AT110" i="31"/>
  <c r="AT112" i="31"/>
  <c r="AT113" i="31"/>
  <c r="AT114" i="31"/>
  <c r="AT115" i="31"/>
  <c r="AT116" i="31"/>
  <c r="AT118" i="31"/>
  <c r="AT119" i="31"/>
  <c r="AT121" i="31"/>
  <c r="AT122" i="31"/>
  <c r="AY122" i="31" s="1"/>
  <c r="AT123" i="31"/>
  <c r="AT125" i="31"/>
  <c r="AT126" i="31"/>
  <c r="AT127" i="31"/>
  <c r="AT128" i="31"/>
  <c r="AT129" i="31"/>
  <c r="AT131" i="31"/>
  <c r="AT132" i="31"/>
  <c r="AT133" i="31"/>
  <c r="AT134" i="31"/>
  <c r="AT135" i="31"/>
  <c r="AT137" i="31"/>
  <c r="AT138" i="31"/>
  <c r="AT139" i="31"/>
  <c r="AT140" i="31"/>
  <c r="AT142" i="31"/>
  <c r="AU14" i="31"/>
  <c r="AU16" i="31"/>
  <c r="AY16" i="31" s="1"/>
  <c r="AU17" i="31"/>
  <c r="AU18" i="31"/>
  <c r="AU19" i="31"/>
  <c r="AU20" i="31"/>
  <c r="AU22" i="31"/>
  <c r="AU24" i="31"/>
  <c r="AU25" i="31"/>
  <c r="AU26" i="31"/>
  <c r="AU28" i="31"/>
  <c r="AU29" i="31"/>
  <c r="AU30" i="31"/>
  <c r="AU31" i="31"/>
  <c r="AU32" i="31"/>
  <c r="AU34" i="31"/>
  <c r="AU36" i="31"/>
  <c r="AU37" i="31"/>
  <c r="AU38" i="31"/>
  <c r="AU40" i="31"/>
  <c r="AU41" i="31"/>
  <c r="AU42" i="31"/>
  <c r="AU43" i="31"/>
  <c r="AU44" i="31"/>
  <c r="AU47" i="31"/>
  <c r="AU48" i="31"/>
  <c r="AU49" i="31"/>
  <c r="AU50" i="31"/>
  <c r="AU52" i="31"/>
  <c r="AU53" i="31"/>
  <c r="AU54" i="31"/>
  <c r="AU58" i="31"/>
  <c r="AU59" i="31"/>
  <c r="AU60" i="31"/>
  <c r="AU61" i="31"/>
  <c r="AU62" i="31"/>
  <c r="AU64" i="31"/>
  <c r="AU65" i="31"/>
  <c r="AU66" i="31"/>
  <c r="AU70" i="31"/>
  <c r="AU71" i="31"/>
  <c r="AU72" i="31"/>
  <c r="AU73" i="31"/>
  <c r="AU74" i="31"/>
  <c r="AU76" i="31"/>
  <c r="AU77" i="31"/>
  <c r="AU78" i="31"/>
  <c r="AU82" i="31"/>
  <c r="AU83" i="31"/>
  <c r="AU84" i="31"/>
  <c r="AU85" i="31"/>
  <c r="AU86" i="31"/>
  <c r="AU88" i="31"/>
  <c r="AU89" i="31"/>
  <c r="AU90" i="31"/>
  <c r="AU92" i="31"/>
  <c r="AU94" i="31"/>
  <c r="AU95" i="31"/>
  <c r="AU96" i="31"/>
  <c r="AU97" i="31"/>
  <c r="AU98" i="31"/>
  <c r="AU102" i="31"/>
  <c r="AU103" i="31"/>
  <c r="AU104" i="31"/>
  <c r="AU106" i="31"/>
  <c r="AU108" i="31"/>
  <c r="AU109" i="31"/>
  <c r="AU110" i="31"/>
  <c r="AU111" i="31"/>
  <c r="AU112" i="31"/>
  <c r="AU114" i="31"/>
  <c r="AU115" i="31"/>
  <c r="AU116" i="31"/>
  <c r="AU118" i="31"/>
  <c r="AU121" i="31"/>
  <c r="AU122" i="31"/>
  <c r="AU123" i="31"/>
  <c r="AU124" i="31"/>
  <c r="AU125" i="31"/>
  <c r="AU127" i="31"/>
  <c r="AY127" i="31" s="1"/>
  <c r="AU128" i="31"/>
  <c r="AU129" i="31"/>
  <c r="AU131" i="31"/>
  <c r="AU133" i="31"/>
  <c r="AU134" i="31"/>
  <c r="AU135" i="31"/>
  <c r="AU136" i="31"/>
  <c r="AU138" i="31"/>
  <c r="AU140" i="31"/>
  <c r="AU141" i="31"/>
  <c r="AJ99" i="31"/>
  <c r="AJ100" i="31"/>
  <c r="AK99" i="31"/>
  <c r="AK100" i="31"/>
  <c r="I14" i="31"/>
  <c r="AI14" i="31"/>
  <c r="AS14" i="31"/>
  <c r="AL14" i="31"/>
  <c r="AV14" i="31"/>
  <c r="I15" i="31"/>
  <c r="AI15" i="31"/>
  <c r="AS15" i="31" s="1"/>
  <c r="AL15" i="31"/>
  <c r="AV15" i="31"/>
  <c r="I16" i="31"/>
  <c r="AI16" i="31"/>
  <c r="AS16" i="31"/>
  <c r="AL16" i="31"/>
  <c r="AV16" i="31"/>
  <c r="I17" i="31"/>
  <c r="AI17" i="31"/>
  <c r="AS17" i="31" s="1"/>
  <c r="AL17" i="31"/>
  <c r="AV17" i="31"/>
  <c r="AY17" i="31"/>
  <c r="AI18" i="31"/>
  <c r="AS18" i="31" s="1"/>
  <c r="AY18" i="31" s="1"/>
  <c r="AL18" i="31"/>
  <c r="AV18" i="31" s="1"/>
  <c r="AI19" i="31"/>
  <c r="AS19" i="31"/>
  <c r="AY19" i="31" s="1"/>
  <c r="AL19" i="31"/>
  <c r="AV19" i="31" s="1"/>
  <c r="I20" i="31"/>
  <c r="AS20" i="31" s="1"/>
  <c r="AY20" i="31" s="1"/>
  <c r="AI20" i="31"/>
  <c r="AL20" i="31"/>
  <c r="AV20" i="31" s="1"/>
  <c r="I21" i="31"/>
  <c r="AI21" i="31"/>
  <c r="AS21" i="31"/>
  <c r="AL21" i="31"/>
  <c r="AV21" i="31" s="1"/>
  <c r="I22" i="31"/>
  <c r="AS22" i="31" s="1"/>
  <c r="AI22" i="31"/>
  <c r="AL22" i="31"/>
  <c r="AV22" i="31" s="1"/>
  <c r="I23" i="31"/>
  <c r="AI23" i="31"/>
  <c r="AS23" i="31"/>
  <c r="AL23" i="31"/>
  <c r="AV23" i="31" s="1"/>
  <c r="I24" i="31"/>
  <c r="AI24" i="31"/>
  <c r="AL24" i="31"/>
  <c r="AV24" i="31" s="1"/>
  <c r="I25" i="31"/>
  <c r="AI25" i="31"/>
  <c r="AS25" i="31"/>
  <c r="AY25" i="31" s="1"/>
  <c r="AL25" i="31"/>
  <c r="AV25" i="31" s="1"/>
  <c r="I26" i="31"/>
  <c r="AS26" i="31" s="1"/>
  <c r="AY26" i="31" s="1"/>
  <c r="AI26" i="31"/>
  <c r="AP26" i="31" s="1"/>
  <c r="AL26" i="31"/>
  <c r="AV26" i="31" s="1"/>
  <c r="I27" i="31"/>
  <c r="AI27" i="31"/>
  <c r="AS27" i="31"/>
  <c r="AL27" i="31"/>
  <c r="AV27" i="31" s="1"/>
  <c r="I28" i="31"/>
  <c r="AI28" i="31"/>
  <c r="AZ28" i="31" s="1"/>
  <c r="AL28" i="31"/>
  <c r="AV28" i="31" s="1"/>
  <c r="AI29" i="31"/>
  <c r="AS29" i="31" s="1"/>
  <c r="AL29" i="31"/>
  <c r="AV29" i="31"/>
  <c r="AI30" i="31"/>
  <c r="AS30" i="31"/>
  <c r="AL30" i="31"/>
  <c r="AV30" i="31" s="1"/>
  <c r="AI31" i="31"/>
  <c r="AS31" i="31"/>
  <c r="AL31" i="31"/>
  <c r="AV31" i="31" s="1"/>
  <c r="AY31" i="31" s="1"/>
  <c r="AI32" i="31"/>
  <c r="AS32" i="31" s="1"/>
  <c r="AL32" i="31"/>
  <c r="AV32" i="31"/>
  <c r="AY32" i="31" s="1"/>
  <c r="I33" i="31"/>
  <c r="AS33" i="31" s="1"/>
  <c r="AY33" i="31" s="1"/>
  <c r="AI33" i="31"/>
  <c r="AL33" i="31"/>
  <c r="AV33" i="31"/>
  <c r="I34" i="31"/>
  <c r="AI34" i="31"/>
  <c r="AS34" i="31" s="1"/>
  <c r="AL34" i="31"/>
  <c r="AV34" i="31"/>
  <c r="AY34" i="31" s="1"/>
  <c r="AI35" i="31"/>
  <c r="AS35" i="31" s="1"/>
  <c r="AL35" i="31"/>
  <c r="AV35" i="31"/>
  <c r="AI36" i="31"/>
  <c r="AS36" i="31"/>
  <c r="AL36" i="31"/>
  <c r="AV36" i="31" s="1"/>
  <c r="I37" i="31"/>
  <c r="AS37" i="31" s="1"/>
  <c r="AY37" i="31" s="1"/>
  <c r="AI37" i="31"/>
  <c r="AL37" i="31"/>
  <c r="AV37" i="31" s="1"/>
  <c r="I38" i="31"/>
  <c r="AI38" i="31"/>
  <c r="AS38" i="31"/>
  <c r="AL38" i="31"/>
  <c r="AV38" i="31" s="1"/>
  <c r="I39" i="31"/>
  <c r="AS39" i="31" s="1"/>
  <c r="AI39" i="31"/>
  <c r="AL39" i="31"/>
  <c r="AV39" i="31" s="1"/>
  <c r="I40" i="31"/>
  <c r="AI40" i="31"/>
  <c r="AS40" i="31"/>
  <c r="AL40" i="31"/>
  <c r="AV40" i="31" s="1"/>
  <c r="I41" i="31"/>
  <c r="AI41" i="31"/>
  <c r="AL41" i="31"/>
  <c r="AV41" i="31"/>
  <c r="I42" i="31"/>
  <c r="AI42" i="31"/>
  <c r="AS42" i="31"/>
  <c r="AY42" i="31" s="1"/>
  <c r="AL42" i="31"/>
  <c r="AV42" i="31" s="1"/>
  <c r="AI43" i="31"/>
  <c r="AS43" i="31"/>
  <c r="AL43" i="31"/>
  <c r="AV43" i="31" s="1"/>
  <c r="I44" i="31"/>
  <c r="AI44" i="31"/>
  <c r="AS44" i="31" s="1"/>
  <c r="AY44" i="31" s="1"/>
  <c r="AL44" i="31"/>
  <c r="AV44" i="31"/>
  <c r="AI45" i="31"/>
  <c r="AS45" i="31"/>
  <c r="AL45" i="31"/>
  <c r="AI46" i="31"/>
  <c r="AS46" i="31" s="1"/>
  <c r="AL46" i="31"/>
  <c r="AV46" i="31" s="1"/>
  <c r="AI47" i="31"/>
  <c r="AS47" i="31" s="1"/>
  <c r="AY47" i="31" s="1"/>
  <c r="AL47" i="31"/>
  <c r="AV47" i="31"/>
  <c r="AI48" i="31"/>
  <c r="AS48" i="31"/>
  <c r="AL48" i="31"/>
  <c r="AV48" i="31" s="1"/>
  <c r="AI49" i="31"/>
  <c r="AS49" i="31"/>
  <c r="AL49" i="31"/>
  <c r="AV49" i="31" s="1"/>
  <c r="AI50" i="31"/>
  <c r="AS50" i="31" s="1"/>
  <c r="AY50" i="31" s="1"/>
  <c r="AL50" i="31"/>
  <c r="AV50" i="31" s="1"/>
  <c r="AI51" i="31"/>
  <c r="AS51" i="31"/>
  <c r="AL51" i="31"/>
  <c r="AV51" i="31"/>
  <c r="I52" i="31"/>
  <c r="AI52" i="31"/>
  <c r="AS52" i="31"/>
  <c r="AL52" i="31"/>
  <c r="AV52" i="31" s="1"/>
  <c r="AI53" i="31"/>
  <c r="AS53" i="31" s="1"/>
  <c r="AY53" i="31" s="1"/>
  <c r="AL53" i="31"/>
  <c r="AV53" i="31" s="1"/>
  <c r="AI54" i="31"/>
  <c r="AS54" i="31" s="1"/>
  <c r="AL54" i="31"/>
  <c r="AV54" i="31"/>
  <c r="AY54" i="31" s="1"/>
  <c r="I55" i="31"/>
  <c r="AI55" i="31"/>
  <c r="AS55" i="31" s="1"/>
  <c r="AY55" i="31" s="1"/>
  <c r="AL55" i="31"/>
  <c r="AV55" i="31"/>
  <c r="I56" i="31"/>
  <c r="AI56" i="31"/>
  <c r="AS56" i="31"/>
  <c r="AL56" i="31"/>
  <c r="AV56" i="31"/>
  <c r="AY56" i="31"/>
  <c r="AI57" i="31"/>
  <c r="AS57" i="31" s="1"/>
  <c r="AL57" i="31"/>
  <c r="AV57" i="31" s="1"/>
  <c r="I58" i="31"/>
  <c r="AI58" i="31"/>
  <c r="AS58" i="31"/>
  <c r="L58" i="31"/>
  <c r="AL58" i="31"/>
  <c r="AV58" i="31"/>
  <c r="AY58" i="31"/>
  <c r="I59" i="31"/>
  <c r="AS59" i="31" s="1"/>
  <c r="AI59" i="31"/>
  <c r="L59" i="31"/>
  <c r="AL59" i="31"/>
  <c r="AV59" i="31" s="1"/>
  <c r="I60" i="31"/>
  <c r="AS60" i="31" s="1"/>
  <c r="AY60" i="31" s="1"/>
  <c r="AI60" i="31"/>
  <c r="AL60" i="31"/>
  <c r="AV60" i="31"/>
  <c r="I61" i="31"/>
  <c r="AS61" i="31" s="1"/>
  <c r="AI61" i="31"/>
  <c r="AL61" i="31"/>
  <c r="AV61" i="31" s="1"/>
  <c r="AY61" i="31"/>
  <c r="I62" i="31"/>
  <c r="AS62" i="31" s="1"/>
  <c r="AI62" i="31"/>
  <c r="AL62" i="31"/>
  <c r="BC62" i="31" s="1"/>
  <c r="I63" i="31"/>
  <c r="AI63" i="31"/>
  <c r="AS63" i="31"/>
  <c r="AL63" i="31"/>
  <c r="AV63" i="31" s="1"/>
  <c r="AY63" i="31"/>
  <c r="I64" i="31"/>
  <c r="AI64" i="31"/>
  <c r="AL64" i="31"/>
  <c r="I65" i="31"/>
  <c r="AI65" i="31"/>
  <c r="AS65" i="31"/>
  <c r="AL65" i="31"/>
  <c r="AV65" i="31" s="1"/>
  <c r="AY65" i="31" s="1"/>
  <c r="I66" i="31"/>
  <c r="AI66" i="31"/>
  <c r="AL66" i="31"/>
  <c r="AV66" i="31" s="1"/>
  <c r="AI67" i="31"/>
  <c r="AS67" i="31" s="1"/>
  <c r="AY67" i="31" s="1"/>
  <c r="AL67" i="31"/>
  <c r="AV67" i="31"/>
  <c r="I68" i="31"/>
  <c r="AI68" i="31"/>
  <c r="AQ68" i="31" s="1"/>
  <c r="AS68" i="31"/>
  <c r="AY68" i="31" s="1"/>
  <c r="AL68" i="31"/>
  <c r="AV68" i="31"/>
  <c r="I69" i="31"/>
  <c r="AS69" i="31" s="1"/>
  <c r="AY69" i="31" s="1"/>
  <c r="AI69" i="31"/>
  <c r="AL69" i="31"/>
  <c r="AV69" i="31"/>
  <c r="AI70" i="31"/>
  <c r="AL70" i="31"/>
  <c r="AV70" i="31" s="1"/>
  <c r="I71" i="31"/>
  <c r="AS71" i="31" s="1"/>
  <c r="AY71" i="31" s="1"/>
  <c r="AI71" i="31"/>
  <c r="AL71" i="31"/>
  <c r="AV71" i="31"/>
  <c r="AI72" i="31"/>
  <c r="AS72" i="31"/>
  <c r="AL72" i="31"/>
  <c r="AV72" i="31"/>
  <c r="AI73" i="31"/>
  <c r="AL73" i="31"/>
  <c r="AV73" i="31"/>
  <c r="AI74" i="31"/>
  <c r="AS74" i="31"/>
  <c r="AL74" i="31"/>
  <c r="AV74" i="31"/>
  <c r="AY74" i="31"/>
  <c r="AI75" i="31"/>
  <c r="AS75" i="31" s="1"/>
  <c r="AL75" i="31"/>
  <c r="AV75" i="31"/>
  <c r="AI76" i="31"/>
  <c r="AS76" i="31" s="1"/>
  <c r="AY76" i="31" s="1"/>
  <c r="AL76" i="31"/>
  <c r="AV76" i="31"/>
  <c r="AI77" i="31"/>
  <c r="AZ77" i="31" s="1"/>
  <c r="BF77" i="31" s="1"/>
  <c r="AS77" i="31"/>
  <c r="AY77" i="31" s="1"/>
  <c r="AL77" i="31"/>
  <c r="AV77" i="31" s="1"/>
  <c r="AI78" i="31"/>
  <c r="AS78" i="31" s="1"/>
  <c r="AL78" i="31"/>
  <c r="AV78" i="31" s="1"/>
  <c r="AI79" i="31"/>
  <c r="AS79" i="31" s="1"/>
  <c r="AL79" i="31"/>
  <c r="AV79" i="31"/>
  <c r="AY79" i="31"/>
  <c r="I80" i="31"/>
  <c r="AI80" i="31"/>
  <c r="AS80" i="31"/>
  <c r="AY80" i="31" s="1"/>
  <c r="AL80" i="31"/>
  <c r="AV80" i="31" s="1"/>
  <c r="I81" i="31"/>
  <c r="AS81" i="31" s="1"/>
  <c r="AI81" i="31"/>
  <c r="AL81" i="31"/>
  <c r="AV81" i="31"/>
  <c r="AI82" i="31"/>
  <c r="AS82" i="31"/>
  <c r="AL82" i="31"/>
  <c r="I83" i="31"/>
  <c r="AI83" i="31"/>
  <c r="AS83" i="31"/>
  <c r="AL83" i="31"/>
  <c r="AV83" i="31"/>
  <c r="AY83" i="31" s="1"/>
  <c r="I84" i="31"/>
  <c r="AI84" i="31"/>
  <c r="AS84" i="31"/>
  <c r="AY84" i="31" s="1"/>
  <c r="AL84" i="31"/>
  <c r="AV84" i="31" s="1"/>
  <c r="AI85" i="31"/>
  <c r="AS85" i="31"/>
  <c r="AL85" i="31"/>
  <c r="AV85" i="31" s="1"/>
  <c r="AI86" i="31"/>
  <c r="AZ86" i="31" s="1"/>
  <c r="AS86" i="31"/>
  <c r="AY86" i="31" s="1"/>
  <c r="AL86" i="31"/>
  <c r="AV86" i="31"/>
  <c r="I87" i="31"/>
  <c r="AS87" i="31" s="1"/>
  <c r="AI87" i="31"/>
  <c r="AL87" i="31"/>
  <c r="AV87" i="31"/>
  <c r="AI88" i="31"/>
  <c r="AL88" i="31"/>
  <c r="AV88" i="31" s="1"/>
  <c r="AI89" i="31"/>
  <c r="AL89" i="31"/>
  <c r="AV89" i="31" s="1"/>
  <c r="I90" i="31"/>
  <c r="AI90" i="31"/>
  <c r="AS90" i="31"/>
  <c r="AL90" i="31"/>
  <c r="AV90" i="31" s="1"/>
  <c r="AI91" i="31"/>
  <c r="AZ91" i="31" s="1"/>
  <c r="AS91" i="31"/>
  <c r="AL91" i="31"/>
  <c r="AV91" i="31"/>
  <c r="I92" i="31"/>
  <c r="AI92" i="31"/>
  <c r="AS92" i="31" s="1"/>
  <c r="AY92" i="31" s="1"/>
  <c r="AL92" i="31"/>
  <c r="AV92" i="31" s="1"/>
  <c r="I93" i="31"/>
  <c r="AI93" i="31"/>
  <c r="AS93" i="31" s="1"/>
  <c r="AL93" i="31"/>
  <c r="AV93" i="31" s="1"/>
  <c r="I94" i="31"/>
  <c r="AI94" i="31"/>
  <c r="AS94" i="31" s="1"/>
  <c r="AL94" i="31"/>
  <c r="AV94" i="31"/>
  <c r="AY94" i="31"/>
  <c r="I95" i="31"/>
  <c r="AI95" i="31"/>
  <c r="AS95" i="31" s="1"/>
  <c r="AY95" i="31" s="1"/>
  <c r="AL95" i="31"/>
  <c r="AV95" i="31" s="1"/>
  <c r="I96" i="31"/>
  <c r="AS96" i="31" s="1"/>
  <c r="AI96" i="31"/>
  <c r="AL96" i="31"/>
  <c r="AV96" i="31"/>
  <c r="AX96" i="31" s="1"/>
  <c r="AI97" i="31"/>
  <c r="AS97" i="31"/>
  <c r="AL97" i="31"/>
  <c r="AI98" i="31"/>
  <c r="AS98" i="31"/>
  <c r="AL98" i="31"/>
  <c r="AV98" i="31" s="1"/>
  <c r="AY98" i="31"/>
  <c r="I101" i="31"/>
  <c r="AS101" i="31" s="1"/>
  <c r="AI101" i="31"/>
  <c r="AL101" i="31"/>
  <c r="AV101" i="31"/>
  <c r="I102" i="31"/>
  <c r="AS102" i="31" s="1"/>
  <c r="AI102" i="31"/>
  <c r="AL102" i="31"/>
  <c r="AV102" i="31" s="1"/>
  <c r="AY102" i="31" s="1"/>
  <c r="AI103" i="31"/>
  <c r="AS103" i="31" s="1"/>
  <c r="AY103" i="31" s="1"/>
  <c r="AL103" i="31"/>
  <c r="AV103" i="31"/>
  <c r="AI104" i="31"/>
  <c r="AS104" i="31" s="1"/>
  <c r="AY104" i="31" s="1"/>
  <c r="AL104" i="31"/>
  <c r="AV104" i="31"/>
  <c r="AI105" i="31"/>
  <c r="AS105" i="31"/>
  <c r="AL105" i="31"/>
  <c r="AI106" i="31"/>
  <c r="AS106" i="31" s="1"/>
  <c r="AY106" i="31" s="1"/>
  <c r="AL106" i="31"/>
  <c r="AV106" i="31" s="1"/>
  <c r="I107" i="31"/>
  <c r="AI107" i="31"/>
  <c r="AL107" i="31"/>
  <c r="AV107" i="31"/>
  <c r="I108" i="31"/>
  <c r="AI108" i="31"/>
  <c r="AS108" i="31"/>
  <c r="AL108" i="31"/>
  <c r="AV108" i="31" s="1"/>
  <c r="I109" i="31"/>
  <c r="AI109" i="31"/>
  <c r="AS109" i="31" s="1"/>
  <c r="AL109" i="31"/>
  <c r="AV109" i="31"/>
  <c r="AY109" i="31"/>
  <c r="I110" i="31"/>
  <c r="AI110" i="31"/>
  <c r="AS110" i="31"/>
  <c r="AY110" i="31" s="1"/>
  <c r="AL110" i="31"/>
  <c r="AV110" i="31" s="1"/>
  <c r="I111" i="31"/>
  <c r="AI111" i="31"/>
  <c r="AL111" i="31"/>
  <c r="I112" i="31"/>
  <c r="AI112" i="31"/>
  <c r="AS112" i="31"/>
  <c r="AY112" i="31" s="1"/>
  <c r="AL112" i="31"/>
  <c r="AV112" i="31" s="1"/>
  <c r="I113" i="31"/>
  <c r="AI113" i="31"/>
  <c r="AL113" i="31"/>
  <c r="AV113" i="31" s="1"/>
  <c r="I114" i="31"/>
  <c r="AI114" i="31"/>
  <c r="AS114" i="31" s="1"/>
  <c r="AY114" i="31" s="1"/>
  <c r="AL114" i="31"/>
  <c r="AV114" i="31" s="1"/>
  <c r="I115" i="31"/>
  <c r="AI115" i="31"/>
  <c r="AS115" i="31" s="1"/>
  <c r="AL115" i="31"/>
  <c r="AV115" i="31"/>
  <c r="AY115" i="31"/>
  <c r="I116" i="31"/>
  <c r="AI116" i="31"/>
  <c r="AS116" i="31"/>
  <c r="AL116" i="31"/>
  <c r="AV116" i="31" s="1"/>
  <c r="I117" i="31"/>
  <c r="AI117" i="31"/>
  <c r="AS117" i="31" s="1"/>
  <c r="AL117" i="31"/>
  <c r="AV117" i="31"/>
  <c r="I118" i="31"/>
  <c r="AI118" i="31"/>
  <c r="AS118" i="31"/>
  <c r="AY118" i="31" s="1"/>
  <c r="AL118" i="31"/>
  <c r="AV118" i="31" s="1"/>
  <c r="I119" i="31"/>
  <c r="AI119" i="31"/>
  <c r="AL119" i="31"/>
  <c r="AV119" i="31" s="1"/>
  <c r="AI121" i="31"/>
  <c r="AS121" i="31"/>
  <c r="AL121" i="31"/>
  <c r="AV121" i="31" s="1"/>
  <c r="AI122" i="31"/>
  <c r="AS122" i="31" s="1"/>
  <c r="AL122" i="31"/>
  <c r="AV122" i="31" s="1"/>
  <c r="AI123" i="31"/>
  <c r="AS123" i="31" s="1"/>
  <c r="AY123" i="31" s="1"/>
  <c r="AL123" i="31"/>
  <c r="AV123" i="31"/>
  <c r="AI124" i="31"/>
  <c r="AS124" i="31" s="1"/>
  <c r="AL124" i="31"/>
  <c r="AV124" i="31" s="1"/>
  <c r="AI125" i="31"/>
  <c r="AS125" i="31" s="1"/>
  <c r="AY125" i="31" s="1"/>
  <c r="AL125" i="31"/>
  <c r="BC125" i="31" s="1"/>
  <c r="AV125" i="31"/>
  <c r="AI126" i="31"/>
  <c r="AS126" i="31"/>
  <c r="AL126" i="31"/>
  <c r="AI127" i="31"/>
  <c r="AS127" i="31"/>
  <c r="AL127" i="31"/>
  <c r="AV127" i="31" s="1"/>
  <c r="AI128" i="31"/>
  <c r="AS128" i="31" s="1"/>
  <c r="AL128" i="31"/>
  <c r="AV128" i="31"/>
  <c r="AY128" i="31" s="1"/>
  <c r="AI129" i="31"/>
  <c r="AS129" i="31" s="1"/>
  <c r="AY129" i="31" s="1"/>
  <c r="AL129" i="31"/>
  <c r="AV129" i="31"/>
  <c r="AI130" i="31"/>
  <c r="AS130" i="31"/>
  <c r="AL130" i="31"/>
  <c r="AI131" i="31"/>
  <c r="AS131" i="31" s="1"/>
  <c r="AL131" i="31"/>
  <c r="AV131" i="31" s="1"/>
  <c r="AI132" i="31"/>
  <c r="AS132" i="31"/>
  <c r="AL132" i="31"/>
  <c r="AV132" i="31"/>
  <c r="AI133" i="31"/>
  <c r="AS133" i="31" s="1"/>
  <c r="AL133" i="31"/>
  <c r="AV133" i="31"/>
  <c r="AI134" i="31"/>
  <c r="AS134" i="31" s="1"/>
  <c r="AY134" i="31" s="1"/>
  <c r="AL134" i="31"/>
  <c r="AV134" i="31"/>
  <c r="AI135" i="31"/>
  <c r="AS135" i="31"/>
  <c r="AL135" i="31"/>
  <c r="AV135" i="31" s="1"/>
  <c r="AY135" i="31" s="1"/>
  <c r="I136" i="31"/>
  <c r="AS136" i="31" s="1"/>
  <c r="AI136" i="31"/>
  <c r="AL136" i="31"/>
  <c r="AV136" i="31"/>
  <c r="AI137" i="31"/>
  <c r="AS137" i="31"/>
  <c r="AL137" i="31"/>
  <c r="AV137" i="31" s="1"/>
  <c r="AI138" i="31"/>
  <c r="AQ138" i="31" s="1"/>
  <c r="AL138" i="31"/>
  <c r="AV138" i="31" s="1"/>
  <c r="AY139" i="31"/>
  <c r="AI140" i="31"/>
  <c r="AS140" i="31" s="1"/>
  <c r="AY140" i="31" s="1"/>
  <c r="AL140" i="31"/>
  <c r="AV140" i="31"/>
  <c r="AI141" i="31"/>
  <c r="AS141" i="31"/>
  <c r="AL141" i="31"/>
  <c r="AI142" i="31"/>
  <c r="AS142" i="31"/>
  <c r="AL142" i="31"/>
  <c r="AV142" i="31" s="1"/>
  <c r="O14" i="31"/>
  <c r="AZ14" i="31" s="1"/>
  <c r="R14" i="31"/>
  <c r="BC14" i="31" s="1"/>
  <c r="O15" i="31"/>
  <c r="AZ15" i="31" s="1"/>
  <c r="O16" i="31"/>
  <c r="R16" i="31" s="1"/>
  <c r="BC16" i="31" s="1"/>
  <c r="AZ16" i="31"/>
  <c r="BF16" i="31"/>
  <c r="O17" i="31"/>
  <c r="AZ18" i="31"/>
  <c r="BC18" i="31"/>
  <c r="BF18" i="31"/>
  <c r="AZ19" i="31"/>
  <c r="BC19" i="31"/>
  <c r="O20" i="31"/>
  <c r="R20" i="31" s="1"/>
  <c r="BC20" i="31" s="1"/>
  <c r="O21" i="31"/>
  <c r="AZ21" i="31"/>
  <c r="R21" i="31"/>
  <c r="BC21" i="31"/>
  <c r="O22" i="31"/>
  <c r="AZ22" i="31" s="1"/>
  <c r="BF22" i="31" s="1"/>
  <c r="R22" i="31"/>
  <c r="BC22" i="31"/>
  <c r="O23" i="31"/>
  <c r="AZ23" i="31" s="1"/>
  <c r="R23" i="31"/>
  <c r="BC23" i="31"/>
  <c r="O24" i="31"/>
  <c r="R24" i="31" s="1"/>
  <c r="BC24" i="31" s="1"/>
  <c r="AZ24" i="31"/>
  <c r="BE24" i="31" s="1"/>
  <c r="O25" i="31"/>
  <c r="O26" i="31"/>
  <c r="AZ26" i="31" s="1"/>
  <c r="BF26" i="31" s="1"/>
  <c r="R26" i="31"/>
  <c r="BC26" i="31"/>
  <c r="O27" i="31"/>
  <c r="AZ27" i="31"/>
  <c r="R27" i="31"/>
  <c r="BC27" i="31" s="1"/>
  <c r="O28" i="31"/>
  <c r="R28" i="31"/>
  <c r="BC28" i="31" s="1"/>
  <c r="AZ29" i="31"/>
  <c r="BF29" i="31" s="1"/>
  <c r="BC29" i="31"/>
  <c r="AZ30" i="31"/>
  <c r="BF30" i="31" s="1"/>
  <c r="BC30" i="31"/>
  <c r="AZ31" i="31"/>
  <c r="BC31" i="31"/>
  <c r="AZ32" i="31"/>
  <c r="BC32" i="31"/>
  <c r="BF32" i="31"/>
  <c r="O33" i="31"/>
  <c r="O34" i="31"/>
  <c r="AZ34" i="31" s="1"/>
  <c r="AZ35" i="31"/>
  <c r="BC35" i="31"/>
  <c r="AZ36" i="31"/>
  <c r="BC36" i="31"/>
  <c r="BF36" i="31"/>
  <c r="O37" i="31"/>
  <c r="O38" i="31"/>
  <c r="AZ38" i="31" s="1"/>
  <c r="R38" i="31"/>
  <c r="BC38" i="31"/>
  <c r="O39" i="31"/>
  <c r="AZ39" i="31"/>
  <c r="R39" i="31"/>
  <c r="BC39" i="31" s="1"/>
  <c r="O40" i="31"/>
  <c r="AZ40" i="31"/>
  <c r="R40" i="31"/>
  <c r="BC40" i="31" s="1"/>
  <c r="O41" i="31"/>
  <c r="O42" i="31"/>
  <c r="AZ42" i="31" s="1"/>
  <c r="BC43" i="31"/>
  <c r="O44" i="31"/>
  <c r="AZ44" i="31" s="1"/>
  <c r="R44" i="31"/>
  <c r="BC44" i="31"/>
  <c r="AZ45" i="31"/>
  <c r="O46" i="31"/>
  <c r="AZ46" i="31" s="1"/>
  <c r="R46" i="31"/>
  <c r="BC46" i="31"/>
  <c r="O47" i="31"/>
  <c r="AZ47" i="31"/>
  <c r="R47" i="31"/>
  <c r="BC47" i="31" s="1"/>
  <c r="O48" i="31"/>
  <c r="AZ48" i="31"/>
  <c r="R48" i="31"/>
  <c r="BC48" i="31" s="1"/>
  <c r="BF48" i="31" s="1"/>
  <c r="AZ49" i="31"/>
  <c r="R49" i="31"/>
  <c r="BC49" i="31" s="1"/>
  <c r="AZ50" i="31"/>
  <c r="BF50" i="31" s="1"/>
  <c r="BC50" i="31"/>
  <c r="O51" i="31"/>
  <c r="AZ51" i="31"/>
  <c r="R51" i="31"/>
  <c r="BC51" i="31" s="1"/>
  <c r="O52" i="31"/>
  <c r="AZ53" i="31"/>
  <c r="BF53" i="31" s="1"/>
  <c r="BC53" i="31"/>
  <c r="AZ54" i="31"/>
  <c r="BC54" i="31"/>
  <c r="O55" i="31"/>
  <c r="R55" i="31" s="1"/>
  <c r="BC55" i="31" s="1"/>
  <c r="AZ55" i="31"/>
  <c r="BF55" i="31"/>
  <c r="O56" i="31"/>
  <c r="AZ57" i="31"/>
  <c r="BC57" i="31"/>
  <c r="O58" i="31"/>
  <c r="O59" i="31"/>
  <c r="AZ59" i="31" s="1"/>
  <c r="O60" i="31"/>
  <c r="AZ60" i="31"/>
  <c r="R60" i="31"/>
  <c r="BC60" i="31" s="1"/>
  <c r="O61" i="31"/>
  <c r="R61" i="31" s="1"/>
  <c r="BC61" i="31" s="1"/>
  <c r="AZ61" i="31"/>
  <c r="O62" i="31"/>
  <c r="AZ62" i="31"/>
  <c r="R62" i="31"/>
  <c r="O63" i="31"/>
  <c r="AZ63" i="31" s="1"/>
  <c r="R63" i="31"/>
  <c r="BC63" i="31" s="1"/>
  <c r="O64" i="31"/>
  <c r="AZ64" i="31" s="1"/>
  <c r="R64" i="31"/>
  <c r="O65" i="31"/>
  <c r="R65" i="31" s="1"/>
  <c r="BC65" i="31" s="1"/>
  <c r="AZ65" i="31"/>
  <c r="BF65" i="31"/>
  <c r="O66" i="31"/>
  <c r="AZ67" i="31"/>
  <c r="BC67" i="31"/>
  <c r="O68" i="31"/>
  <c r="O69" i="31"/>
  <c r="AZ69" i="31" s="1"/>
  <c r="BC70" i="31"/>
  <c r="O71" i="31"/>
  <c r="AZ71" i="31" s="1"/>
  <c r="R71" i="31"/>
  <c r="BC71" i="31"/>
  <c r="AZ72" i="31"/>
  <c r="BC72" i="31"/>
  <c r="BC73" i="31"/>
  <c r="AZ74" i="31"/>
  <c r="BC74" i="31"/>
  <c r="AZ75" i="31"/>
  <c r="BC75" i="31"/>
  <c r="AZ76" i="31"/>
  <c r="BC76" i="31"/>
  <c r="BF76" i="31"/>
  <c r="BC77" i="31"/>
  <c r="AZ78" i="31"/>
  <c r="BC78" i="31"/>
  <c r="AZ79" i="31"/>
  <c r="BC79" i="31"/>
  <c r="O80" i="31"/>
  <c r="AZ80" i="31" s="1"/>
  <c r="R80" i="31"/>
  <c r="BC80" i="31"/>
  <c r="O81" i="31"/>
  <c r="R81" i="31" s="1"/>
  <c r="BC81" i="31" s="1"/>
  <c r="AZ81" i="31"/>
  <c r="AZ82" i="31"/>
  <c r="O83" i="31"/>
  <c r="AZ83" i="31"/>
  <c r="R83" i="31"/>
  <c r="BC83" i="31" s="1"/>
  <c r="O84" i="31"/>
  <c r="AZ85" i="31"/>
  <c r="BC85" i="31"/>
  <c r="O86" i="31"/>
  <c r="R86" i="31"/>
  <c r="BC86" i="31"/>
  <c r="BF86" i="31"/>
  <c r="O87" i="31"/>
  <c r="AZ87" i="31" s="1"/>
  <c r="R87" i="31"/>
  <c r="BC88" i="31"/>
  <c r="BC89" i="31"/>
  <c r="O90" i="31"/>
  <c r="BC91" i="31"/>
  <c r="O92" i="31"/>
  <c r="AZ92" i="31"/>
  <c r="R92" i="31"/>
  <c r="BC92" i="31"/>
  <c r="O93" i="31"/>
  <c r="AZ93" i="31" s="1"/>
  <c r="R93" i="31"/>
  <c r="BC93" i="31"/>
  <c r="O94" i="31"/>
  <c r="AZ94" i="31" s="1"/>
  <c r="R94" i="31"/>
  <c r="BC94" i="31"/>
  <c r="O95" i="31"/>
  <c r="R95" i="31" s="1"/>
  <c r="BC95" i="31" s="1"/>
  <c r="AZ95" i="31"/>
  <c r="BF95" i="31" s="1"/>
  <c r="O96" i="31"/>
  <c r="AZ97" i="31"/>
  <c r="AZ98" i="31"/>
  <c r="BC98" i="31"/>
  <c r="O101" i="31"/>
  <c r="R101" i="31" s="1"/>
  <c r="BC101" i="31" s="1"/>
  <c r="AZ101" i="31"/>
  <c r="O102" i="31"/>
  <c r="AZ102" i="31"/>
  <c r="R102" i="31"/>
  <c r="BC102" i="31"/>
  <c r="BE102" i="31" s="1"/>
  <c r="AZ103" i="31"/>
  <c r="BC103" i="31"/>
  <c r="BF103" i="31"/>
  <c r="AZ104" i="31"/>
  <c r="BC104" i="31"/>
  <c r="AZ105" i="31"/>
  <c r="AZ106" i="31"/>
  <c r="BC106" i="31"/>
  <c r="BF106" i="31"/>
  <c r="O107" i="31"/>
  <c r="AZ107" i="31" s="1"/>
  <c r="R107" i="31"/>
  <c r="BC107" i="31" s="1"/>
  <c r="O108" i="31"/>
  <c r="AZ108" i="31" s="1"/>
  <c r="O109" i="31"/>
  <c r="R109" i="31" s="1"/>
  <c r="BC109" i="31" s="1"/>
  <c r="AZ109" i="31"/>
  <c r="O110" i="31"/>
  <c r="O111" i="31"/>
  <c r="R111" i="31"/>
  <c r="O112" i="31"/>
  <c r="AZ112" i="31"/>
  <c r="R112" i="31"/>
  <c r="BC112" i="31" s="1"/>
  <c r="O113" i="31"/>
  <c r="R113" i="31"/>
  <c r="BC113" i="31" s="1"/>
  <c r="O114" i="31"/>
  <c r="O115" i="31"/>
  <c r="AZ115" i="31" s="1"/>
  <c r="O116" i="31"/>
  <c r="AZ116" i="31"/>
  <c r="R116" i="31"/>
  <c r="BC116" i="31" s="1"/>
  <c r="O117" i="31"/>
  <c r="R117" i="31" s="1"/>
  <c r="BC117" i="31" s="1"/>
  <c r="AZ117" i="31"/>
  <c r="O118" i="31"/>
  <c r="AZ118" i="31"/>
  <c r="R118" i="31"/>
  <c r="BC118" i="31"/>
  <c r="O119" i="31"/>
  <c r="R119" i="31"/>
  <c r="AZ121" i="31"/>
  <c r="BC121" i="31"/>
  <c r="BF121" i="31"/>
  <c r="AZ122" i="31"/>
  <c r="AZ123" i="31"/>
  <c r="BF123" i="31" s="1"/>
  <c r="BC123" i="31"/>
  <c r="AZ124" i="31"/>
  <c r="BC124" i="31"/>
  <c r="AZ125" i="31"/>
  <c r="AZ126" i="31"/>
  <c r="AZ127" i="31"/>
  <c r="BF127" i="31" s="1"/>
  <c r="BC127" i="31"/>
  <c r="AZ128" i="31"/>
  <c r="BC128" i="31"/>
  <c r="O129" i="31"/>
  <c r="AZ129" i="31" s="1"/>
  <c r="O130" i="31"/>
  <c r="AZ130" i="31"/>
  <c r="AZ131" i="31"/>
  <c r="BC131" i="31"/>
  <c r="AZ132" i="31"/>
  <c r="BC132" i="31"/>
  <c r="AZ133" i="31"/>
  <c r="AZ134" i="31"/>
  <c r="BF134" i="31" s="1"/>
  <c r="BC134" i="31"/>
  <c r="AZ135" i="31"/>
  <c r="BF135" i="31" s="1"/>
  <c r="BC135" i="31"/>
  <c r="O136" i="31"/>
  <c r="AZ136" i="31" s="1"/>
  <c r="O137" i="31"/>
  <c r="R137" i="31" s="1"/>
  <c r="BC137" i="31" s="1"/>
  <c r="AZ137" i="31"/>
  <c r="AZ138" i="31"/>
  <c r="BF138" i="31" s="1"/>
  <c r="BC138" i="31"/>
  <c r="AL139" i="31"/>
  <c r="BC139" i="31"/>
  <c r="BF139" i="31"/>
  <c r="AZ140" i="31"/>
  <c r="BC140" i="31"/>
  <c r="BF140" i="31" s="1"/>
  <c r="AZ141" i="31"/>
  <c r="O142" i="31"/>
  <c r="AZ142" i="31" s="1"/>
  <c r="R142" i="31"/>
  <c r="BC142" i="31"/>
  <c r="AQ14" i="31"/>
  <c r="AQ15" i="31"/>
  <c r="AQ16" i="31"/>
  <c r="AQ17" i="31"/>
  <c r="AQ18" i="31"/>
  <c r="AQ19" i="31"/>
  <c r="AQ20" i="31"/>
  <c r="AQ21" i="31"/>
  <c r="AQ22" i="31"/>
  <c r="AQ23" i="31"/>
  <c r="AQ24" i="31"/>
  <c r="AQ25" i="31"/>
  <c r="AQ26" i="31"/>
  <c r="AQ27" i="31"/>
  <c r="AQ28" i="31"/>
  <c r="AQ29" i="31"/>
  <c r="AQ30" i="31"/>
  <c r="AQ31" i="31"/>
  <c r="AQ32" i="31"/>
  <c r="AQ33" i="31"/>
  <c r="AQ34" i="31"/>
  <c r="AQ35" i="31"/>
  <c r="AQ36" i="31"/>
  <c r="AQ37" i="31"/>
  <c r="AQ39" i="31"/>
  <c r="AQ40" i="31"/>
  <c r="AQ41" i="31"/>
  <c r="AQ42" i="31"/>
  <c r="AQ44" i="31"/>
  <c r="AQ47" i="31"/>
  <c r="AQ48" i="31"/>
  <c r="AQ49" i="31"/>
  <c r="AQ50" i="31"/>
  <c r="AQ51" i="31"/>
  <c r="AQ52" i="31"/>
  <c r="AQ53" i="31"/>
  <c r="AQ54" i="31"/>
  <c r="AQ55" i="31"/>
  <c r="AQ56" i="31"/>
  <c r="AQ58" i="31"/>
  <c r="AQ59" i="31"/>
  <c r="AQ60" i="31"/>
  <c r="AQ61" i="31"/>
  <c r="AQ62" i="31"/>
  <c r="AQ63" i="31"/>
  <c r="AQ65" i="31"/>
  <c r="AQ66" i="31"/>
  <c r="AQ67" i="31"/>
  <c r="AQ69" i="31"/>
  <c r="AQ71" i="31"/>
  <c r="AQ72" i="31"/>
  <c r="AQ74" i="31"/>
  <c r="AQ75" i="31"/>
  <c r="AQ76" i="31"/>
  <c r="AQ77" i="31"/>
  <c r="AQ78" i="31"/>
  <c r="AQ79" i="31"/>
  <c r="AQ80" i="31"/>
  <c r="AQ83" i="31"/>
  <c r="AQ84" i="31"/>
  <c r="AQ85" i="31"/>
  <c r="AQ86" i="31"/>
  <c r="AQ89" i="31"/>
  <c r="AQ90" i="31"/>
  <c r="AQ91" i="31"/>
  <c r="AQ92" i="31"/>
  <c r="AQ93" i="31"/>
  <c r="AQ94" i="31"/>
  <c r="AQ95" i="31"/>
  <c r="AQ96" i="31"/>
  <c r="AQ97" i="31"/>
  <c r="AQ98" i="31"/>
  <c r="AI99" i="31"/>
  <c r="AL99" i="31"/>
  <c r="AQ99" i="31"/>
  <c r="AI100" i="31"/>
  <c r="AQ100" i="31" s="1"/>
  <c r="AL100" i="31"/>
  <c r="AQ101" i="31"/>
  <c r="AQ102" i="31"/>
  <c r="AQ103" i="31"/>
  <c r="AQ104" i="31"/>
  <c r="AQ106" i="31"/>
  <c r="AQ107" i="31"/>
  <c r="AQ108" i="31"/>
  <c r="AQ109" i="31"/>
  <c r="AQ110" i="31"/>
  <c r="AQ112" i="31"/>
  <c r="AQ114" i="31"/>
  <c r="AQ115" i="31"/>
  <c r="AQ116" i="31"/>
  <c r="AQ117" i="31"/>
  <c r="AQ118" i="31"/>
  <c r="AQ121" i="31"/>
  <c r="AQ122" i="31"/>
  <c r="AQ123" i="31"/>
  <c r="AQ124" i="31"/>
  <c r="AQ125" i="31"/>
  <c r="AQ127" i="31"/>
  <c r="AQ128" i="31"/>
  <c r="AQ129" i="31"/>
  <c r="AQ130" i="31"/>
  <c r="AQ131" i="31"/>
  <c r="AQ132" i="31"/>
  <c r="AQ134" i="31"/>
  <c r="AQ135" i="31"/>
  <c r="AQ136" i="31"/>
  <c r="AQ139" i="31"/>
  <c r="AQ140" i="31"/>
  <c r="CM169" i="31"/>
  <c r="CN169" i="31"/>
  <c r="CM168" i="31"/>
  <c r="CN168" i="31" s="1"/>
  <c r="CM167" i="31"/>
  <c r="CN167" i="31"/>
  <c r="CM166" i="31"/>
  <c r="CN166" i="31" s="1"/>
  <c r="CM165" i="31"/>
  <c r="CN165" i="31" s="1"/>
  <c r="AZ99" i="31"/>
  <c r="R143" i="31"/>
  <c r="AL143" i="31"/>
  <c r="AV143" i="31" s="1"/>
  <c r="CM164" i="31"/>
  <c r="CN164" i="31"/>
  <c r="CM163" i="31"/>
  <c r="CN163" i="31" s="1"/>
  <c r="AJ153" i="31"/>
  <c r="CM162" i="31"/>
  <c r="CN162" i="31" s="1"/>
  <c r="CM161" i="31"/>
  <c r="CL161" i="31"/>
  <c r="CM160" i="31"/>
  <c r="CN160" i="31"/>
  <c r="AK158" i="31"/>
  <c r="CM159" i="31"/>
  <c r="CN159" i="31" s="1"/>
  <c r="N158" i="31"/>
  <c r="AH137" i="31"/>
  <c r="AH51" i="31"/>
  <c r="AH158" i="31" s="1"/>
  <c r="AH47" i="31"/>
  <c r="AM137" i="31"/>
  <c r="AP137" i="31"/>
  <c r="AM51" i="31"/>
  <c r="AP51" i="31"/>
  <c r="AM47" i="31"/>
  <c r="BD47" i="31" s="1"/>
  <c r="AP47" i="31"/>
  <c r="AC158" i="31"/>
  <c r="O158" i="31"/>
  <c r="I158" i="31"/>
  <c r="H158" i="31"/>
  <c r="CM157" i="31"/>
  <c r="CN157" i="31"/>
  <c r="AM14" i="31"/>
  <c r="BD14" i="31"/>
  <c r="AM15" i="31"/>
  <c r="BD15" i="31" s="1"/>
  <c r="AM16" i="31"/>
  <c r="BD16" i="31"/>
  <c r="AM17" i="31"/>
  <c r="BD17" i="31" s="1"/>
  <c r="AM18" i="31"/>
  <c r="BD18" i="31"/>
  <c r="BE18" i="31" s="1"/>
  <c r="AM19" i="31"/>
  <c r="BD19" i="31" s="1"/>
  <c r="AM20" i="31"/>
  <c r="BD20" i="31"/>
  <c r="AM21" i="31"/>
  <c r="AP21" i="31" s="1"/>
  <c r="AM22" i="31"/>
  <c r="BD22" i="31"/>
  <c r="BE22" i="31"/>
  <c r="AM23" i="31"/>
  <c r="BD23" i="31" s="1"/>
  <c r="AM24" i="31"/>
  <c r="BD24" i="31"/>
  <c r="AM25" i="31"/>
  <c r="BD25" i="31"/>
  <c r="AM26" i="31"/>
  <c r="BD26" i="31"/>
  <c r="AM27" i="31"/>
  <c r="BD27" i="31" s="1"/>
  <c r="AM28" i="31"/>
  <c r="BD28" i="31"/>
  <c r="AM29" i="31"/>
  <c r="AW29" i="31" s="1"/>
  <c r="AX29" i="31" s="1"/>
  <c r="BD29" i="31"/>
  <c r="AM30" i="31"/>
  <c r="BD30" i="31"/>
  <c r="BE30" i="31"/>
  <c r="AM31" i="31"/>
  <c r="BD31" i="31"/>
  <c r="AM32" i="31"/>
  <c r="BD32" i="31"/>
  <c r="BE32" i="31" s="1"/>
  <c r="AM33" i="31"/>
  <c r="AP33" i="31" s="1"/>
  <c r="BD33" i="31"/>
  <c r="AM34" i="31"/>
  <c r="BD34" i="31"/>
  <c r="AM35" i="31"/>
  <c r="BD35" i="31"/>
  <c r="AM36" i="31"/>
  <c r="BD36" i="31"/>
  <c r="AM37" i="31"/>
  <c r="BD37" i="31"/>
  <c r="AM38" i="31"/>
  <c r="BD38" i="31"/>
  <c r="AM39" i="31"/>
  <c r="BD39" i="31"/>
  <c r="AM40" i="31"/>
  <c r="BD40" i="31"/>
  <c r="AM41" i="31"/>
  <c r="BD41" i="31" s="1"/>
  <c r="AM42" i="31"/>
  <c r="BD42" i="31"/>
  <c r="AM43" i="31"/>
  <c r="BD43" i="31"/>
  <c r="AM44" i="31"/>
  <c r="BD44" i="31"/>
  <c r="AM45" i="31"/>
  <c r="AW45" i="31" s="1"/>
  <c r="BD45" i="31"/>
  <c r="AM46" i="31"/>
  <c r="BD46" i="31"/>
  <c r="AM48" i="31"/>
  <c r="BD48" i="31"/>
  <c r="BE48" i="31"/>
  <c r="AM49" i="31"/>
  <c r="BD49" i="31"/>
  <c r="AM50" i="31"/>
  <c r="BD50" i="31" s="1"/>
  <c r="BE50" i="31"/>
  <c r="BD51" i="31"/>
  <c r="AM52" i="31"/>
  <c r="BD52" i="31" s="1"/>
  <c r="AM53" i="31"/>
  <c r="BD53" i="31" s="1"/>
  <c r="BE53" i="31"/>
  <c r="AM54" i="31"/>
  <c r="BD54" i="31"/>
  <c r="AM55" i="31"/>
  <c r="AP55" i="31" s="1"/>
  <c r="BD55" i="31"/>
  <c r="AM56" i="31"/>
  <c r="BD56" i="31" s="1"/>
  <c r="AM57" i="31"/>
  <c r="BD57" i="31" s="1"/>
  <c r="AM58" i="31"/>
  <c r="AM59" i="31"/>
  <c r="AP59" i="31" s="1"/>
  <c r="BD59" i="31"/>
  <c r="AM60" i="31"/>
  <c r="BD60" i="31" s="1"/>
  <c r="AM61" i="31"/>
  <c r="BD61" i="31" s="1"/>
  <c r="AM62" i="31"/>
  <c r="AP62" i="31" s="1"/>
  <c r="BD62" i="31"/>
  <c r="AM63" i="31"/>
  <c r="BD63" i="31"/>
  <c r="AM64" i="31"/>
  <c r="BD64" i="31" s="1"/>
  <c r="AM65" i="31"/>
  <c r="AM66" i="31"/>
  <c r="BD66" i="31"/>
  <c r="AM67" i="31"/>
  <c r="BD67" i="31" s="1"/>
  <c r="AM68" i="31"/>
  <c r="BD68" i="31" s="1"/>
  <c r="AM69" i="31"/>
  <c r="BD69" i="31" s="1"/>
  <c r="AM70" i="31"/>
  <c r="BD70" i="31"/>
  <c r="AM71" i="31"/>
  <c r="AW71" i="31" s="1"/>
  <c r="AX71" i="31" s="1"/>
  <c r="BD71" i="31"/>
  <c r="AM72" i="31"/>
  <c r="BD72" i="31" s="1"/>
  <c r="AM73" i="31"/>
  <c r="BD73" i="31" s="1"/>
  <c r="AM74" i="31"/>
  <c r="BD74" i="31" s="1"/>
  <c r="AM75" i="31"/>
  <c r="AP75" i="31" s="1"/>
  <c r="BD75" i="31"/>
  <c r="AM76" i="31"/>
  <c r="BD76" i="31" s="1"/>
  <c r="BE76" i="31" s="1"/>
  <c r="AM77" i="31"/>
  <c r="BD77" i="31" s="1"/>
  <c r="BE77" i="31"/>
  <c r="AM78" i="31"/>
  <c r="AP78" i="31" s="1"/>
  <c r="BD78" i="31"/>
  <c r="AM79" i="31"/>
  <c r="BD79" i="31" s="1"/>
  <c r="AM80" i="31"/>
  <c r="BD80" i="31" s="1"/>
  <c r="AM81" i="31"/>
  <c r="BD81" i="31" s="1"/>
  <c r="AM82" i="31"/>
  <c r="AP82" i="31" s="1"/>
  <c r="BD82" i="31"/>
  <c r="AM83" i="31"/>
  <c r="AW83" i="31" s="1"/>
  <c r="AX83" i="31" s="1"/>
  <c r="AM84" i="31"/>
  <c r="BD84" i="31" s="1"/>
  <c r="AM85" i="31"/>
  <c r="BD85" i="31" s="1"/>
  <c r="AM86" i="31"/>
  <c r="BD86" i="31" s="1"/>
  <c r="AM87" i="31"/>
  <c r="BD87" i="31"/>
  <c r="AM88" i="31"/>
  <c r="BD88" i="31" s="1"/>
  <c r="AM89" i="31"/>
  <c r="BD89" i="31" s="1"/>
  <c r="AM90" i="31"/>
  <c r="AP90" i="31" s="1"/>
  <c r="AM91" i="31"/>
  <c r="BD91" i="31"/>
  <c r="AM92" i="31"/>
  <c r="BD92" i="31" s="1"/>
  <c r="AM93" i="31"/>
  <c r="BD93" i="31" s="1"/>
  <c r="AM94" i="31"/>
  <c r="BD94" i="31"/>
  <c r="AM95" i="31"/>
  <c r="BD95" i="31"/>
  <c r="AM96" i="31"/>
  <c r="BD96" i="31" s="1"/>
  <c r="AM97" i="31"/>
  <c r="BD97" i="31" s="1"/>
  <c r="AM98" i="31"/>
  <c r="BD98" i="31"/>
  <c r="AM101" i="31"/>
  <c r="AM102" i="31"/>
  <c r="BD102" i="31" s="1"/>
  <c r="AM103" i="31"/>
  <c r="BD103" i="31" s="1"/>
  <c r="BE103" i="31"/>
  <c r="AM104" i="31"/>
  <c r="BD104" i="31"/>
  <c r="AM105" i="31"/>
  <c r="BD105" i="31"/>
  <c r="AM106" i="31"/>
  <c r="BD106" i="31" s="1"/>
  <c r="BE106" i="31"/>
  <c r="AM107" i="31"/>
  <c r="BD107" i="31" s="1"/>
  <c r="AM108" i="31"/>
  <c r="BD108" i="31" s="1"/>
  <c r="AM109" i="31"/>
  <c r="BD109" i="31"/>
  <c r="AM110" i="31"/>
  <c r="BD110" i="31" s="1"/>
  <c r="AM111" i="31"/>
  <c r="BD111" i="31"/>
  <c r="AM112" i="31"/>
  <c r="BD112" i="31"/>
  <c r="AM113" i="31"/>
  <c r="AM114" i="31"/>
  <c r="BD114" i="31" s="1"/>
  <c r="AM115" i="31"/>
  <c r="BD115" i="31"/>
  <c r="AM116" i="31"/>
  <c r="AW116" i="31" s="1"/>
  <c r="AX116" i="31" s="1"/>
  <c r="AM117" i="31"/>
  <c r="BD117" i="31"/>
  <c r="AM118" i="31"/>
  <c r="BD118" i="31" s="1"/>
  <c r="AM119" i="31"/>
  <c r="BD119" i="31"/>
  <c r="AM121" i="31"/>
  <c r="AP121" i="31" s="1"/>
  <c r="BD121" i="31"/>
  <c r="BE121" i="31" s="1"/>
  <c r="AM122" i="31"/>
  <c r="AW122" i="31" s="1"/>
  <c r="AX122" i="31" s="1"/>
  <c r="AM123" i="31"/>
  <c r="BD123" i="31" s="1"/>
  <c r="BE123" i="31"/>
  <c r="AM124" i="31"/>
  <c r="BD124" i="31" s="1"/>
  <c r="AM125" i="31"/>
  <c r="BD125" i="31" s="1"/>
  <c r="AM126" i="31"/>
  <c r="AW126" i="31" s="1"/>
  <c r="BD126" i="31"/>
  <c r="AM127" i="31"/>
  <c r="BD127" i="31" s="1"/>
  <c r="BE127" i="31"/>
  <c r="AM128" i="31"/>
  <c r="AW128" i="31" s="1"/>
  <c r="AX128" i="31" s="1"/>
  <c r="BD128" i="31"/>
  <c r="S129" i="31"/>
  <c r="AM129" i="31"/>
  <c r="AM130" i="31"/>
  <c r="BD130" i="31"/>
  <c r="AM131" i="31"/>
  <c r="BD131" i="31"/>
  <c r="AM132" i="31"/>
  <c r="AP132" i="31" s="1"/>
  <c r="BD132" i="31"/>
  <c r="AM133" i="31"/>
  <c r="BD133" i="31" s="1"/>
  <c r="AM134" i="31"/>
  <c r="BD134" i="31" s="1"/>
  <c r="BE134" i="31" s="1"/>
  <c r="AM135" i="31"/>
  <c r="BD135" i="31"/>
  <c r="AM136" i="31"/>
  <c r="BD136" i="31"/>
  <c r="AM138" i="31"/>
  <c r="BD138" i="31"/>
  <c r="BE138" i="31" s="1"/>
  <c r="BE139" i="31"/>
  <c r="AM140" i="31"/>
  <c r="AP140" i="31" s="1"/>
  <c r="BD140" i="31"/>
  <c r="AM141" i="31"/>
  <c r="BD141" i="31"/>
  <c r="S142" i="31"/>
  <c r="AM142" i="31"/>
  <c r="BD142" i="31" s="1"/>
  <c r="AP14" i="31"/>
  <c r="AP15" i="31"/>
  <c r="AP16" i="31"/>
  <c r="AP17" i="31"/>
  <c r="AP18" i="31"/>
  <c r="AP19" i="31"/>
  <c r="AP20" i="31"/>
  <c r="AP22" i="31"/>
  <c r="AP23" i="31"/>
  <c r="AP24" i="31"/>
  <c r="AP25" i="31"/>
  <c r="AP27" i="31"/>
  <c r="AP28" i="31"/>
  <c r="AP29" i="31"/>
  <c r="AP30" i="31"/>
  <c r="AP31" i="31"/>
  <c r="AP32" i="31"/>
  <c r="AP34" i="31"/>
  <c r="AP35" i="31"/>
  <c r="AP36" i="31"/>
  <c r="AP37" i="31"/>
  <c r="AP39" i="31"/>
  <c r="AP40" i="31"/>
  <c r="AP41" i="31"/>
  <c r="AP42" i="31"/>
  <c r="AP43" i="31"/>
  <c r="AP44" i="31"/>
  <c r="AP46" i="31"/>
  <c r="AP48" i="31"/>
  <c r="AP49" i="31"/>
  <c r="AP50" i="31"/>
  <c r="AP52" i="31"/>
  <c r="AP53" i="31"/>
  <c r="AP54" i="31"/>
  <c r="AP56" i="31"/>
  <c r="AP57" i="31"/>
  <c r="AP60" i="31"/>
  <c r="AP61" i="31"/>
  <c r="AP63" i="31"/>
  <c r="AP66" i="31"/>
  <c r="AP67" i="31"/>
  <c r="AP68" i="31"/>
  <c r="AP70" i="31"/>
  <c r="AP72" i="31"/>
  <c r="AP74" i="31"/>
  <c r="AP76" i="31"/>
  <c r="AP77" i="31"/>
  <c r="AP79" i="31"/>
  <c r="AP80" i="31"/>
  <c r="AP81" i="31"/>
  <c r="AP84" i="31"/>
  <c r="AP86" i="31"/>
  <c r="AP87" i="31"/>
  <c r="AP88" i="31"/>
  <c r="AP89" i="31"/>
  <c r="AP91" i="31"/>
  <c r="AP92" i="31"/>
  <c r="AP93" i="31"/>
  <c r="AP94" i="31"/>
  <c r="AP95" i="31"/>
  <c r="AP96" i="31"/>
  <c r="AP97" i="31"/>
  <c r="AP98" i="31"/>
  <c r="AM99" i="31"/>
  <c r="AP99" i="31"/>
  <c r="AM100" i="31"/>
  <c r="AP100" i="31" s="1"/>
  <c r="AP102" i="31"/>
  <c r="AP103" i="31"/>
  <c r="AP104" i="31"/>
  <c r="AP106" i="31"/>
  <c r="AP108" i="31"/>
  <c r="AP109" i="31"/>
  <c r="AP110" i="31"/>
  <c r="AP111" i="31"/>
  <c r="AP112" i="31"/>
  <c r="AP114" i="31"/>
  <c r="AP115" i="31"/>
  <c r="AP117" i="31"/>
  <c r="AP118" i="31"/>
  <c r="AP119" i="31"/>
  <c r="AP123" i="31"/>
  <c r="AP124" i="31"/>
  <c r="AP125" i="31"/>
  <c r="AP127" i="31"/>
  <c r="AP129" i="31"/>
  <c r="AP130" i="31"/>
  <c r="AP131" i="31"/>
  <c r="AP134" i="31"/>
  <c r="AP135" i="31"/>
  <c r="AP136" i="31"/>
  <c r="AP138" i="31"/>
  <c r="AP139" i="31"/>
  <c r="AW14" i="31"/>
  <c r="AW15" i="31"/>
  <c r="AW16" i="31"/>
  <c r="AX16" i="31" s="1"/>
  <c r="AW17" i="31"/>
  <c r="AX17" i="31" s="1"/>
  <c r="AW18" i="31"/>
  <c r="AX18" i="31"/>
  <c r="AW19" i="31"/>
  <c r="AX19" i="31"/>
  <c r="AW20" i="31"/>
  <c r="AX20" i="31" s="1"/>
  <c r="AW21" i="31"/>
  <c r="AX21" i="31"/>
  <c r="AW22" i="31"/>
  <c r="AX22" i="31" s="1"/>
  <c r="AW23" i="31"/>
  <c r="AW24" i="31"/>
  <c r="AW25" i="31"/>
  <c r="AX25" i="31"/>
  <c r="AW26" i="31"/>
  <c r="AX26" i="31" s="1"/>
  <c r="AW27" i="31"/>
  <c r="AW28" i="31"/>
  <c r="AW30" i="31"/>
  <c r="AX30" i="31"/>
  <c r="AW31" i="31"/>
  <c r="AX31" i="31"/>
  <c r="AW32" i="31"/>
  <c r="AX32" i="31" s="1"/>
  <c r="AW33" i="31"/>
  <c r="AX33" i="31"/>
  <c r="AW34" i="31"/>
  <c r="AX34" i="31" s="1"/>
  <c r="AW35" i="31"/>
  <c r="AW36" i="31"/>
  <c r="AW37" i="31"/>
  <c r="AX37" i="31"/>
  <c r="AW38" i="31"/>
  <c r="AW39" i="31"/>
  <c r="AW40" i="31"/>
  <c r="AX40" i="31" s="1"/>
  <c r="AW41" i="31"/>
  <c r="AW42" i="31"/>
  <c r="AX42" i="31"/>
  <c r="AW43" i="31"/>
  <c r="AW44" i="31"/>
  <c r="AX44" i="31" s="1"/>
  <c r="AW46" i="31"/>
  <c r="AW47" i="31"/>
  <c r="AX47" i="31" s="1"/>
  <c r="AW48" i="31"/>
  <c r="AX48" i="31"/>
  <c r="AW49" i="31"/>
  <c r="AX49" i="31"/>
  <c r="AW50" i="31"/>
  <c r="AX50" i="31" s="1"/>
  <c r="AW51" i="31"/>
  <c r="AX51" i="31"/>
  <c r="AW52" i="31"/>
  <c r="AX52" i="31" s="1"/>
  <c r="AW53" i="31"/>
  <c r="AX53" i="31" s="1"/>
  <c r="AW54" i="31"/>
  <c r="AX54" i="31"/>
  <c r="AW55" i="31"/>
  <c r="AX55" i="31"/>
  <c r="AW56" i="31"/>
  <c r="AX56" i="31" s="1"/>
  <c r="AW57" i="31"/>
  <c r="AW59" i="31"/>
  <c r="AX59" i="31" s="1"/>
  <c r="AW60" i="31"/>
  <c r="AX60" i="31"/>
  <c r="AW61" i="31"/>
  <c r="AX61" i="31"/>
  <c r="AW62" i="31"/>
  <c r="AW63" i="31"/>
  <c r="AX63" i="31"/>
  <c r="AW64" i="31"/>
  <c r="AW66" i="31"/>
  <c r="AW67" i="31"/>
  <c r="AX67" i="31"/>
  <c r="AW68" i="31"/>
  <c r="AX68" i="31" s="1"/>
  <c r="AW70" i="31"/>
  <c r="AW72" i="31"/>
  <c r="AX72" i="31"/>
  <c r="AW73" i="31"/>
  <c r="AW74" i="31"/>
  <c r="AX74" i="31" s="1"/>
  <c r="AW76" i="31"/>
  <c r="AX76" i="31" s="1"/>
  <c r="AW77" i="31"/>
  <c r="AX77" i="31"/>
  <c r="AW79" i="31"/>
  <c r="AX79" i="31"/>
  <c r="AW80" i="31"/>
  <c r="AX80" i="31" s="1"/>
  <c r="AW81" i="31"/>
  <c r="AW82" i="31"/>
  <c r="AW84" i="31"/>
  <c r="AX84" i="31"/>
  <c r="AW86" i="31"/>
  <c r="AX86" i="31" s="1"/>
  <c r="AW87" i="31"/>
  <c r="AW88" i="31"/>
  <c r="AW91" i="31"/>
  <c r="AW92" i="31"/>
  <c r="AX92" i="31" s="1"/>
  <c r="AW93" i="31"/>
  <c r="AW94" i="31"/>
  <c r="AX94" i="31" s="1"/>
  <c r="AW95" i="31"/>
  <c r="AX95" i="31"/>
  <c r="AW96" i="31"/>
  <c r="AW97" i="31"/>
  <c r="AW98" i="31"/>
  <c r="AX98" i="31" s="1"/>
  <c r="AW102" i="31"/>
  <c r="AX102" i="31" s="1"/>
  <c r="AW103" i="31"/>
  <c r="AX103" i="31"/>
  <c r="AW104" i="31"/>
  <c r="AX104" i="31"/>
  <c r="AW105" i="31"/>
  <c r="AW106" i="31"/>
  <c r="AX106" i="31" s="1"/>
  <c r="AW108" i="31"/>
  <c r="AW109" i="31"/>
  <c r="AX109" i="31"/>
  <c r="AW110" i="31"/>
  <c r="AX110" i="31"/>
  <c r="AW111" i="31"/>
  <c r="AW112" i="31"/>
  <c r="AX112" i="31" s="1"/>
  <c r="AW114" i="31"/>
  <c r="AX114" i="31" s="1"/>
  <c r="AW115" i="31"/>
  <c r="AX115" i="31"/>
  <c r="AW117" i="31"/>
  <c r="AW118" i="31"/>
  <c r="AX118" i="31" s="1"/>
  <c r="AW119" i="31"/>
  <c r="AW121" i="31"/>
  <c r="AX121" i="31" s="1"/>
  <c r="AW124" i="31"/>
  <c r="AW125" i="31"/>
  <c r="AX125" i="31" s="1"/>
  <c r="AW127" i="31"/>
  <c r="AX127" i="31" s="1"/>
  <c r="AW129" i="31"/>
  <c r="AX129" i="31"/>
  <c r="AW130" i="31"/>
  <c r="AW131" i="31"/>
  <c r="AW133" i="31"/>
  <c r="AW134" i="31"/>
  <c r="AX134" i="31"/>
  <c r="AW135" i="31"/>
  <c r="AX135" i="31"/>
  <c r="AW136" i="31"/>
  <c r="AW137" i="31"/>
  <c r="AW138" i="31"/>
  <c r="AX139" i="31"/>
  <c r="AW140" i="31"/>
  <c r="AX140" i="31" s="1"/>
  <c r="AW141" i="31"/>
  <c r="AW142" i="31"/>
  <c r="AS99" i="31"/>
  <c r="CM156" i="31"/>
  <c r="CN156" i="31"/>
  <c r="CM155" i="31"/>
  <c r="CN155" i="31"/>
  <c r="AG155" i="31"/>
  <c r="CM154" i="31"/>
  <c r="CN154" i="31" s="1"/>
  <c r="AO61" i="31"/>
  <c r="AO136" i="31"/>
  <c r="AN154" i="31"/>
  <c r="AK154" i="31"/>
  <c r="AJ154" i="31"/>
  <c r="AF154" i="31"/>
  <c r="AE154" i="31"/>
  <c r="AD154" i="31"/>
  <c r="AC154" i="31"/>
  <c r="AB154" i="31"/>
  <c r="AA154" i="31"/>
  <c r="Z154" i="31"/>
  <c r="Y154" i="31"/>
  <c r="X154" i="31"/>
  <c r="W154" i="31"/>
  <c r="V154" i="31"/>
  <c r="U154" i="31"/>
  <c r="T154" i="31"/>
  <c r="DD153" i="31"/>
  <c r="CM153" i="31"/>
  <c r="CN153" i="31" s="1"/>
  <c r="BS14" i="31"/>
  <c r="BS15" i="31"/>
  <c r="BS16" i="31"/>
  <c r="BS18" i="31"/>
  <c r="BS19" i="31"/>
  <c r="BS20" i="31"/>
  <c r="BS21" i="31"/>
  <c r="BS22" i="31"/>
  <c r="BS23" i="31"/>
  <c r="BS24" i="31"/>
  <c r="BS25" i="31"/>
  <c r="BS26" i="31"/>
  <c r="BS27" i="31"/>
  <c r="BS28" i="31"/>
  <c r="BS29" i="31"/>
  <c r="BS30" i="31"/>
  <c r="BS31" i="31"/>
  <c r="BS32" i="31"/>
  <c r="BS33" i="31"/>
  <c r="BS34" i="31"/>
  <c r="BS35" i="31"/>
  <c r="BS36" i="31"/>
  <c r="BS37" i="31"/>
  <c r="BS38" i="31"/>
  <c r="BS39" i="31"/>
  <c r="BS40" i="31"/>
  <c r="BS42" i="31"/>
  <c r="BS43" i="31"/>
  <c r="BS44" i="31"/>
  <c r="BS45" i="31"/>
  <c r="BS46" i="31"/>
  <c r="BS47" i="31"/>
  <c r="BS48" i="31"/>
  <c r="BS49" i="31"/>
  <c r="BS50" i="31"/>
  <c r="BS51" i="31"/>
  <c r="BS52" i="31"/>
  <c r="BS53" i="31"/>
  <c r="BS54" i="31"/>
  <c r="BS55" i="31"/>
  <c r="BS56" i="31"/>
  <c r="BS57" i="31"/>
  <c r="BS58" i="31"/>
  <c r="BS60" i="31"/>
  <c r="BS61" i="31"/>
  <c r="BS62" i="31"/>
  <c r="BS63" i="31"/>
  <c r="BS64" i="31"/>
  <c r="BS65" i="31"/>
  <c r="BS66" i="31"/>
  <c r="BS67" i="31"/>
  <c r="BS68" i="31"/>
  <c r="BS69" i="31"/>
  <c r="BS70" i="31"/>
  <c r="BS71" i="31"/>
  <c r="BS72" i="31"/>
  <c r="BS73" i="31"/>
  <c r="BS74" i="31"/>
  <c r="BS75" i="31"/>
  <c r="BS76" i="31"/>
  <c r="BS77" i="31"/>
  <c r="BS78" i="31"/>
  <c r="BS79" i="31"/>
  <c r="BS80" i="31"/>
  <c r="BS81" i="31"/>
  <c r="BS82" i="31"/>
  <c r="BS83" i="31"/>
  <c r="BS84" i="31"/>
  <c r="BS85" i="31"/>
  <c r="BS86" i="31"/>
  <c r="BS87" i="31"/>
  <c r="BS88" i="31"/>
  <c r="BS89" i="31"/>
  <c r="BS90" i="31"/>
  <c r="BS91" i="31"/>
  <c r="BS92" i="31"/>
  <c r="BS93" i="31"/>
  <c r="BS94" i="31"/>
  <c r="BS95" i="31"/>
  <c r="BS96" i="31"/>
  <c r="BS97" i="31"/>
  <c r="BS98" i="31"/>
  <c r="BS99" i="31"/>
  <c r="BS101" i="31"/>
  <c r="BS102" i="31"/>
  <c r="BS103" i="31"/>
  <c r="BS104" i="31"/>
  <c r="BS105" i="31"/>
  <c r="BS106" i="31"/>
  <c r="BS107" i="31"/>
  <c r="BS108" i="31"/>
  <c r="BS109" i="31"/>
  <c r="BS110" i="31"/>
  <c r="BS111" i="31"/>
  <c r="BS112" i="31"/>
  <c r="BS113" i="31"/>
  <c r="BS115" i="31"/>
  <c r="BS116" i="31"/>
  <c r="BS117" i="31"/>
  <c r="BS118" i="31"/>
  <c r="BS119" i="31"/>
  <c r="BS121" i="31"/>
  <c r="BS122" i="31"/>
  <c r="BS123" i="31"/>
  <c r="BS124" i="31"/>
  <c r="BS125" i="31"/>
  <c r="BS126" i="31"/>
  <c r="BS127" i="31"/>
  <c r="BS128" i="31"/>
  <c r="BS129" i="31"/>
  <c r="BS130" i="31"/>
  <c r="BS131" i="31"/>
  <c r="BS132" i="31"/>
  <c r="BS133" i="31"/>
  <c r="BS134" i="31"/>
  <c r="BS135" i="31"/>
  <c r="BS136" i="31"/>
  <c r="BS137" i="31"/>
  <c r="BS138" i="31"/>
  <c r="BS139" i="31"/>
  <c r="BS140" i="31"/>
  <c r="BS141" i="31"/>
  <c r="BS142" i="31"/>
  <c r="BT14" i="31"/>
  <c r="BT15" i="31"/>
  <c r="BT16" i="31"/>
  <c r="BT17" i="31"/>
  <c r="BT18" i="31"/>
  <c r="BT19" i="31"/>
  <c r="BT20" i="31"/>
  <c r="BT148" i="31" s="1"/>
  <c r="BT21" i="31"/>
  <c r="BT22" i="31"/>
  <c r="BT23" i="31"/>
  <c r="BT24" i="31"/>
  <c r="BT25" i="31"/>
  <c r="BT26" i="31"/>
  <c r="BT27" i="31"/>
  <c r="BT28" i="31"/>
  <c r="BT29" i="31"/>
  <c r="BT30" i="31"/>
  <c r="BT31" i="31"/>
  <c r="BT32" i="31"/>
  <c r="BT33" i="31"/>
  <c r="BT34" i="31"/>
  <c r="BT35" i="31"/>
  <c r="BT36" i="31"/>
  <c r="BT37" i="31"/>
  <c r="BT38" i="31"/>
  <c r="BT39" i="31"/>
  <c r="BT40" i="31"/>
  <c r="BT41" i="31"/>
  <c r="BT42" i="31"/>
  <c r="BT43" i="31"/>
  <c r="BT44" i="31"/>
  <c r="BT45" i="31"/>
  <c r="BT46" i="31"/>
  <c r="BT47" i="31"/>
  <c r="BT48" i="31"/>
  <c r="BT49" i="31"/>
  <c r="BT50" i="31"/>
  <c r="BT51" i="31"/>
  <c r="BT52" i="31"/>
  <c r="BT53" i="31"/>
  <c r="BT54" i="31"/>
  <c r="BT55" i="31"/>
  <c r="BT56" i="31"/>
  <c r="BT57" i="31"/>
  <c r="BT58" i="31"/>
  <c r="BT60" i="31"/>
  <c r="BT61" i="31"/>
  <c r="BT62" i="31"/>
  <c r="BT63" i="31"/>
  <c r="BT64" i="31"/>
  <c r="BT65" i="31"/>
  <c r="BT66" i="31"/>
  <c r="BT67" i="31"/>
  <c r="BT68" i="31"/>
  <c r="BT69" i="31"/>
  <c r="BT70" i="31"/>
  <c r="BT71" i="31"/>
  <c r="BT72" i="31"/>
  <c r="BT73" i="31"/>
  <c r="BT74" i="31"/>
  <c r="BT75" i="31"/>
  <c r="BT76" i="31"/>
  <c r="BT77" i="31"/>
  <c r="BT78" i="31"/>
  <c r="BT79" i="31"/>
  <c r="BT80" i="31"/>
  <c r="BT81" i="31"/>
  <c r="BT82" i="31"/>
  <c r="BT83" i="31"/>
  <c r="BT84" i="31"/>
  <c r="BT85" i="31"/>
  <c r="BT86" i="31"/>
  <c r="BT87" i="31"/>
  <c r="BT88" i="31"/>
  <c r="BT89" i="31"/>
  <c r="BT90" i="31"/>
  <c r="BT91" i="31"/>
  <c r="BT92" i="31"/>
  <c r="BT93" i="31"/>
  <c r="BT94" i="31"/>
  <c r="BT95" i="31"/>
  <c r="BT96" i="31"/>
  <c r="BT97" i="31"/>
  <c r="BT98" i="31"/>
  <c r="BT101" i="31"/>
  <c r="BT102" i="31"/>
  <c r="BT103" i="31"/>
  <c r="BT104" i="31"/>
  <c r="BT105" i="31"/>
  <c r="BT106" i="31"/>
  <c r="BT107" i="31"/>
  <c r="BT108" i="31"/>
  <c r="BT109" i="31"/>
  <c r="BT110" i="31"/>
  <c r="BT111" i="31"/>
  <c r="BT112" i="31"/>
  <c r="BT113" i="31"/>
  <c r="BT114" i="31"/>
  <c r="BT115" i="31"/>
  <c r="BT116" i="31"/>
  <c r="BT117" i="31"/>
  <c r="BT118" i="31"/>
  <c r="BT119" i="31"/>
  <c r="BT121" i="31"/>
  <c r="BT122" i="31"/>
  <c r="BT123" i="31"/>
  <c r="BT124" i="31"/>
  <c r="BT125" i="31"/>
  <c r="BT126" i="31"/>
  <c r="BT127" i="31"/>
  <c r="BT128" i="31"/>
  <c r="BT129" i="31"/>
  <c r="BT130" i="31"/>
  <c r="BT131" i="31"/>
  <c r="BT132" i="31"/>
  <c r="BT133" i="31"/>
  <c r="BT134" i="31"/>
  <c r="BT135" i="31"/>
  <c r="BT136" i="31"/>
  <c r="BT137" i="31"/>
  <c r="BT138" i="31"/>
  <c r="BT139" i="31"/>
  <c r="BT140" i="31"/>
  <c r="BT141" i="31"/>
  <c r="BT142" i="31"/>
  <c r="BV14" i="31"/>
  <c r="BV16" i="31"/>
  <c r="BV18" i="31"/>
  <c r="BV19" i="31"/>
  <c r="BV20" i="31"/>
  <c r="BV21" i="31"/>
  <c r="BV22" i="31"/>
  <c r="BV23" i="31"/>
  <c r="BV24" i="31"/>
  <c r="BV26" i="31"/>
  <c r="BV27" i="31"/>
  <c r="BV28" i="31"/>
  <c r="BV29" i="31"/>
  <c r="BV30" i="31"/>
  <c r="BV31" i="31"/>
  <c r="BV32" i="31"/>
  <c r="BV35" i="31"/>
  <c r="BV36" i="31"/>
  <c r="BV38" i="31"/>
  <c r="BV39" i="31"/>
  <c r="BV40" i="31"/>
  <c r="BV43" i="31"/>
  <c r="BV44" i="31"/>
  <c r="BV45" i="31"/>
  <c r="BV46" i="31"/>
  <c r="BV47" i="31"/>
  <c r="BV48" i="31"/>
  <c r="BV49" i="31"/>
  <c r="BV50" i="31"/>
  <c r="BV51" i="31"/>
  <c r="BV53" i="31"/>
  <c r="BV54" i="31"/>
  <c r="BV55" i="31"/>
  <c r="BV57" i="31"/>
  <c r="BV60" i="31"/>
  <c r="BV61" i="31"/>
  <c r="BV62" i="31"/>
  <c r="BV63" i="31"/>
  <c r="BV64" i="31"/>
  <c r="BV65" i="31"/>
  <c r="BV67" i="31"/>
  <c r="BV70" i="31"/>
  <c r="BV71" i="31"/>
  <c r="BV72" i="31"/>
  <c r="BV73" i="31"/>
  <c r="BV74" i="31"/>
  <c r="BV75" i="31"/>
  <c r="BV76" i="31"/>
  <c r="BV77" i="31"/>
  <c r="BV78" i="31"/>
  <c r="BV79" i="31"/>
  <c r="BV80" i="31"/>
  <c r="BV81" i="31"/>
  <c r="BV82" i="31"/>
  <c r="BV83" i="31"/>
  <c r="BV85" i="31"/>
  <c r="BV86" i="31"/>
  <c r="BV88" i="31"/>
  <c r="BV89" i="31"/>
  <c r="BV91" i="31"/>
  <c r="BV92" i="31"/>
  <c r="BX92" i="31" s="1"/>
  <c r="BY92" i="31" s="1"/>
  <c r="BV93" i="31"/>
  <c r="BV94" i="31"/>
  <c r="BV95" i="31"/>
  <c r="BV97" i="31"/>
  <c r="BV98" i="31"/>
  <c r="BV101" i="31"/>
  <c r="BV102" i="31"/>
  <c r="BV103" i="31"/>
  <c r="BV104" i="31"/>
  <c r="BV105" i="31"/>
  <c r="BV106" i="31"/>
  <c r="BV107" i="31"/>
  <c r="BV109" i="31"/>
  <c r="BV111" i="31"/>
  <c r="BV112" i="31"/>
  <c r="BV113" i="31"/>
  <c r="BV116" i="31"/>
  <c r="BV117" i="31"/>
  <c r="BV118" i="31"/>
  <c r="BV119" i="31"/>
  <c r="BV121" i="31"/>
  <c r="BV123" i="31"/>
  <c r="BV124" i="31"/>
  <c r="BV125" i="31"/>
  <c r="BV126" i="31"/>
  <c r="BV127" i="31"/>
  <c r="BV128" i="31"/>
  <c r="BV130" i="31"/>
  <c r="BV131" i="31"/>
  <c r="BV132" i="31"/>
  <c r="BV133" i="31"/>
  <c r="BV134" i="31"/>
  <c r="BV135" i="31"/>
  <c r="BV137" i="31"/>
  <c r="BV138" i="31"/>
  <c r="BV139" i="31"/>
  <c r="BV140" i="31"/>
  <c r="BV142" i="31"/>
  <c r="BL14" i="31"/>
  <c r="BL15" i="31"/>
  <c r="BL16" i="31"/>
  <c r="BL17" i="31"/>
  <c r="BL18" i="31"/>
  <c r="BL19" i="31"/>
  <c r="BL20" i="31"/>
  <c r="BL21" i="31"/>
  <c r="BL148" i="31" s="1"/>
  <c r="BL22" i="31"/>
  <c r="BL23" i="31"/>
  <c r="BL24" i="31"/>
  <c r="BL25" i="31"/>
  <c r="BL26" i="31"/>
  <c r="BL27" i="31"/>
  <c r="BL28" i="31"/>
  <c r="BL29" i="31"/>
  <c r="BL30" i="31"/>
  <c r="BL31" i="31"/>
  <c r="BL32" i="31"/>
  <c r="BL33" i="31"/>
  <c r="BL34" i="31"/>
  <c r="BL35" i="31"/>
  <c r="BL36" i="31"/>
  <c r="BL37" i="31"/>
  <c r="BL38" i="31"/>
  <c r="BL39" i="31"/>
  <c r="BL40" i="31"/>
  <c r="BL41" i="31"/>
  <c r="BL42" i="31"/>
  <c r="BL43" i="31"/>
  <c r="BL44" i="31"/>
  <c r="BL45" i="31"/>
  <c r="BL46" i="31"/>
  <c r="BL47" i="31"/>
  <c r="BL48" i="31"/>
  <c r="BL49" i="31"/>
  <c r="BL50" i="31"/>
  <c r="BL51" i="31"/>
  <c r="BL52" i="31"/>
  <c r="BL53" i="31"/>
  <c r="BL54" i="31"/>
  <c r="BL55" i="31"/>
  <c r="BL56" i="31"/>
  <c r="BL57" i="31"/>
  <c r="BL58" i="31"/>
  <c r="BL60" i="31"/>
  <c r="BL61" i="31"/>
  <c r="BL62" i="31"/>
  <c r="BL63" i="31"/>
  <c r="BL64" i="31"/>
  <c r="BL65" i="31"/>
  <c r="BL66" i="31"/>
  <c r="BL67" i="31"/>
  <c r="BL68" i="31"/>
  <c r="BL69" i="31"/>
  <c r="BL70" i="31"/>
  <c r="BL71" i="31"/>
  <c r="BL72" i="31"/>
  <c r="BL73" i="31"/>
  <c r="BL74" i="31"/>
  <c r="BL75" i="31"/>
  <c r="BL76" i="31"/>
  <c r="BL77" i="31"/>
  <c r="BL78" i="31"/>
  <c r="BL79" i="31"/>
  <c r="BL80" i="31"/>
  <c r="BL81" i="31"/>
  <c r="BL82" i="31"/>
  <c r="BL83" i="31"/>
  <c r="BL84" i="31"/>
  <c r="BL85" i="31"/>
  <c r="BL86" i="31"/>
  <c r="BL87" i="31"/>
  <c r="BL88" i="31"/>
  <c r="BL89" i="31"/>
  <c r="BL90" i="31"/>
  <c r="BL91" i="31"/>
  <c r="BL92" i="31"/>
  <c r="BL93" i="31"/>
  <c r="BL94" i="31"/>
  <c r="BL95" i="31"/>
  <c r="BL96" i="31"/>
  <c r="BL97" i="31"/>
  <c r="BL98" i="31"/>
  <c r="BL99" i="31"/>
  <c r="BL101" i="31"/>
  <c r="BL102" i="31"/>
  <c r="BL103" i="31"/>
  <c r="BL104" i="31"/>
  <c r="BL105" i="31"/>
  <c r="BL106" i="31"/>
  <c r="BL107" i="31"/>
  <c r="BL108" i="31"/>
  <c r="BL109" i="31"/>
  <c r="BL110" i="31"/>
  <c r="BL111" i="31"/>
  <c r="BL112" i="31"/>
  <c r="BL113" i="31"/>
  <c r="BL114" i="31"/>
  <c r="BL115" i="31"/>
  <c r="BL116" i="31"/>
  <c r="BL117" i="31"/>
  <c r="BL118" i="31"/>
  <c r="BL119" i="31"/>
  <c r="BL121" i="31"/>
  <c r="BL122" i="31"/>
  <c r="BL123" i="31"/>
  <c r="BL124" i="31"/>
  <c r="BL125" i="31"/>
  <c r="BL126" i="31"/>
  <c r="BL127" i="31"/>
  <c r="BL128" i="31"/>
  <c r="BL129" i="31"/>
  <c r="BL130" i="31"/>
  <c r="BL131" i="31"/>
  <c r="BL132" i="31"/>
  <c r="BL133" i="31"/>
  <c r="BL134" i="31"/>
  <c r="BL135" i="31"/>
  <c r="BL136" i="31"/>
  <c r="BL137" i="31"/>
  <c r="BL138" i="31"/>
  <c r="BL139" i="31"/>
  <c r="BL140" i="31"/>
  <c r="BL141" i="31"/>
  <c r="BL142" i="31"/>
  <c r="BM14" i="31"/>
  <c r="BM148" i="31" s="1"/>
  <c r="BM15" i="31"/>
  <c r="BM16" i="31"/>
  <c r="BM17" i="31"/>
  <c r="BM18" i="31"/>
  <c r="BZ18" i="31" s="1"/>
  <c r="BM19" i="31"/>
  <c r="BM20" i="31"/>
  <c r="BM21" i="31"/>
  <c r="BM22" i="31"/>
  <c r="BM23" i="31"/>
  <c r="BM24" i="31"/>
  <c r="BM25" i="31"/>
  <c r="BM26" i="31"/>
  <c r="BM27" i="31"/>
  <c r="BM28" i="31"/>
  <c r="BM29" i="31"/>
  <c r="BM30" i="31"/>
  <c r="BZ30" i="31" s="1"/>
  <c r="BM31" i="31"/>
  <c r="BM32" i="31"/>
  <c r="BM33" i="31"/>
  <c r="BM34" i="31"/>
  <c r="BM35" i="31"/>
  <c r="BM36" i="31"/>
  <c r="BM37" i="31"/>
  <c r="BM38" i="31"/>
  <c r="BM39" i="31"/>
  <c r="BM40" i="31"/>
  <c r="BM41" i="31"/>
  <c r="BM42" i="31"/>
  <c r="BZ42" i="31" s="1"/>
  <c r="BM43" i="31"/>
  <c r="BM44" i="31"/>
  <c r="BM45" i="31"/>
  <c r="BM46" i="31"/>
  <c r="BM47" i="31"/>
  <c r="BM48" i="31"/>
  <c r="BM49" i="31"/>
  <c r="BM50" i="31"/>
  <c r="BM51" i="31"/>
  <c r="BM52" i="31"/>
  <c r="BM53" i="31"/>
  <c r="BM54" i="31"/>
  <c r="BZ54" i="31" s="1"/>
  <c r="BM55" i="31"/>
  <c r="BM56" i="31"/>
  <c r="BM57" i="31"/>
  <c r="BM58" i="31"/>
  <c r="BM60" i="31"/>
  <c r="BM61" i="31"/>
  <c r="BM62" i="31"/>
  <c r="BM63" i="31"/>
  <c r="BM64" i="31"/>
  <c r="BM65" i="31"/>
  <c r="BM66" i="31"/>
  <c r="BM67" i="31"/>
  <c r="BZ67" i="31" s="1"/>
  <c r="BM68" i="31"/>
  <c r="BM69" i="31"/>
  <c r="BM70" i="31"/>
  <c r="BM71" i="31"/>
  <c r="BM72" i="31"/>
  <c r="BM73" i="31"/>
  <c r="BM74" i="31"/>
  <c r="BM75" i="31"/>
  <c r="BM76" i="31"/>
  <c r="BM77" i="31"/>
  <c r="BM78" i="31"/>
  <c r="BM79" i="31"/>
  <c r="BZ79" i="31" s="1"/>
  <c r="BM80" i="31"/>
  <c r="BM81" i="31"/>
  <c r="BM82" i="31"/>
  <c r="BM83" i="31"/>
  <c r="BM84" i="31"/>
  <c r="BM85" i="31"/>
  <c r="BM86" i="31"/>
  <c r="BM87" i="31"/>
  <c r="BM88" i="31"/>
  <c r="BM89" i="31"/>
  <c r="BM90" i="31"/>
  <c r="BM91" i="31"/>
  <c r="BZ91" i="31" s="1"/>
  <c r="BM92" i="31"/>
  <c r="BM93" i="31"/>
  <c r="BM94" i="31"/>
  <c r="BM95" i="31"/>
  <c r="BM96" i="31"/>
  <c r="BM97" i="31"/>
  <c r="BM98" i="31"/>
  <c r="BM101" i="31"/>
  <c r="BM102" i="31"/>
  <c r="BM103" i="31"/>
  <c r="BM104" i="31"/>
  <c r="BM105" i="31"/>
  <c r="BZ105" i="31" s="1"/>
  <c r="BM106" i="31"/>
  <c r="BM107" i="31"/>
  <c r="BM108" i="31"/>
  <c r="BM109" i="31"/>
  <c r="BM110" i="31"/>
  <c r="BM111" i="31"/>
  <c r="BM112" i="31"/>
  <c r="BM113" i="31"/>
  <c r="BM114" i="31"/>
  <c r="BM115" i="31"/>
  <c r="BM116" i="31"/>
  <c r="BM117" i="31"/>
  <c r="BZ117" i="31" s="1"/>
  <c r="BM118" i="31"/>
  <c r="BM119" i="31"/>
  <c r="BM121" i="31"/>
  <c r="BM122" i="31"/>
  <c r="BM123" i="31"/>
  <c r="BM124" i="31"/>
  <c r="BM125" i="31"/>
  <c r="BM126" i="31"/>
  <c r="BM127" i="31"/>
  <c r="BM128" i="31"/>
  <c r="BM129" i="31"/>
  <c r="BM130" i="31"/>
  <c r="BZ130" i="31" s="1"/>
  <c r="BM131" i="31"/>
  <c r="BM132" i="31"/>
  <c r="BM133" i="31"/>
  <c r="BM134" i="31"/>
  <c r="BM135" i="31"/>
  <c r="BM136" i="31"/>
  <c r="BM137" i="31"/>
  <c r="BM138" i="31"/>
  <c r="BM139" i="31"/>
  <c r="BM140" i="31"/>
  <c r="BM141" i="31"/>
  <c r="BM142" i="31"/>
  <c r="BZ142" i="31" s="1"/>
  <c r="BO14" i="31"/>
  <c r="BO15" i="31"/>
  <c r="BO16" i="31"/>
  <c r="BO17" i="31"/>
  <c r="BO18" i="31"/>
  <c r="BO19" i="31"/>
  <c r="BO148" i="31" s="1"/>
  <c r="BO20" i="31"/>
  <c r="BO21" i="31"/>
  <c r="BO22" i="31"/>
  <c r="BO23" i="31"/>
  <c r="BO24" i="31"/>
  <c r="BO25" i="31"/>
  <c r="BO26" i="31"/>
  <c r="BO27" i="31"/>
  <c r="BO28" i="31"/>
  <c r="BO29" i="31"/>
  <c r="BO30" i="31"/>
  <c r="BO31" i="31"/>
  <c r="BO32" i="31"/>
  <c r="BO33" i="31"/>
  <c r="BO34" i="31"/>
  <c r="BO35" i="31"/>
  <c r="BO36" i="31"/>
  <c r="BO37" i="31"/>
  <c r="BO38" i="31"/>
  <c r="BO39" i="31"/>
  <c r="BO40" i="31"/>
  <c r="BO41" i="31"/>
  <c r="BO42" i="31"/>
  <c r="BO43" i="31"/>
  <c r="BO44" i="31"/>
  <c r="BO45" i="31"/>
  <c r="BO46" i="31"/>
  <c r="BO47" i="31"/>
  <c r="BO48" i="31"/>
  <c r="BO49" i="31"/>
  <c r="BO50" i="31"/>
  <c r="BO51" i="31"/>
  <c r="BO52" i="31"/>
  <c r="BO53" i="31"/>
  <c r="BO54" i="31"/>
  <c r="BO55" i="31"/>
  <c r="BO56" i="31"/>
  <c r="BO57" i="31"/>
  <c r="BO58" i="31"/>
  <c r="BO60" i="31"/>
  <c r="BO61" i="31"/>
  <c r="BO62" i="31"/>
  <c r="BO63" i="31"/>
  <c r="BO64" i="31"/>
  <c r="BO65" i="31"/>
  <c r="BO66" i="31"/>
  <c r="BO67" i="31"/>
  <c r="BO68" i="31"/>
  <c r="BO69" i="31"/>
  <c r="BO70" i="31"/>
  <c r="BO71" i="31"/>
  <c r="BO72" i="31"/>
  <c r="BO73" i="31"/>
  <c r="BO74" i="31"/>
  <c r="BO75" i="31"/>
  <c r="BO76" i="31"/>
  <c r="BO77" i="31"/>
  <c r="BO78" i="31"/>
  <c r="BO79" i="31"/>
  <c r="BO80" i="31"/>
  <c r="BO81" i="31"/>
  <c r="BO82" i="31"/>
  <c r="BO83" i="31"/>
  <c r="BO84" i="31"/>
  <c r="BO85" i="31"/>
  <c r="BO86" i="31"/>
  <c r="BO87" i="31"/>
  <c r="BO88" i="31"/>
  <c r="BO89" i="31"/>
  <c r="BO90" i="31"/>
  <c r="BO91" i="31"/>
  <c r="BO92" i="31"/>
  <c r="BO93" i="31"/>
  <c r="BO94" i="31"/>
  <c r="BO95" i="31"/>
  <c r="BO96" i="31"/>
  <c r="BO97" i="31"/>
  <c r="BO98" i="31"/>
  <c r="BO101" i="31"/>
  <c r="BO102" i="31"/>
  <c r="BO103" i="31"/>
  <c r="BO104" i="31"/>
  <c r="BO105" i="31"/>
  <c r="BO106" i="31"/>
  <c r="BO107" i="31"/>
  <c r="BO108" i="31"/>
  <c r="BO109" i="31"/>
  <c r="BO110" i="31"/>
  <c r="BO111" i="31"/>
  <c r="BO112" i="31"/>
  <c r="BO113" i="31"/>
  <c r="BO114" i="31"/>
  <c r="BO115" i="31"/>
  <c r="BO116" i="31"/>
  <c r="BO117" i="31"/>
  <c r="BO118" i="31"/>
  <c r="BO119" i="31"/>
  <c r="BO121" i="31"/>
  <c r="BO123" i="31"/>
  <c r="BO124" i="31"/>
  <c r="BO125" i="31"/>
  <c r="BO126" i="31"/>
  <c r="BO127" i="31"/>
  <c r="BO128" i="31"/>
  <c r="BO129" i="31"/>
  <c r="BO130" i="31"/>
  <c r="BO131" i="31"/>
  <c r="BO132" i="31"/>
  <c r="BO133" i="31"/>
  <c r="BO134" i="31"/>
  <c r="BO135" i="31"/>
  <c r="BO136" i="31"/>
  <c r="BO137" i="31"/>
  <c r="BO138" i="31"/>
  <c r="BO139" i="31"/>
  <c r="BO140" i="31"/>
  <c r="BO141" i="31"/>
  <c r="BO142" i="31"/>
  <c r="DD152" i="31"/>
  <c r="CM152" i="31"/>
  <c r="CN152" i="31" s="1"/>
  <c r="DD151" i="31"/>
  <c r="DB14" i="31"/>
  <c r="DB15" i="31"/>
  <c r="DB16" i="31"/>
  <c r="DB17" i="31"/>
  <c r="DB18" i="31"/>
  <c r="DB19" i="31"/>
  <c r="DB20" i="31"/>
  <c r="DB21" i="31"/>
  <c r="DB22" i="31"/>
  <c r="DB23" i="31"/>
  <c r="DB24" i="31"/>
  <c r="DB25" i="31"/>
  <c r="DB26" i="31"/>
  <c r="DB27" i="31"/>
  <c r="DB28" i="31"/>
  <c r="DB29" i="31"/>
  <c r="DB30" i="31"/>
  <c r="DB31" i="31"/>
  <c r="DB32" i="31"/>
  <c r="DB33" i="31"/>
  <c r="DB34" i="31"/>
  <c r="DB35" i="31"/>
  <c r="DB36" i="31"/>
  <c r="DB37" i="31"/>
  <c r="DB39" i="31"/>
  <c r="DB40" i="31"/>
  <c r="DB41" i="31"/>
  <c r="DB42" i="31"/>
  <c r="DB43" i="31"/>
  <c r="DB44" i="31"/>
  <c r="DB45" i="31"/>
  <c r="DB46" i="31"/>
  <c r="DB47" i="31"/>
  <c r="DB48" i="31"/>
  <c r="DB49" i="31"/>
  <c r="DB51" i="31"/>
  <c r="DB52" i="31"/>
  <c r="DB53" i="31"/>
  <c r="DB54" i="31"/>
  <c r="DB55" i="31"/>
  <c r="DB56" i="31"/>
  <c r="DB57" i="31"/>
  <c r="DB58" i="31"/>
  <c r="DB60" i="31"/>
  <c r="DB61" i="31"/>
  <c r="DB62" i="31"/>
  <c r="DB63" i="31"/>
  <c r="DB64" i="31"/>
  <c r="DB65" i="31"/>
  <c r="DB66" i="31"/>
  <c r="DB67" i="31"/>
  <c r="DB68" i="31"/>
  <c r="DB69" i="31"/>
  <c r="DB70" i="31"/>
  <c r="DB71" i="31"/>
  <c r="DB72" i="31"/>
  <c r="DB74" i="31"/>
  <c r="DB75" i="31"/>
  <c r="DB76" i="31"/>
  <c r="DB77" i="31"/>
  <c r="DB78" i="31"/>
  <c r="DB79" i="31"/>
  <c r="DB80" i="31"/>
  <c r="DB81" i="31"/>
  <c r="DB82" i="31"/>
  <c r="DB83" i="31"/>
  <c r="DB84" i="31"/>
  <c r="DB85" i="31"/>
  <c r="DB86" i="31"/>
  <c r="DB87" i="31"/>
  <c r="DB88" i="31"/>
  <c r="DB89" i="31"/>
  <c r="DB90" i="31"/>
  <c r="DB91" i="31"/>
  <c r="DB92" i="31"/>
  <c r="DB93" i="31"/>
  <c r="DB94" i="31"/>
  <c r="DB95" i="31"/>
  <c r="DB96" i="31"/>
  <c r="DB97" i="31"/>
  <c r="DB98" i="31"/>
  <c r="DB101" i="31"/>
  <c r="DB102" i="31"/>
  <c r="DB103" i="31"/>
  <c r="DB104" i="31"/>
  <c r="DB106" i="31"/>
  <c r="DB107" i="31"/>
  <c r="DB108" i="31"/>
  <c r="DB109" i="31"/>
  <c r="DB110" i="31"/>
  <c r="DB112" i="31"/>
  <c r="DB113" i="31"/>
  <c r="DB114" i="31"/>
  <c r="DB115" i="31"/>
  <c r="DB116" i="31"/>
  <c r="DB117" i="31"/>
  <c r="DB118" i="31"/>
  <c r="DB119" i="31"/>
  <c r="DB120" i="31"/>
  <c r="DB121" i="31"/>
  <c r="DB122" i="31"/>
  <c r="DB123" i="31"/>
  <c r="DB124" i="31"/>
  <c r="DB125" i="31"/>
  <c r="DB127" i="31"/>
  <c r="DB128" i="31"/>
  <c r="DB129" i="31"/>
  <c r="DB130" i="31"/>
  <c r="DB131" i="31"/>
  <c r="DB132" i="31"/>
  <c r="DB133" i="31"/>
  <c r="DB134" i="31"/>
  <c r="DB135" i="31"/>
  <c r="DB136" i="31"/>
  <c r="DB137" i="31"/>
  <c r="DB138" i="31"/>
  <c r="DB139" i="31"/>
  <c r="DB140" i="31"/>
  <c r="DA14" i="31"/>
  <c r="DA15" i="31"/>
  <c r="DA16" i="31"/>
  <c r="DA17" i="31"/>
  <c r="DA18" i="31"/>
  <c r="DA19" i="31"/>
  <c r="DA20" i="31"/>
  <c r="DA21" i="31"/>
  <c r="DA22" i="31"/>
  <c r="DA23" i="31"/>
  <c r="DA24" i="31"/>
  <c r="DA25" i="31"/>
  <c r="DA26" i="31"/>
  <c r="DA27" i="31"/>
  <c r="DA28" i="31"/>
  <c r="DA29" i="31"/>
  <c r="DA30" i="31"/>
  <c r="DA31" i="31"/>
  <c r="DA32" i="31"/>
  <c r="DA33" i="31"/>
  <c r="DA34" i="31"/>
  <c r="DA35" i="31"/>
  <c r="DA36" i="31"/>
  <c r="DA37" i="31"/>
  <c r="DA39" i="31"/>
  <c r="DA40" i="31"/>
  <c r="DA41" i="31"/>
  <c r="DA42" i="31"/>
  <c r="DA43" i="31"/>
  <c r="DA44" i="31"/>
  <c r="DA45" i="31"/>
  <c r="DA46" i="31"/>
  <c r="DA47" i="31"/>
  <c r="DA48" i="31"/>
  <c r="DA49" i="31"/>
  <c r="DA51" i="31"/>
  <c r="DA52" i="31"/>
  <c r="DA53" i="31"/>
  <c r="DA54" i="31"/>
  <c r="DA55" i="31"/>
  <c r="DA56" i="31"/>
  <c r="DA57" i="31"/>
  <c r="DA58" i="31"/>
  <c r="DA60" i="31"/>
  <c r="DA61" i="31"/>
  <c r="DA62" i="31"/>
  <c r="DA63" i="31"/>
  <c r="DA64" i="31"/>
  <c r="DA65" i="31"/>
  <c r="DA66" i="31"/>
  <c r="DA67" i="31"/>
  <c r="DA68" i="31"/>
  <c r="DA69" i="31"/>
  <c r="DA70" i="31"/>
  <c r="DA71" i="31"/>
  <c r="DA72" i="31"/>
  <c r="DA73" i="31"/>
  <c r="DA74" i="31"/>
  <c r="DA75" i="31"/>
  <c r="DA76" i="31"/>
  <c r="DA77" i="31"/>
  <c r="DA78" i="31"/>
  <c r="DA79" i="31"/>
  <c r="DA80" i="31"/>
  <c r="DA81" i="31"/>
  <c r="DA82" i="31"/>
  <c r="DA83" i="31"/>
  <c r="DA84" i="31"/>
  <c r="DA85" i="31"/>
  <c r="DA86" i="31"/>
  <c r="DA87" i="31"/>
  <c r="DA88" i="31"/>
  <c r="DA89" i="31"/>
  <c r="DA90" i="31"/>
  <c r="H91" i="31"/>
  <c r="DA91" i="31"/>
  <c r="DA92" i="31"/>
  <c r="DA93" i="31"/>
  <c r="DA94" i="31"/>
  <c r="DA95" i="31"/>
  <c r="DA96" i="31"/>
  <c r="DA97" i="31"/>
  <c r="DA98" i="31"/>
  <c r="DA101" i="31"/>
  <c r="DA102" i="31"/>
  <c r="DA103" i="31"/>
  <c r="DA104" i="31"/>
  <c r="DA106" i="31"/>
  <c r="DA107" i="31"/>
  <c r="DA108" i="31"/>
  <c r="DA109" i="31"/>
  <c r="DA110" i="31"/>
  <c r="DA112" i="31"/>
  <c r="DA113" i="31"/>
  <c r="DA114" i="31"/>
  <c r="DA115" i="31"/>
  <c r="DA116" i="31"/>
  <c r="DA117" i="31"/>
  <c r="DA118" i="31"/>
  <c r="DA119" i="31"/>
  <c r="H120" i="31"/>
  <c r="DA120" i="31"/>
  <c r="DA121" i="31"/>
  <c r="H122" i="31"/>
  <c r="DA122" i="31" s="1"/>
  <c r="H123" i="31"/>
  <c r="DA123" i="31"/>
  <c r="DA124" i="31"/>
  <c r="DA125" i="31"/>
  <c r="DA127" i="31"/>
  <c r="DA128" i="31"/>
  <c r="DA129" i="31"/>
  <c r="DA130" i="31"/>
  <c r="DA131" i="31"/>
  <c r="DA132" i="31"/>
  <c r="DA133" i="31"/>
  <c r="DA134" i="31"/>
  <c r="DA135" i="31"/>
  <c r="DA136" i="31"/>
  <c r="DA137" i="31"/>
  <c r="H138" i="31"/>
  <c r="DA138" i="31"/>
  <c r="DA139" i="31"/>
  <c r="DA140" i="31"/>
  <c r="DA142" i="31"/>
  <c r="CZ145" i="31"/>
  <c r="CZ149" i="31"/>
  <c r="CZ151" i="31"/>
  <c r="CY14" i="31"/>
  <c r="CY15" i="31"/>
  <c r="CY16" i="31"/>
  <c r="CY17" i="31"/>
  <c r="CY18" i="31"/>
  <c r="CY19" i="31"/>
  <c r="CY20" i="31"/>
  <c r="CY21" i="31"/>
  <c r="CY22" i="31"/>
  <c r="CY23" i="31"/>
  <c r="CY24" i="31"/>
  <c r="CY25" i="31"/>
  <c r="CY26" i="31"/>
  <c r="CY27" i="31"/>
  <c r="CY28" i="31"/>
  <c r="CY29" i="31"/>
  <c r="CY30" i="31"/>
  <c r="CY31" i="31"/>
  <c r="CY32" i="31"/>
  <c r="CY33" i="31"/>
  <c r="CY34" i="31"/>
  <c r="CY35" i="31"/>
  <c r="CY36" i="31"/>
  <c r="CY37" i="31"/>
  <c r="CY39" i="31"/>
  <c r="CY40" i="31"/>
  <c r="CY41" i="31"/>
  <c r="CY42" i="31"/>
  <c r="CY43" i="31"/>
  <c r="CY44" i="31"/>
  <c r="CY45" i="31"/>
  <c r="CY46" i="31"/>
  <c r="CY47" i="31"/>
  <c r="CY48" i="31"/>
  <c r="CY49" i="31"/>
  <c r="CY51" i="31"/>
  <c r="CY52" i="31"/>
  <c r="CY53" i="31"/>
  <c r="CY54" i="31"/>
  <c r="CY55" i="31"/>
  <c r="CY56" i="31"/>
  <c r="CY57" i="31"/>
  <c r="CY58" i="31"/>
  <c r="CY60" i="31"/>
  <c r="CY61" i="31"/>
  <c r="CY62" i="31"/>
  <c r="CY63" i="31"/>
  <c r="CY64" i="31"/>
  <c r="CY65" i="31"/>
  <c r="CY66" i="31"/>
  <c r="CY67" i="31"/>
  <c r="CY68" i="31"/>
  <c r="CY69" i="31"/>
  <c r="CY70" i="31"/>
  <c r="CY71" i="31"/>
  <c r="CY72" i="31"/>
  <c r="CY73" i="31"/>
  <c r="CY74" i="31"/>
  <c r="CY75" i="31"/>
  <c r="CY76" i="31"/>
  <c r="CY77" i="31"/>
  <c r="CY78" i="31"/>
  <c r="CY79" i="31"/>
  <c r="CY80" i="31"/>
  <c r="CY81" i="31"/>
  <c r="CY82" i="31"/>
  <c r="CY83" i="31"/>
  <c r="CY84" i="31"/>
  <c r="CY85" i="31"/>
  <c r="CY86" i="31"/>
  <c r="CY87" i="31"/>
  <c r="CY88" i="31"/>
  <c r="CY89" i="31"/>
  <c r="CY90" i="31"/>
  <c r="CY91" i="31"/>
  <c r="CY92" i="31"/>
  <c r="CY93" i="31"/>
  <c r="CY94" i="31"/>
  <c r="CY95" i="31"/>
  <c r="CY96" i="31"/>
  <c r="CY97" i="31"/>
  <c r="CY98" i="31"/>
  <c r="CY101" i="31"/>
  <c r="CY102" i="31"/>
  <c r="CY103" i="31"/>
  <c r="CY104" i="31"/>
  <c r="CY105" i="31"/>
  <c r="CY106" i="31"/>
  <c r="CY107" i="31"/>
  <c r="CY108" i="31"/>
  <c r="CY109" i="31"/>
  <c r="CY110" i="31"/>
  <c r="CY111" i="31"/>
  <c r="CY112" i="31"/>
  <c r="CY113" i="31"/>
  <c r="CY114" i="31"/>
  <c r="CY115" i="31"/>
  <c r="CY116" i="31"/>
  <c r="CY117" i="31"/>
  <c r="CY118" i="31"/>
  <c r="CY119" i="31"/>
  <c r="CY120" i="31"/>
  <c r="CY121" i="31"/>
  <c r="CY122" i="31"/>
  <c r="CY123" i="31"/>
  <c r="CY124" i="31"/>
  <c r="CY125" i="31"/>
  <c r="CY126" i="31"/>
  <c r="CY127" i="31"/>
  <c r="CY128" i="31"/>
  <c r="CY129" i="31"/>
  <c r="CY130" i="31"/>
  <c r="CY131" i="31"/>
  <c r="CY132" i="31"/>
  <c r="CY133" i="31"/>
  <c r="CY134" i="31"/>
  <c r="CY135" i="31"/>
  <c r="CY136" i="31"/>
  <c r="CY137" i="31"/>
  <c r="CY138" i="31"/>
  <c r="CY139" i="31"/>
  <c r="CY140" i="31"/>
  <c r="CY142" i="31"/>
  <c r="CX14" i="31"/>
  <c r="CX15" i="31"/>
  <c r="CX16" i="31"/>
  <c r="CX17" i="31"/>
  <c r="CX18" i="31"/>
  <c r="CX19" i="31"/>
  <c r="CX20" i="31"/>
  <c r="CX21" i="31"/>
  <c r="CX22" i="31"/>
  <c r="CX23" i="31"/>
  <c r="CX24" i="31"/>
  <c r="CX25" i="31"/>
  <c r="CX26" i="31"/>
  <c r="CX27" i="31"/>
  <c r="CX28" i="31"/>
  <c r="CX29" i="31"/>
  <c r="CX30" i="31"/>
  <c r="CX31" i="31"/>
  <c r="CX32" i="31"/>
  <c r="CX33" i="31"/>
  <c r="CX34" i="31"/>
  <c r="CX35" i="31"/>
  <c r="CX36" i="31"/>
  <c r="CX37" i="31"/>
  <c r="CX39" i="31"/>
  <c r="CX40" i="31"/>
  <c r="CX41" i="31"/>
  <c r="CX42" i="31"/>
  <c r="CX43" i="31"/>
  <c r="CX44" i="31"/>
  <c r="CX45" i="31"/>
  <c r="CX46" i="31"/>
  <c r="CX47" i="31"/>
  <c r="CX48" i="31"/>
  <c r="CX49" i="31"/>
  <c r="CX51" i="31"/>
  <c r="CX52" i="31"/>
  <c r="CX53" i="31"/>
  <c r="CX54" i="31"/>
  <c r="CX55" i="31"/>
  <c r="CX56" i="31"/>
  <c r="CX57" i="31"/>
  <c r="CX58" i="31"/>
  <c r="CX60" i="31"/>
  <c r="CX61" i="31"/>
  <c r="CX62" i="31"/>
  <c r="CX63" i="31"/>
  <c r="CX64" i="31"/>
  <c r="CX65" i="31"/>
  <c r="CX66" i="31"/>
  <c r="CX67" i="31"/>
  <c r="CX68" i="31"/>
  <c r="CX69" i="31"/>
  <c r="CX70" i="31"/>
  <c r="CX71" i="31"/>
  <c r="CX72" i="31"/>
  <c r="CX73" i="31"/>
  <c r="CX74" i="31"/>
  <c r="CX75" i="31"/>
  <c r="CX76" i="31"/>
  <c r="CX77" i="31"/>
  <c r="CX78" i="31"/>
  <c r="CX79" i="31"/>
  <c r="CX80" i="31"/>
  <c r="CX81" i="31"/>
  <c r="CX82" i="31"/>
  <c r="CX83" i="31"/>
  <c r="CX84" i="31"/>
  <c r="CX85" i="31"/>
  <c r="CX86" i="31"/>
  <c r="CX87" i="31"/>
  <c r="CX88" i="31"/>
  <c r="CX89" i="31"/>
  <c r="CX90" i="31"/>
  <c r="CX91" i="31"/>
  <c r="CX92" i="31"/>
  <c r="CX93" i="31"/>
  <c r="CX94" i="31"/>
  <c r="CX95" i="31"/>
  <c r="CX96" i="31"/>
  <c r="CX97" i="31"/>
  <c r="CX98" i="31"/>
  <c r="CX101" i="31"/>
  <c r="CX102" i="31"/>
  <c r="CX103" i="31"/>
  <c r="CX104" i="31"/>
  <c r="CX105" i="31"/>
  <c r="CX106" i="31"/>
  <c r="CX107" i="31"/>
  <c r="CX108" i="31"/>
  <c r="CX109" i="31"/>
  <c r="CX110" i="31"/>
  <c r="CX111" i="31"/>
  <c r="CX112" i="31"/>
  <c r="CX113" i="31"/>
  <c r="CX114" i="31"/>
  <c r="CX115" i="31"/>
  <c r="CX116" i="31"/>
  <c r="CX117" i="31"/>
  <c r="CX118" i="31"/>
  <c r="CX119" i="31"/>
  <c r="J120" i="31"/>
  <c r="CX120" i="31"/>
  <c r="CX121" i="31"/>
  <c r="CX122" i="31"/>
  <c r="CX123" i="31"/>
  <c r="CX124" i="31"/>
  <c r="CX125" i="31"/>
  <c r="CX126" i="31"/>
  <c r="CX127" i="31"/>
  <c r="CX128" i="31"/>
  <c r="CX129" i="31"/>
  <c r="CX130" i="31"/>
  <c r="CX131" i="31"/>
  <c r="CX132" i="31"/>
  <c r="CX133" i="31"/>
  <c r="CX134" i="31"/>
  <c r="CX135" i="31"/>
  <c r="CX136" i="31"/>
  <c r="CX137" i="31"/>
  <c r="CX138" i="31"/>
  <c r="CX139" i="31"/>
  <c r="CX140" i="31"/>
  <c r="CX141" i="31"/>
  <c r="CU14" i="31"/>
  <c r="CU16" i="31"/>
  <c r="CU18" i="31"/>
  <c r="CU19" i="31"/>
  <c r="CU20" i="31"/>
  <c r="CU21" i="31"/>
  <c r="CU22" i="31"/>
  <c r="CU23" i="31"/>
  <c r="CU24" i="31"/>
  <c r="CU26" i="31"/>
  <c r="CU27" i="31"/>
  <c r="CU28" i="31"/>
  <c r="CU29" i="31"/>
  <c r="CU30" i="31"/>
  <c r="CU31" i="31"/>
  <c r="CU32" i="31"/>
  <c r="CU35" i="31"/>
  <c r="CU36" i="31"/>
  <c r="CU38" i="31"/>
  <c r="CU39" i="31"/>
  <c r="CU40" i="31"/>
  <c r="CU43" i="31"/>
  <c r="CU44" i="31"/>
  <c r="CU45" i="31"/>
  <c r="CU46" i="31"/>
  <c r="CU47" i="31"/>
  <c r="CU48" i="31"/>
  <c r="CU49" i="31"/>
  <c r="CU51" i="31"/>
  <c r="CU53" i="31"/>
  <c r="CU54" i="31"/>
  <c r="CU55" i="31"/>
  <c r="CU57" i="31"/>
  <c r="CU60" i="31"/>
  <c r="CU61" i="31"/>
  <c r="CU62" i="31"/>
  <c r="CU63" i="31"/>
  <c r="CU64" i="31"/>
  <c r="CU65" i="31"/>
  <c r="CU67" i="31"/>
  <c r="CU70" i="31"/>
  <c r="CU71" i="31"/>
  <c r="CU72" i="31"/>
  <c r="CU73" i="31"/>
  <c r="CU74" i="31"/>
  <c r="CU75" i="31"/>
  <c r="CU76" i="31"/>
  <c r="CU77" i="31"/>
  <c r="CU78" i="31"/>
  <c r="CU79" i="31"/>
  <c r="CU80" i="31"/>
  <c r="CU81" i="31"/>
  <c r="CU82" i="31"/>
  <c r="CU83" i="31"/>
  <c r="CU85" i="31"/>
  <c r="CU86" i="31"/>
  <c r="CU88" i="31"/>
  <c r="CU89" i="31"/>
  <c r="CU91" i="31"/>
  <c r="CU92" i="31"/>
  <c r="CU93" i="31"/>
  <c r="CU94" i="31"/>
  <c r="CU95" i="31"/>
  <c r="CU97" i="31"/>
  <c r="CU98" i="31"/>
  <c r="CU101" i="31"/>
  <c r="CU102" i="31"/>
  <c r="CU103" i="31"/>
  <c r="CU104" i="31"/>
  <c r="CU105" i="31"/>
  <c r="CU106" i="31"/>
  <c r="CU107" i="31"/>
  <c r="CU109" i="31"/>
  <c r="CU111" i="31"/>
  <c r="CU112" i="31"/>
  <c r="CU113" i="31"/>
  <c r="CU116" i="31"/>
  <c r="CU117" i="31"/>
  <c r="CU118" i="31"/>
  <c r="CU119" i="31"/>
  <c r="O120" i="31"/>
  <c r="CT120" i="31" s="1"/>
  <c r="R120" i="31"/>
  <c r="CU121" i="31"/>
  <c r="CU122" i="31"/>
  <c r="CU123" i="31"/>
  <c r="CU124" i="31"/>
  <c r="CU125" i="31"/>
  <c r="CU126" i="31"/>
  <c r="CU127" i="31"/>
  <c r="CU128" i="31"/>
  <c r="CU130" i="31"/>
  <c r="CU131" i="31"/>
  <c r="CU132" i="31"/>
  <c r="CU133" i="31"/>
  <c r="CU134" i="31"/>
  <c r="CU135" i="31"/>
  <c r="CU137" i="31"/>
  <c r="CU138" i="31"/>
  <c r="CU139" i="31"/>
  <c r="CU140" i="31"/>
  <c r="CU142" i="31"/>
  <c r="CR14" i="31"/>
  <c r="CR15" i="31"/>
  <c r="CR16" i="31"/>
  <c r="CR17" i="31"/>
  <c r="CR18" i="31"/>
  <c r="CR19" i="31"/>
  <c r="CR20" i="31"/>
  <c r="CR21" i="31"/>
  <c r="CR22" i="31"/>
  <c r="CR23" i="31"/>
  <c r="CR24" i="31"/>
  <c r="CR25" i="31"/>
  <c r="CR26" i="31"/>
  <c r="CR27" i="31"/>
  <c r="CR28" i="31"/>
  <c r="CR29" i="31"/>
  <c r="CR30" i="31"/>
  <c r="CR31" i="31"/>
  <c r="CR32" i="31"/>
  <c r="CR33" i="31"/>
  <c r="CR34" i="31"/>
  <c r="CR35" i="31"/>
  <c r="CR36" i="31"/>
  <c r="CR37" i="31"/>
  <c r="CR38" i="31"/>
  <c r="CR39" i="31"/>
  <c r="CR40" i="31"/>
  <c r="CR41" i="31"/>
  <c r="CR42" i="31"/>
  <c r="CR43" i="31"/>
  <c r="CR44" i="31"/>
  <c r="CR45" i="31"/>
  <c r="CR46" i="31"/>
  <c r="CR47" i="31"/>
  <c r="CR48" i="31"/>
  <c r="CR49" i="31"/>
  <c r="CR51" i="31"/>
  <c r="CR52" i="31"/>
  <c r="CR53" i="31"/>
  <c r="CR54" i="31"/>
  <c r="CR55" i="31"/>
  <c r="CR56" i="31"/>
  <c r="CR57" i="31"/>
  <c r="CR58" i="31"/>
  <c r="CR60" i="31"/>
  <c r="CR61" i="31"/>
  <c r="CR62" i="31"/>
  <c r="CR63" i="31"/>
  <c r="CR64" i="31"/>
  <c r="CR65" i="31"/>
  <c r="CR66" i="31"/>
  <c r="CR67" i="31"/>
  <c r="CR68" i="31"/>
  <c r="CR69" i="31"/>
  <c r="CR70" i="31"/>
  <c r="CR71" i="31"/>
  <c r="CR72" i="31"/>
  <c r="CR73" i="31"/>
  <c r="CR74" i="31"/>
  <c r="CR75" i="31"/>
  <c r="CR76" i="31"/>
  <c r="CR77" i="31"/>
  <c r="CR78" i="31"/>
  <c r="CR79" i="31"/>
  <c r="CR80" i="31"/>
  <c r="CR81" i="31"/>
  <c r="CR82" i="31"/>
  <c r="CR83" i="31"/>
  <c r="CR84" i="31"/>
  <c r="CR85" i="31"/>
  <c r="CR86" i="31"/>
  <c r="CR87" i="31"/>
  <c r="CR88" i="31"/>
  <c r="CR89" i="31"/>
  <c r="CR90" i="31"/>
  <c r="CR91" i="31"/>
  <c r="CR92" i="31"/>
  <c r="CR93" i="31"/>
  <c r="CR94" i="31"/>
  <c r="CR95" i="31"/>
  <c r="CR96" i="31"/>
  <c r="CR97" i="31"/>
  <c r="CR98" i="31"/>
  <c r="CR101" i="31"/>
  <c r="CR102" i="31"/>
  <c r="CR103" i="31"/>
  <c r="CR104" i="31"/>
  <c r="CR105" i="31"/>
  <c r="CR106" i="31"/>
  <c r="CR107" i="31"/>
  <c r="CR108" i="31"/>
  <c r="CR109" i="31"/>
  <c r="CR110" i="31"/>
  <c r="CR111" i="31"/>
  <c r="CR112" i="31"/>
  <c r="CR113" i="31"/>
  <c r="CR114" i="31"/>
  <c r="CR115" i="31"/>
  <c r="CR116" i="31"/>
  <c r="CR117" i="31"/>
  <c r="CR118" i="31"/>
  <c r="CR119" i="31"/>
  <c r="I120" i="31"/>
  <c r="L120" i="31"/>
  <c r="CR120" i="31"/>
  <c r="CR121" i="31"/>
  <c r="CR122" i="31"/>
  <c r="CR123" i="31"/>
  <c r="CR124" i="31"/>
  <c r="CR125" i="31"/>
  <c r="CR126" i="31"/>
  <c r="CR127" i="31"/>
  <c r="CR128" i="31"/>
  <c r="CR129" i="31"/>
  <c r="CR130" i="31"/>
  <c r="CR131" i="31"/>
  <c r="CR132" i="31"/>
  <c r="CR133" i="31"/>
  <c r="CR134" i="31"/>
  <c r="CR135" i="31"/>
  <c r="CR136" i="31"/>
  <c r="CR137" i="31"/>
  <c r="CR138" i="31"/>
  <c r="CR139" i="31"/>
  <c r="CR140" i="31"/>
  <c r="CR141" i="31"/>
  <c r="CR142" i="31"/>
  <c r="Z143" i="31"/>
  <c r="CJ143" i="31"/>
  <c r="AG143" i="31"/>
  <c r="CK143" i="31" s="1"/>
  <c r="CL143" i="31" s="1"/>
  <c r="CT14" i="31"/>
  <c r="CT16" i="31"/>
  <c r="CT18" i="31"/>
  <c r="CT19" i="31"/>
  <c r="CT20" i="31"/>
  <c r="CT21" i="31"/>
  <c r="CT22" i="31"/>
  <c r="CT23" i="31"/>
  <c r="CT24" i="31"/>
  <c r="CT26" i="31"/>
  <c r="CT27" i="31"/>
  <c r="CT28" i="31"/>
  <c r="CT29" i="31"/>
  <c r="CT30" i="31"/>
  <c r="CT31" i="31"/>
  <c r="CT32" i="31"/>
  <c r="CT35" i="31"/>
  <c r="CT36" i="31"/>
  <c r="CT39" i="31"/>
  <c r="CT40" i="31"/>
  <c r="CT43" i="31"/>
  <c r="CT44" i="31"/>
  <c r="CT45" i="31"/>
  <c r="CT46" i="31"/>
  <c r="CT47" i="31"/>
  <c r="CT48" i="31"/>
  <c r="CT49" i="31"/>
  <c r="CT51" i="31"/>
  <c r="CT53" i="31"/>
  <c r="CT54" i="31"/>
  <c r="CT55" i="31"/>
  <c r="CT57" i="31"/>
  <c r="CT60" i="31"/>
  <c r="CT61" i="31"/>
  <c r="CT62" i="31"/>
  <c r="CT63" i="31"/>
  <c r="CT64" i="31"/>
  <c r="CT65" i="31"/>
  <c r="CT67" i="31"/>
  <c r="CT70" i="31"/>
  <c r="CT71" i="31"/>
  <c r="CT72" i="31"/>
  <c r="CT74" i="31"/>
  <c r="CT75" i="31"/>
  <c r="CT76" i="31"/>
  <c r="CT77" i="31"/>
  <c r="CT78" i="31"/>
  <c r="CT79" i="31"/>
  <c r="CT80" i="31"/>
  <c r="CT81" i="31"/>
  <c r="CT82" i="31"/>
  <c r="CT83" i="31"/>
  <c r="CT85" i="31"/>
  <c r="CT86" i="31"/>
  <c r="CT88" i="31"/>
  <c r="CT89" i="31"/>
  <c r="CT91" i="31"/>
  <c r="CT92" i="31"/>
  <c r="CT93" i="31"/>
  <c r="CT94" i="31"/>
  <c r="CT95" i="31"/>
  <c r="CT97" i="31"/>
  <c r="CT98" i="31"/>
  <c r="CT101" i="31"/>
  <c r="CT102" i="31"/>
  <c r="CT103" i="31"/>
  <c r="CT104" i="31"/>
  <c r="CT106" i="31"/>
  <c r="CT107" i="31"/>
  <c r="CT109" i="31"/>
  <c r="CT112" i="31"/>
  <c r="CT113" i="31"/>
  <c r="CT116" i="31"/>
  <c r="CT117" i="31"/>
  <c r="CT118" i="31"/>
  <c r="CT119" i="31"/>
  <c r="CT121" i="31"/>
  <c r="CT122" i="31"/>
  <c r="CT123" i="31"/>
  <c r="CT124" i="31"/>
  <c r="CT125" i="31"/>
  <c r="CT127" i="31"/>
  <c r="CT128" i="31"/>
  <c r="CT130" i="31"/>
  <c r="CT131" i="31"/>
  <c r="CT132" i="31"/>
  <c r="CT133" i="31"/>
  <c r="CT134" i="31"/>
  <c r="CT135" i="31"/>
  <c r="CT137" i="31"/>
  <c r="CT138" i="31"/>
  <c r="CT139" i="31"/>
  <c r="CT140" i="31"/>
  <c r="CT142" i="31"/>
  <c r="CQ14" i="31"/>
  <c r="CQ15" i="31"/>
  <c r="CQ16" i="31"/>
  <c r="CQ17" i="31"/>
  <c r="CQ18" i="31"/>
  <c r="CQ19" i="31"/>
  <c r="CQ20" i="31"/>
  <c r="CQ21" i="31"/>
  <c r="CQ22" i="31"/>
  <c r="CQ23" i="31"/>
  <c r="CQ24" i="31"/>
  <c r="CQ25" i="31"/>
  <c r="CQ26" i="31"/>
  <c r="CQ27" i="31"/>
  <c r="CQ28" i="31"/>
  <c r="CQ29" i="31"/>
  <c r="CQ30" i="31"/>
  <c r="CQ31" i="31"/>
  <c r="CQ32" i="31"/>
  <c r="CQ33" i="31"/>
  <c r="CQ34" i="31"/>
  <c r="CQ35" i="31"/>
  <c r="CQ36" i="31"/>
  <c r="CQ37" i="31"/>
  <c r="CQ39" i="31"/>
  <c r="CQ40" i="31"/>
  <c r="CQ41" i="31"/>
  <c r="CQ42" i="31"/>
  <c r="CQ43" i="31"/>
  <c r="CQ44" i="31"/>
  <c r="CQ45" i="31"/>
  <c r="CQ46" i="31"/>
  <c r="CQ47" i="31"/>
  <c r="CQ48" i="31"/>
  <c r="CQ49" i="31"/>
  <c r="CQ51" i="31"/>
  <c r="CQ52" i="31"/>
  <c r="CQ53" i="31"/>
  <c r="CQ54" i="31"/>
  <c r="CQ55" i="31"/>
  <c r="CQ56" i="31"/>
  <c r="CQ57" i="31"/>
  <c r="CQ58" i="31"/>
  <c r="CQ60" i="31"/>
  <c r="CQ61" i="31"/>
  <c r="CQ62" i="31"/>
  <c r="CQ63" i="31"/>
  <c r="CQ64" i="31"/>
  <c r="CQ65" i="31"/>
  <c r="CQ66" i="31"/>
  <c r="CQ67" i="31"/>
  <c r="CQ68" i="31"/>
  <c r="CQ69" i="31"/>
  <c r="CQ70" i="31"/>
  <c r="CQ71" i="31"/>
  <c r="CQ72" i="31"/>
  <c r="CQ74" i="31"/>
  <c r="CQ75" i="31"/>
  <c r="CQ76" i="31"/>
  <c r="CQ77" i="31"/>
  <c r="CQ78" i="31"/>
  <c r="CQ79" i="31"/>
  <c r="CQ80" i="31"/>
  <c r="CQ81" i="31"/>
  <c r="CQ82" i="31"/>
  <c r="CQ83" i="31"/>
  <c r="CQ84" i="31"/>
  <c r="CQ85" i="31"/>
  <c r="CQ86" i="31"/>
  <c r="CQ87" i="31"/>
  <c r="CQ88" i="31"/>
  <c r="CQ89" i="31"/>
  <c r="CQ90" i="31"/>
  <c r="CQ91" i="31"/>
  <c r="CQ92" i="31"/>
  <c r="CQ93" i="31"/>
  <c r="CQ94" i="31"/>
  <c r="CQ95" i="31"/>
  <c r="CQ96" i="31"/>
  <c r="CQ97" i="31"/>
  <c r="CQ98" i="31"/>
  <c r="CQ101" i="31"/>
  <c r="CQ102" i="31"/>
  <c r="CQ103" i="31"/>
  <c r="CQ104" i="31"/>
  <c r="CQ106" i="31"/>
  <c r="CQ107" i="31"/>
  <c r="CQ108" i="31"/>
  <c r="CQ109" i="31"/>
  <c r="CQ110" i="31"/>
  <c r="CQ112" i="31"/>
  <c r="CQ113" i="31"/>
  <c r="CQ114" i="31"/>
  <c r="CQ115" i="31"/>
  <c r="CQ116" i="31"/>
  <c r="CQ117" i="31"/>
  <c r="CQ118" i="31"/>
  <c r="CQ119" i="31"/>
  <c r="CQ120" i="31"/>
  <c r="CQ121" i="31"/>
  <c r="CQ122" i="31"/>
  <c r="CQ123" i="31"/>
  <c r="CQ124" i="31"/>
  <c r="CQ125" i="31"/>
  <c r="CQ127" i="31"/>
  <c r="CQ128" i="31"/>
  <c r="CQ129" i="31"/>
  <c r="CQ130" i="31"/>
  <c r="CQ131" i="31"/>
  <c r="CQ132" i="31"/>
  <c r="CQ133" i="31"/>
  <c r="CQ134" i="31"/>
  <c r="CQ135" i="31"/>
  <c r="CQ136" i="31"/>
  <c r="CQ137" i="31"/>
  <c r="CQ138" i="31"/>
  <c r="CQ139" i="31"/>
  <c r="CQ140" i="31"/>
  <c r="CS14" i="31"/>
  <c r="CS16" i="31"/>
  <c r="CS18" i="31"/>
  <c r="CS19" i="31"/>
  <c r="CS20" i="31"/>
  <c r="CS21" i="31"/>
  <c r="CS22" i="31"/>
  <c r="CS23" i="31"/>
  <c r="CS24" i="31"/>
  <c r="CS26" i="31"/>
  <c r="CS27" i="31"/>
  <c r="CS28" i="31"/>
  <c r="CS29" i="31"/>
  <c r="CS30" i="31"/>
  <c r="CS31" i="31"/>
  <c r="CS32" i="31"/>
  <c r="CS35" i="31"/>
  <c r="CS36" i="31"/>
  <c r="CS39" i="31"/>
  <c r="CS40" i="31"/>
  <c r="CS43" i="31"/>
  <c r="CS44" i="31"/>
  <c r="CS45" i="31"/>
  <c r="CS46" i="31"/>
  <c r="CS47" i="31"/>
  <c r="CS48" i="31"/>
  <c r="CS49" i="31"/>
  <c r="CS51" i="31"/>
  <c r="CS53" i="31"/>
  <c r="CS54" i="31"/>
  <c r="CS55" i="31"/>
  <c r="CS57" i="31"/>
  <c r="CS60" i="31"/>
  <c r="CS61" i="31"/>
  <c r="CS62" i="31"/>
  <c r="CS63" i="31"/>
  <c r="CS64" i="31"/>
  <c r="CS65" i="31"/>
  <c r="CS67" i="31"/>
  <c r="CS70" i="31"/>
  <c r="CS71" i="31"/>
  <c r="CS72" i="31"/>
  <c r="CS74" i="31"/>
  <c r="CS75" i="31"/>
  <c r="CS76" i="31"/>
  <c r="CS77" i="31"/>
  <c r="CS78" i="31"/>
  <c r="CS79" i="31"/>
  <c r="CS80" i="31"/>
  <c r="CS81" i="31"/>
  <c r="CS82" i="31"/>
  <c r="CS83" i="31"/>
  <c r="CS85" i="31"/>
  <c r="CS86" i="31"/>
  <c r="CS87" i="31"/>
  <c r="CS88" i="31"/>
  <c r="CS89" i="31"/>
  <c r="CS91" i="31"/>
  <c r="CS92" i="31"/>
  <c r="CS93" i="31"/>
  <c r="CS94" i="31"/>
  <c r="CS95" i="31"/>
  <c r="CS97" i="31"/>
  <c r="CS98" i="31"/>
  <c r="CS101" i="31"/>
  <c r="CS102" i="31"/>
  <c r="CS103" i="31"/>
  <c r="CS104" i="31"/>
  <c r="CS106" i="31"/>
  <c r="CS107" i="31"/>
  <c r="CS109" i="31"/>
  <c r="CS112" i="31"/>
  <c r="CS113" i="31"/>
  <c r="CS116" i="31"/>
  <c r="CS117" i="31"/>
  <c r="CS118" i="31"/>
  <c r="CS119" i="31"/>
  <c r="CS120" i="31"/>
  <c r="CS121" i="31"/>
  <c r="CS122" i="31"/>
  <c r="CS123" i="31"/>
  <c r="CS124" i="31"/>
  <c r="CS125" i="31"/>
  <c r="CS127" i="31"/>
  <c r="CS128" i="31"/>
  <c r="CS130" i="31"/>
  <c r="CS131" i="31"/>
  <c r="CS132" i="31"/>
  <c r="CS133" i="31"/>
  <c r="CS134" i="31"/>
  <c r="CS135" i="31"/>
  <c r="CS137" i="31"/>
  <c r="CS138" i="31"/>
  <c r="CS139" i="31"/>
  <c r="CS140" i="31"/>
  <c r="CP14" i="31"/>
  <c r="CP15" i="31"/>
  <c r="CP16" i="31"/>
  <c r="CP17" i="31"/>
  <c r="CP18" i="31"/>
  <c r="CP19" i="31"/>
  <c r="CP20" i="31"/>
  <c r="CP21" i="31"/>
  <c r="CP22" i="31"/>
  <c r="CP23" i="31"/>
  <c r="CP24" i="31"/>
  <c r="CP25" i="31"/>
  <c r="CP26" i="31"/>
  <c r="CP27" i="31"/>
  <c r="CP28" i="31"/>
  <c r="CV28" i="31" s="1"/>
  <c r="CP29" i="31"/>
  <c r="CP30" i="31"/>
  <c r="CP31" i="31"/>
  <c r="CP32" i="31"/>
  <c r="CP33" i="31"/>
  <c r="CP34" i="31"/>
  <c r="CP35" i="31"/>
  <c r="CP36" i="31"/>
  <c r="CP37" i="31"/>
  <c r="CP39" i="31"/>
  <c r="CP40" i="31"/>
  <c r="CV40" i="31" s="1"/>
  <c r="CP41" i="31"/>
  <c r="CP42" i="31"/>
  <c r="CP43" i="31"/>
  <c r="CP44" i="31"/>
  <c r="CP45" i="31"/>
  <c r="CP46" i="31"/>
  <c r="CP47" i="31"/>
  <c r="CP48" i="31"/>
  <c r="CP49" i="31"/>
  <c r="CP51" i="31"/>
  <c r="CP52" i="31"/>
  <c r="CP53" i="31"/>
  <c r="CP54" i="31"/>
  <c r="CV54" i="31" s="1"/>
  <c r="CP55" i="31"/>
  <c r="CP56" i="31"/>
  <c r="CP57" i="31"/>
  <c r="CP58" i="31"/>
  <c r="CP60" i="31"/>
  <c r="CP61" i="31"/>
  <c r="CP62" i="31"/>
  <c r="CP63" i="31"/>
  <c r="CP64" i="31"/>
  <c r="CP65" i="31"/>
  <c r="CP66" i="31"/>
  <c r="CP67" i="31"/>
  <c r="CV67" i="31" s="1"/>
  <c r="CP68" i="31"/>
  <c r="CP69" i="31"/>
  <c r="CP70" i="31"/>
  <c r="CP71" i="31"/>
  <c r="CP72" i="31"/>
  <c r="CP74" i="31"/>
  <c r="CP75" i="31"/>
  <c r="CP76" i="31"/>
  <c r="CP77" i="31"/>
  <c r="CP78" i="31"/>
  <c r="CP79" i="31"/>
  <c r="CP80" i="31"/>
  <c r="CP81" i="31"/>
  <c r="CP82" i="31"/>
  <c r="CP83" i="31"/>
  <c r="CP84" i="31"/>
  <c r="CP85" i="31"/>
  <c r="CP86" i="31"/>
  <c r="CP87" i="31"/>
  <c r="CP88" i="31"/>
  <c r="CP89" i="31"/>
  <c r="CP90" i="31"/>
  <c r="CP91" i="31"/>
  <c r="CP92" i="31"/>
  <c r="CP93" i="31"/>
  <c r="CP94" i="31"/>
  <c r="CP95" i="31"/>
  <c r="CP96" i="31"/>
  <c r="CP97" i="31"/>
  <c r="CP98" i="31"/>
  <c r="CP101" i="31"/>
  <c r="CP102" i="31"/>
  <c r="CP103" i="31"/>
  <c r="CP104" i="31"/>
  <c r="CP105" i="31"/>
  <c r="CP106" i="31"/>
  <c r="CP107" i="31"/>
  <c r="CP108" i="31"/>
  <c r="CP109" i="31"/>
  <c r="CP110" i="31"/>
  <c r="CP112" i="31"/>
  <c r="CP113" i="31"/>
  <c r="CP114" i="31"/>
  <c r="CP115" i="31"/>
  <c r="CP116" i="31"/>
  <c r="CP117" i="31"/>
  <c r="CP118" i="31"/>
  <c r="CP119" i="31"/>
  <c r="CP120" i="31"/>
  <c r="CP121" i="31"/>
  <c r="CP122" i="31"/>
  <c r="CP123" i="31"/>
  <c r="CP124" i="31"/>
  <c r="CP125" i="31"/>
  <c r="CP127" i="31"/>
  <c r="CP128" i="31"/>
  <c r="CP129" i="31"/>
  <c r="CP130" i="31"/>
  <c r="CP131" i="31"/>
  <c r="CP132" i="31"/>
  <c r="CP133" i="31"/>
  <c r="CP134" i="31"/>
  <c r="CP135" i="31"/>
  <c r="CP136" i="31"/>
  <c r="CP137" i="31"/>
  <c r="CP138" i="31"/>
  <c r="CP139" i="31"/>
  <c r="CP140" i="31"/>
  <c r="CP141" i="31"/>
  <c r="CM151" i="31"/>
  <c r="CN151" i="31"/>
  <c r="BZ14" i="31"/>
  <c r="BZ15" i="31"/>
  <c r="BZ16" i="31"/>
  <c r="BZ17" i="31"/>
  <c r="BZ19" i="31"/>
  <c r="BZ20" i="31"/>
  <c r="BZ21" i="31"/>
  <c r="BZ22" i="31"/>
  <c r="BZ23" i="31"/>
  <c r="BZ24" i="31"/>
  <c r="BZ25" i="31"/>
  <c r="BZ26" i="31"/>
  <c r="BZ27" i="31"/>
  <c r="BZ28" i="31"/>
  <c r="BZ29" i="31"/>
  <c r="BZ31" i="31"/>
  <c r="BZ32" i="31"/>
  <c r="BZ33" i="31"/>
  <c r="BZ34" i="31"/>
  <c r="BZ35" i="31"/>
  <c r="BZ36" i="31"/>
  <c r="BZ37" i="31"/>
  <c r="BZ38" i="31"/>
  <c r="BZ39" i="31"/>
  <c r="BZ40" i="31"/>
  <c r="BZ41" i="31"/>
  <c r="BZ43" i="31"/>
  <c r="BZ44" i="31"/>
  <c r="BZ45" i="31"/>
  <c r="BZ46" i="31"/>
  <c r="BZ47" i="31"/>
  <c r="BZ48" i="31"/>
  <c r="BZ49" i="31"/>
  <c r="BZ51" i="31"/>
  <c r="BZ52" i="31"/>
  <c r="BZ53" i="31"/>
  <c r="BZ55" i="31"/>
  <c r="BZ56" i="31"/>
  <c r="BZ57" i="31"/>
  <c r="BZ58" i="31"/>
  <c r="BZ60" i="31"/>
  <c r="BZ61" i="31"/>
  <c r="BZ62" i="31"/>
  <c r="BZ63" i="31"/>
  <c r="BZ64" i="31"/>
  <c r="BZ65" i="31"/>
  <c r="BZ66" i="31"/>
  <c r="BZ68" i="31"/>
  <c r="BZ69" i="31"/>
  <c r="BZ70" i="31"/>
  <c r="BZ71" i="31"/>
  <c r="BZ72" i="31"/>
  <c r="BZ73" i="31"/>
  <c r="BZ74" i="31"/>
  <c r="BZ75" i="31"/>
  <c r="BZ76" i="31"/>
  <c r="BZ77" i="31"/>
  <c r="BZ78" i="31"/>
  <c r="BZ80" i="31"/>
  <c r="BZ81" i="31"/>
  <c r="BZ82" i="31"/>
  <c r="BZ83" i="31"/>
  <c r="CB83" i="31" s="1"/>
  <c r="BZ84" i="31"/>
  <c r="BZ85" i="31"/>
  <c r="BZ86" i="31"/>
  <c r="BZ87" i="31"/>
  <c r="BZ88" i="31"/>
  <c r="BZ89" i="31"/>
  <c r="BZ90" i="31"/>
  <c r="BZ92" i="31"/>
  <c r="BZ93" i="31"/>
  <c r="BZ94" i="31"/>
  <c r="BZ95" i="31"/>
  <c r="BZ96" i="31"/>
  <c r="BZ97" i="31"/>
  <c r="BZ98" i="31"/>
  <c r="BZ101" i="31"/>
  <c r="BZ102" i="31"/>
  <c r="BZ103" i="31"/>
  <c r="BZ104" i="31"/>
  <c r="BZ106" i="31"/>
  <c r="BZ107" i="31"/>
  <c r="BZ108" i="31"/>
  <c r="BZ109" i="31"/>
  <c r="BZ110" i="31"/>
  <c r="BZ111" i="31"/>
  <c r="BZ112" i="31"/>
  <c r="BZ113" i="31"/>
  <c r="BZ114" i="31"/>
  <c r="BZ115" i="31"/>
  <c r="BZ116" i="31"/>
  <c r="BZ118" i="31"/>
  <c r="BZ119" i="31"/>
  <c r="BZ121" i="31"/>
  <c r="BZ122" i="31"/>
  <c r="BZ123" i="31"/>
  <c r="BZ124" i="31"/>
  <c r="BZ125" i="31"/>
  <c r="CB125" i="31" s="1"/>
  <c r="BZ126" i="31"/>
  <c r="BZ127" i="31"/>
  <c r="BZ128" i="31"/>
  <c r="BZ129" i="31"/>
  <c r="BZ131" i="31"/>
  <c r="BZ132" i="31"/>
  <c r="BZ133" i="31"/>
  <c r="BZ134" i="31"/>
  <c r="BZ135" i="31"/>
  <c r="BZ136" i="31"/>
  <c r="BZ137" i="31"/>
  <c r="BZ138" i="31"/>
  <c r="CB138" i="31" s="1"/>
  <c r="BZ139" i="31"/>
  <c r="BZ140" i="31"/>
  <c r="BZ141" i="31"/>
  <c r="BZ143" i="31"/>
  <c r="BN14" i="31"/>
  <c r="CA14" i="31" s="1"/>
  <c r="BU14" i="31"/>
  <c r="BN15" i="31"/>
  <c r="BU15" i="31"/>
  <c r="CA15" i="31" s="1"/>
  <c r="BN16" i="31"/>
  <c r="CA16" i="31" s="1"/>
  <c r="BU16" i="31"/>
  <c r="BN17" i="31"/>
  <c r="BU17" i="31"/>
  <c r="CA17" i="31"/>
  <c r="BN18" i="31"/>
  <c r="CA18" i="31" s="1"/>
  <c r="BU18" i="31"/>
  <c r="BN19" i="31"/>
  <c r="BU19" i="31"/>
  <c r="CA19" i="31"/>
  <c r="BN20" i="31"/>
  <c r="CA20" i="31" s="1"/>
  <c r="BU20" i="31"/>
  <c r="BN21" i="31"/>
  <c r="BU21" i="31"/>
  <c r="CA21" i="31"/>
  <c r="BN22" i="31"/>
  <c r="BU22" i="31"/>
  <c r="BN23" i="31"/>
  <c r="BU23" i="31"/>
  <c r="CA23" i="31"/>
  <c r="BN24" i="31"/>
  <c r="CA24" i="31" s="1"/>
  <c r="BU24" i="31"/>
  <c r="BN25" i="31"/>
  <c r="BU25" i="31"/>
  <c r="CA25" i="31"/>
  <c r="BN26" i="31"/>
  <c r="BU26" i="31"/>
  <c r="BN27" i="31"/>
  <c r="BU27" i="31"/>
  <c r="CA27" i="31" s="1"/>
  <c r="CB27" i="31" s="1"/>
  <c r="BN28" i="31"/>
  <c r="CA28" i="31" s="1"/>
  <c r="BU28" i="31"/>
  <c r="BN29" i="31"/>
  <c r="BU29" i="31"/>
  <c r="CA29" i="31"/>
  <c r="BN30" i="31"/>
  <c r="BU30" i="31"/>
  <c r="BN31" i="31"/>
  <c r="BU31" i="31"/>
  <c r="BN32" i="31"/>
  <c r="CA32" i="31" s="1"/>
  <c r="BU32" i="31"/>
  <c r="BN33" i="31"/>
  <c r="BU33" i="31"/>
  <c r="CA33" i="31"/>
  <c r="BN34" i="31"/>
  <c r="BU34" i="31"/>
  <c r="BN35" i="31"/>
  <c r="BU35" i="31"/>
  <c r="CA35" i="31" s="1"/>
  <c r="CB35" i="31" s="1"/>
  <c r="BN36" i="31"/>
  <c r="CA36" i="31" s="1"/>
  <c r="CB36" i="31" s="1"/>
  <c r="BU36" i="31"/>
  <c r="BN37" i="31"/>
  <c r="BU37" i="31"/>
  <c r="CA37" i="31"/>
  <c r="BN38" i="31"/>
  <c r="CA38" i="31" s="1"/>
  <c r="BU38" i="31"/>
  <c r="BN39" i="31"/>
  <c r="BU39" i="31"/>
  <c r="CA39" i="31" s="1"/>
  <c r="CB39" i="31" s="1"/>
  <c r="BN40" i="31"/>
  <c r="CA40" i="31" s="1"/>
  <c r="BU40" i="31"/>
  <c r="BN41" i="31"/>
  <c r="BU41" i="31"/>
  <c r="CA41" i="31"/>
  <c r="BN42" i="31"/>
  <c r="CA42" i="31" s="1"/>
  <c r="BU42" i="31"/>
  <c r="BN43" i="31"/>
  <c r="BU43" i="31"/>
  <c r="CA43" i="31"/>
  <c r="BN44" i="31"/>
  <c r="CA44" i="31" s="1"/>
  <c r="BU44" i="31"/>
  <c r="BN45" i="31"/>
  <c r="BU45" i="31"/>
  <c r="CA45" i="31"/>
  <c r="BN46" i="31"/>
  <c r="BU46" i="31"/>
  <c r="BN47" i="31"/>
  <c r="BU47" i="31"/>
  <c r="CA47" i="31"/>
  <c r="BN48" i="31"/>
  <c r="CA48" i="31" s="1"/>
  <c r="BU48" i="31"/>
  <c r="BN49" i="31"/>
  <c r="BU49" i="31"/>
  <c r="CA49" i="31"/>
  <c r="BN51" i="31"/>
  <c r="BU51" i="31"/>
  <c r="BX51" i="31" s="1"/>
  <c r="BY51" i="31" s="1"/>
  <c r="BN52" i="31"/>
  <c r="BU52" i="31"/>
  <c r="CA52" i="31" s="1"/>
  <c r="CB52" i="31" s="1"/>
  <c r="BN53" i="31"/>
  <c r="CA53" i="31" s="1"/>
  <c r="BU53" i="31"/>
  <c r="BN54" i="31"/>
  <c r="BU54" i="31"/>
  <c r="CA54" i="31"/>
  <c r="BN55" i="31"/>
  <c r="BU55" i="31"/>
  <c r="BN56" i="31"/>
  <c r="BU56" i="31"/>
  <c r="BN57" i="31"/>
  <c r="CA57" i="31" s="1"/>
  <c r="BU57" i="31"/>
  <c r="BN58" i="31"/>
  <c r="BU58" i="31"/>
  <c r="CA58" i="31"/>
  <c r="BN60" i="31"/>
  <c r="BU60" i="31"/>
  <c r="BN61" i="31"/>
  <c r="BU61" i="31"/>
  <c r="CA61" i="31" s="1"/>
  <c r="BN62" i="31"/>
  <c r="CA62" i="31" s="1"/>
  <c r="CB62" i="31" s="1"/>
  <c r="BU62" i="31"/>
  <c r="BN63" i="31"/>
  <c r="BU63" i="31"/>
  <c r="CA63" i="31"/>
  <c r="BN64" i="31"/>
  <c r="CA64" i="31" s="1"/>
  <c r="BU64" i="31"/>
  <c r="BN65" i="31"/>
  <c r="BU65" i="31"/>
  <c r="CA65" i="31" s="1"/>
  <c r="CB65" i="31" s="1"/>
  <c r="BN66" i="31"/>
  <c r="CA66" i="31" s="1"/>
  <c r="BU66" i="31"/>
  <c r="BN67" i="31"/>
  <c r="BU67" i="31"/>
  <c r="CA67" i="31"/>
  <c r="BN68" i="31"/>
  <c r="CA68" i="31" s="1"/>
  <c r="BU68" i="31"/>
  <c r="BN69" i="31"/>
  <c r="BU69" i="31"/>
  <c r="CA69" i="31"/>
  <c r="BN70" i="31"/>
  <c r="CA70" i="31" s="1"/>
  <c r="BU70" i="31"/>
  <c r="BN71" i="31"/>
  <c r="BU71" i="31"/>
  <c r="CA71" i="31"/>
  <c r="BN72" i="31"/>
  <c r="BU72" i="31"/>
  <c r="BN73" i="31"/>
  <c r="BU73" i="31"/>
  <c r="CA73" i="31"/>
  <c r="BN74" i="31"/>
  <c r="CA74" i="31" s="1"/>
  <c r="BU74" i="31"/>
  <c r="BN75" i="31"/>
  <c r="BU75" i="31"/>
  <c r="CA75" i="31"/>
  <c r="BN76" i="31"/>
  <c r="BU76" i="31"/>
  <c r="BN77" i="31"/>
  <c r="BU77" i="31"/>
  <c r="CA77" i="31" s="1"/>
  <c r="CB77" i="31" s="1"/>
  <c r="BN78" i="31"/>
  <c r="CA78" i="31" s="1"/>
  <c r="BU78" i="31"/>
  <c r="BN79" i="31"/>
  <c r="BU79" i="31"/>
  <c r="CA79" i="31"/>
  <c r="BN80" i="31"/>
  <c r="BU80" i="31"/>
  <c r="BN81" i="31"/>
  <c r="BU81" i="31"/>
  <c r="BN82" i="31"/>
  <c r="CA82" i="31" s="1"/>
  <c r="BU82" i="31"/>
  <c r="BN83" i="31"/>
  <c r="BU83" i="31"/>
  <c r="CA83" i="31"/>
  <c r="BN84" i="31"/>
  <c r="BU84" i="31"/>
  <c r="BN85" i="31"/>
  <c r="BU85" i="31"/>
  <c r="CA85" i="31" s="1"/>
  <c r="CB85" i="31" s="1"/>
  <c r="BN86" i="31"/>
  <c r="CA86" i="31" s="1"/>
  <c r="CB86" i="31" s="1"/>
  <c r="BU86" i="31"/>
  <c r="BN87" i="31"/>
  <c r="BU87" i="31"/>
  <c r="CA87" i="31"/>
  <c r="BN88" i="31"/>
  <c r="CA88" i="31" s="1"/>
  <c r="BU88" i="31"/>
  <c r="BN89" i="31"/>
  <c r="BU89" i="31"/>
  <c r="CA89" i="31" s="1"/>
  <c r="CB89" i="31" s="1"/>
  <c r="BN90" i="31"/>
  <c r="CA90" i="31" s="1"/>
  <c r="BU90" i="31"/>
  <c r="BN91" i="31"/>
  <c r="BU91" i="31"/>
  <c r="CA91" i="31"/>
  <c r="BN92" i="31"/>
  <c r="CA92" i="31" s="1"/>
  <c r="BU92" i="31"/>
  <c r="BN93" i="31"/>
  <c r="BU93" i="31"/>
  <c r="CA93" i="31"/>
  <c r="BN94" i="31"/>
  <c r="CA94" i="31" s="1"/>
  <c r="BU94" i="31"/>
  <c r="BN95" i="31"/>
  <c r="BU95" i="31"/>
  <c r="CA95" i="31"/>
  <c r="BN96" i="31"/>
  <c r="BU96" i="31"/>
  <c r="BN97" i="31"/>
  <c r="BU97" i="31"/>
  <c r="CA97" i="31"/>
  <c r="BN98" i="31"/>
  <c r="CA98" i="31" s="1"/>
  <c r="BU98" i="31"/>
  <c r="BN101" i="31"/>
  <c r="BU101" i="31"/>
  <c r="CA101" i="31"/>
  <c r="BN102" i="31"/>
  <c r="BU102" i="31"/>
  <c r="BX102" i="31" s="1"/>
  <c r="BY102" i="31" s="1"/>
  <c r="BN103" i="31"/>
  <c r="BU103" i="31"/>
  <c r="CA103" i="31" s="1"/>
  <c r="CB103" i="31" s="1"/>
  <c r="BN104" i="31"/>
  <c r="CA104" i="31" s="1"/>
  <c r="BU104" i="31"/>
  <c r="BN105" i="31"/>
  <c r="BU105" i="31"/>
  <c r="CA105" i="31"/>
  <c r="BN106" i="31"/>
  <c r="BU106" i="31"/>
  <c r="BN107" i="31"/>
  <c r="BU107" i="31"/>
  <c r="BN108" i="31"/>
  <c r="CA108" i="31" s="1"/>
  <c r="BU108" i="31"/>
  <c r="BN109" i="31"/>
  <c r="BU109" i="31"/>
  <c r="CA109" i="31"/>
  <c r="BN110" i="31"/>
  <c r="BU110" i="31"/>
  <c r="BN111" i="31"/>
  <c r="BU111" i="31"/>
  <c r="CA111" i="31" s="1"/>
  <c r="CB111" i="31" s="1"/>
  <c r="BN112" i="31"/>
  <c r="CA112" i="31" s="1"/>
  <c r="CB112" i="31" s="1"/>
  <c r="BU112" i="31"/>
  <c r="BN113" i="31"/>
  <c r="BU113" i="31"/>
  <c r="CA113" i="31"/>
  <c r="BN114" i="31"/>
  <c r="CA114" i="31" s="1"/>
  <c r="BU114" i="31"/>
  <c r="BN115" i="31"/>
  <c r="BU115" i="31"/>
  <c r="CA115" i="31" s="1"/>
  <c r="CB115" i="31" s="1"/>
  <c r="BN116" i="31"/>
  <c r="CA116" i="31" s="1"/>
  <c r="BU116" i="31"/>
  <c r="BN117" i="31"/>
  <c r="BU117" i="31"/>
  <c r="CA117" i="31"/>
  <c r="BN118" i="31"/>
  <c r="BU118" i="31"/>
  <c r="BN119" i="31"/>
  <c r="BU119" i="31"/>
  <c r="CA119" i="31"/>
  <c r="BN121" i="31"/>
  <c r="CA121" i="31" s="1"/>
  <c r="BU121" i="31"/>
  <c r="BN122" i="31"/>
  <c r="BU122" i="31"/>
  <c r="CA122" i="31"/>
  <c r="BN123" i="31"/>
  <c r="BU123" i="31"/>
  <c r="BN124" i="31"/>
  <c r="BU124" i="31"/>
  <c r="CA124" i="31" s="1"/>
  <c r="CB124" i="31" s="1"/>
  <c r="BN125" i="31"/>
  <c r="CA125" i="31" s="1"/>
  <c r="BU125" i="31"/>
  <c r="BN126" i="31"/>
  <c r="BU126" i="31"/>
  <c r="CA126" i="31"/>
  <c r="BN127" i="31"/>
  <c r="BU127" i="31"/>
  <c r="BX127" i="31" s="1"/>
  <c r="BY127" i="31" s="1"/>
  <c r="BN128" i="31"/>
  <c r="BU128" i="31"/>
  <c r="CA128" i="31" s="1"/>
  <c r="CB128" i="31" s="1"/>
  <c r="BN129" i="31"/>
  <c r="CA129" i="31" s="1"/>
  <c r="BU129" i="31"/>
  <c r="BN130" i="31"/>
  <c r="BU130" i="31"/>
  <c r="CA130" i="31"/>
  <c r="BN131" i="31"/>
  <c r="BU131" i="31"/>
  <c r="BN132" i="31"/>
  <c r="BU132" i="31"/>
  <c r="BN133" i="31"/>
  <c r="CA133" i="31" s="1"/>
  <c r="BU133" i="31"/>
  <c r="BN134" i="31"/>
  <c r="BU134" i="31"/>
  <c r="CA134" i="31"/>
  <c r="BN135" i="31"/>
  <c r="BU135" i="31"/>
  <c r="BN136" i="31"/>
  <c r="BU136" i="31"/>
  <c r="CA136" i="31" s="1"/>
  <c r="CB136" i="31" s="1"/>
  <c r="BN137" i="31"/>
  <c r="CA137" i="31" s="1"/>
  <c r="CB137" i="31" s="1"/>
  <c r="BU137" i="31"/>
  <c r="BN138" i="31"/>
  <c r="BU138" i="31"/>
  <c r="CA138" i="31"/>
  <c r="BN139" i="31"/>
  <c r="CA139" i="31" s="1"/>
  <c r="BU139" i="31"/>
  <c r="BN140" i="31"/>
  <c r="BU140" i="31"/>
  <c r="CA140" i="31" s="1"/>
  <c r="CB140" i="31" s="1"/>
  <c r="BN141" i="31"/>
  <c r="BN142" i="31"/>
  <c r="BU142" i="31"/>
  <c r="CA142" i="31"/>
  <c r="CA143" i="31"/>
  <c r="AH146" i="31"/>
  <c r="AH149" i="31"/>
  <c r="AI151" i="31" s="1"/>
  <c r="DD150" i="31"/>
  <c r="CV14" i="31"/>
  <c r="CV18" i="31"/>
  <c r="CV19" i="31"/>
  <c r="CV20" i="31"/>
  <c r="CV21" i="31"/>
  <c r="CV22" i="31"/>
  <c r="CV23" i="31"/>
  <c r="CV24" i="31"/>
  <c r="CV26" i="31"/>
  <c r="CV27" i="31"/>
  <c r="CV29" i="31"/>
  <c r="CV30" i="31"/>
  <c r="CV31" i="31"/>
  <c r="CV32" i="31"/>
  <c r="CV35" i="31"/>
  <c r="CV36" i="31"/>
  <c r="CV39" i="31"/>
  <c r="CV43" i="31"/>
  <c r="CV44" i="31"/>
  <c r="CV45" i="31"/>
  <c r="CV46" i="31"/>
  <c r="CV47" i="31"/>
  <c r="CV48" i="31"/>
  <c r="CV49" i="31"/>
  <c r="CW49" i="31" s="1"/>
  <c r="CV51" i="31"/>
  <c r="CV53" i="31"/>
  <c r="CV55" i="31"/>
  <c r="CV57" i="31"/>
  <c r="CV60" i="31"/>
  <c r="CV61" i="31"/>
  <c r="CV62" i="31"/>
  <c r="CV63" i="31"/>
  <c r="CW63" i="31" s="1"/>
  <c r="CV64" i="31"/>
  <c r="CV65" i="31"/>
  <c r="CV70" i="31"/>
  <c r="CV71" i="31"/>
  <c r="CV72" i="31"/>
  <c r="CV74" i="31"/>
  <c r="CV75" i="31"/>
  <c r="CW75" i="31" s="1"/>
  <c r="CV76" i="31"/>
  <c r="CV77" i="31"/>
  <c r="CV78" i="31"/>
  <c r="CV79" i="31"/>
  <c r="CV80" i="31"/>
  <c r="CV81" i="31"/>
  <c r="CV82" i="31"/>
  <c r="CV83" i="31"/>
  <c r="CV85" i="31"/>
  <c r="CV86" i="31"/>
  <c r="CV87" i="31"/>
  <c r="CW87" i="31" s="1"/>
  <c r="CV88" i="31"/>
  <c r="CV89" i="31"/>
  <c r="CV91" i="31"/>
  <c r="CV92" i="31"/>
  <c r="CV93" i="31"/>
  <c r="CV94" i="31"/>
  <c r="CV95" i="31"/>
  <c r="CV97" i="31"/>
  <c r="CV98" i="31"/>
  <c r="CV101" i="31"/>
  <c r="CW101" i="31" s="1"/>
  <c r="CV102" i="31"/>
  <c r="CV103" i="31"/>
  <c r="CV104" i="31"/>
  <c r="CV106" i="31"/>
  <c r="CV107" i="31"/>
  <c r="CV109" i="31"/>
  <c r="CV112" i="31"/>
  <c r="CV113" i="31"/>
  <c r="CV116" i="31"/>
  <c r="CV117" i="31"/>
  <c r="CV118" i="31"/>
  <c r="CV119" i="31"/>
  <c r="CV120" i="31"/>
  <c r="CV121" i="31"/>
  <c r="CV122" i="31"/>
  <c r="CV123" i="31"/>
  <c r="CV124" i="31"/>
  <c r="CV125" i="31"/>
  <c r="CV127" i="31"/>
  <c r="CV128" i="31"/>
  <c r="CV130" i="31"/>
  <c r="CV131" i="31"/>
  <c r="CV132" i="31"/>
  <c r="CV133" i="31"/>
  <c r="CV134" i="31"/>
  <c r="CV135" i="31"/>
  <c r="CV137" i="31"/>
  <c r="CV138" i="31"/>
  <c r="CV139" i="31"/>
  <c r="CV140" i="31"/>
  <c r="CV143" i="31"/>
  <c r="CO14" i="31"/>
  <c r="CO15" i="31"/>
  <c r="CO16" i="31"/>
  <c r="CO17" i="31"/>
  <c r="CO18" i="31"/>
  <c r="CO19" i="31"/>
  <c r="CO20" i="31"/>
  <c r="CO21" i="31"/>
  <c r="CO22" i="31"/>
  <c r="CO23" i="31"/>
  <c r="CO24" i="31"/>
  <c r="CO25" i="31"/>
  <c r="CO26" i="31"/>
  <c r="CO27" i="31"/>
  <c r="CO28" i="31"/>
  <c r="CO29" i="31"/>
  <c r="CO30" i="31"/>
  <c r="CO31" i="31"/>
  <c r="CO32" i="31"/>
  <c r="CO33" i="31"/>
  <c r="CO34" i="31"/>
  <c r="CO35" i="31"/>
  <c r="CO36" i="31"/>
  <c r="CO37" i="31"/>
  <c r="CO38" i="31"/>
  <c r="CO39" i="31"/>
  <c r="CO40" i="31"/>
  <c r="CO41" i="31"/>
  <c r="CO42" i="31"/>
  <c r="CO43" i="31"/>
  <c r="CO44" i="31"/>
  <c r="CO45" i="31"/>
  <c r="CO46" i="31"/>
  <c r="CO47" i="31"/>
  <c r="CO48" i="31"/>
  <c r="CO49" i="31"/>
  <c r="CO51" i="31"/>
  <c r="CO52" i="31"/>
  <c r="CO53" i="31"/>
  <c r="CO54" i="31"/>
  <c r="CO55" i="31"/>
  <c r="CO56" i="31"/>
  <c r="CO57" i="31"/>
  <c r="CO58" i="31"/>
  <c r="CO60" i="31"/>
  <c r="CO61" i="31"/>
  <c r="CO62" i="31"/>
  <c r="CO63" i="31"/>
  <c r="CO64" i="31"/>
  <c r="CO65" i="31"/>
  <c r="CO66" i="31"/>
  <c r="CO67" i="31"/>
  <c r="CO68" i="31"/>
  <c r="CO69" i="31"/>
  <c r="CO70" i="31"/>
  <c r="CO71" i="31"/>
  <c r="CO72" i="31"/>
  <c r="CO73" i="31"/>
  <c r="CO74" i="31"/>
  <c r="CO75" i="31"/>
  <c r="CO76" i="31"/>
  <c r="CO77" i="31"/>
  <c r="CO78" i="31"/>
  <c r="CO79" i="31"/>
  <c r="CO80" i="31"/>
  <c r="CO81" i="31"/>
  <c r="CO82" i="31"/>
  <c r="CO83" i="31"/>
  <c r="CO84" i="31"/>
  <c r="CO85" i="31"/>
  <c r="CO86" i="31"/>
  <c r="CO87" i="31"/>
  <c r="CO88" i="31"/>
  <c r="CO89" i="31"/>
  <c r="CO90" i="31"/>
  <c r="CO91" i="31"/>
  <c r="CO92" i="31"/>
  <c r="CO93" i="31"/>
  <c r="CO94" i="31"/>
  <c r="CO95" i="31"/>
  <c r="CO96" i="31"/>
  <c r="CO97" i="31"/>
  <c r="CO98" i="31"/>
  <c r="CO101" i="31"/>
  <c r="CO102" i="31"/>
  <c r="CO103" i="31"/>
  <c r="CO104" i="31"/>
  <c r="CO105" i="31"/>
  <c r="CO106" i="31"/>
  <c r="CO107" i="31"/>
  <c r="CO108" i="31"/>
  <c r="CO109" i="31"/>
  <c r="CO110" i="31"/>
  <c r="CO111" i="31"/>
  <c r="CO112" i="31"/>
  <c r="CO113" i="31"/>
  <c r="CO114" i="31"/>
  <c r="CO115" i="31"/>
  <c r="CO116" i="31"/>
  <c r="CO117" i="31"/>
  <c r="CO118" i="31"/>
  <c r="CO119" i="31"/>
  <c r="CO120" i="31"/>
  <c r="CO121" i="31"/>
  <c r="CO122" i="31"/>
  <c r="CO123" i="31"/>
  <c r="CO124" i="31"/>
  <c r="CO125" i="31"/>
  <c r="CO126" i="31"/>
  <c r="CO127" i="31"/>
  <c r="CO128" i="31"/>
  <c r="CO129" i="31"/>
  <c r="CO130" i="31"/>
  <c r="CO131" i="31"/>
  <c r="CO132" i="31"/>
  <c r="CO133" i="31"/>
  <c r="CO134" i="31"/>
  <c r="CO135" i="31"/>
  <c r="CO136" i="31"/>
  <c r="CO137" i="31"/>
  <c r="CO138" i="31"/>
  <c r="CO139" i="31"/>
  <c r="CO140" i="31"/>
  <c r="CO141" i="31"/>
  <c r="CO142" i="31"/>
  <c r="CO143" i="31"/>
  <c r="CM150" i="31"/>
  <c r="CB14" i="31"/>
  <c r="CB16" i="31"/>
  <c r="CB17" i="31"/>
  <c r="CB18" i="31"/>
  <c r="CB19" i="31"/>
  <c r="CB20" i="31"/>
  <c r="CB21" i="31"/>
  <c r="CB23" i="31"/>
  <c r="CB24" i="31"/>
  <c r="CB25" i="31"/>
  <c r="CB28" i="31"/>
  <c r="CB29" i="31"/>
  <c r="CB32" i="31"/>
  <c r="CB33" i="31"/>
  <c r="CB37" i="31"/>
  <c r="CB38" i="31"/>
  <c r="CB40" i="31"/>
  <c r="CB41" i="31"/>
  <c r="CB42" i="31"/>
  <c r="CB43" i="31"/>
  <c r="CB44" i="31"/>
  <c r="CB45" i="31"/>
  <c r="CB47" i="31"/>
  <c r="CB48" i="31"/>
  <c r="CB49" i="31"/>
  <c r="CB53" i="31"/>
  <c r="CB54" i="31"/>
  <c r="CB57" i="31"/>
  <c r="CB58" i="31"/>
  <c r="CB63" i="31"/>
  <c r="CB64" i="31"/>
  <c r="CB66" i="31"/>
  <c r="CB67" i="31"/>
  <c r="CB68" i="31"/>
  <c r="CB69" i="31"/>
  <c r="CB70" i="31"/>
  <c r="CB71" i="31"/>
  <c r="CB73" i="31"/>
  <c r="CB74" i="31"/>
  <c r="CB75" i="31"/>
  <c r="CB78" i="31"/>
  <c r="CB79" i="31"/>
  <c r="CB82" i="31"/>
  <c r="CB87" i="31"/>
  <c r="CB88" i="31"/>
  <c r="CB90" i="31"/>
  <c r="CB91" i="31"/>
  <c r="CB92" i="31"/>
  <c r="CB93" i="31"/>
  <c r="CB94" i="31"/>
  <c r="CB95" i="31"/>
  <c r="CB97" i="31"/>
  <c r="CB98" i="31"/>
  <c r="CB101" i="31"/>
  <c r="CB104" i="31"/>
  <c r="CB105" i="31"/>
  <c r="CB108" i="31"/>
  <c r="CB109" i="31"/>
  <c r="CB113" i="31"/>
  <c r="CB114" i="31"/>
  <c r="CB116" i="31"/>
  <c r="CB117" i="31"/>
  <c r="CB119" i="31"/>
  <c r="CB121" i="31"/>
  <c r="CB122" i="31"/>
  <c r="CB126" i="31"/>
  <c r="CB129" i="31"/>
  <c r="CB130" i="31"/>
  <c r="CB133" i="31"/>
  <c r="CB134" i="31"/>
  <c r="CB139" i="31"/>
  <c r="CB142" i="31"/>
  <c r="CB143" i="31"/>
  <c r="CG14" i="31"/>
  <c r="CG15" i="31"/>
  <c r="CG16" i="31"/>
  <c r="CG17" i="31"/>
  <c r="CG18" i="31"/>
  <c r="CG19" i="31"/>
  <c r="CG20" i="31"/>
  <c r="CG21" i="31"/>
  <c r="CG22" i="31"/>
  <c r="CG23" i="31"/>
  <c r="CG24" i="31"/>
  <c r="CG25" i="31"/>
  <c r="CG26" i="31"/>
  <c r="CG27" i="31"/>
  <c r="CG28" i="31"/>
  <c r="CG29" i="31"/>
  <c r="CG30" i="31"/>
  <c r="CG31" i="31"/>
  <c r="CG32" i="31"/>
  <c r="CG33" i="31"/>
  <c r="CG34" i="31"/>
  <c r="CG35" i="31"/>
  <c r="CG36" i="31"/>
  <c r="CG37" i="31"/>
  <c r="CG38" i="31"/>
  <c r="CG39" i="31"/>
  <c r="CG40" i="31"/>
  <c r="CG42" i="31"/>
  <c r="CG43" i="31"/>
  <c r="CG44" i="31"/>
  <c r="CG45" i="31"/>
  <c r="CG46" i="31"/>
  <c r="CG47" i="31"/>
  <c r="CH47" i="31" s="1"/>
  <c r="CG48" i="31"/>
  <c r="CG49" i="31"/>
  <c r="CG51" i="31"/>
  <c r="CG52" i="31"/>
  <c r="CG53" i="31"/>
  <c r="CG54" i="31"/>
  <c r="CG55" i="31"/>
  <c r="CG56" i="31"/>
  <c r="CG57" i="31"/>
  <c r="CG58" i="31"/>
  <c r="CG60" i="31"/>
  <c r="CG61" i="31"/>
  <c r="CH61" i="31" s="1"/>
  <c r="CG62" i="31"/>
  <c r="CG63" i="31"/>
  <c r="CG64" i="31"/>
  <c r="CG65" i="31"/>
  <c r="CG66" i="31"/>
  <c r="CG67" i="31"/>
  <c r="CG68" i="31"/>
  <c r="CG69" i="31"/>
  <c r="CG70" i="31"/>
  <c r="CG71" i="31"/>
  <c r="CG72" i="31"/>
  <c r="CG73" i="31"/>
  <c r="CG74" i="31"/>
  <c r="CG75" i="31"/>
  <c r="CG76" i="31"/>
  <c r="CG77" i="31"/>
  <c r="CG78" i="31"/>
  <c r="CG79" i="31"/>
  <c r="CG80" i="31"/>
  <c r="CG81" i="31"/>
  <c r="CG82" i="31"/>
  <c r="CG83" i="31"/>
  <c r="CG84" i="31"/>
  <c r="CG85" i="31"/>
  <c r="CH85" i="31" s="1"/>
  <c r="CG86" i="31"/>
  <c r="CG87" i="31"/>
  <c r="CG88" i="31"/>
  <c r="CG89" i="31"/>
  <c r="CG90" i="31"/>
  <c r="CG91" i="31"/>
  <c r="CG92" i="31"/>
  <c r="CG93" i="31"/>
  <c r="CG94" i="31"/>
  <c r="CG95" i="31"/>
  <c r="CG96" i="31"/>
  <c r="CG97" i="31"/>
  <c r="CH97" i="31" s="1"/>
  <c r="CG98" i="31"/>
  <c r="CG101" i="31"/>
  <c r="CG102" i="31"/>
  <c r="CG103" i="31"/>
  <c r="CG104" i="31"/>
  <c r="CG105" i="31"/>
  <c r="CG106" i="31"/>
  <c r="CG107" i="31"/>
  <c r="CG108" i="31"/>
  <c r="CG109" i="31"/>
  <c r="CG110" i="31"/>
  <c r="CG111" i="31"/>
  <c r="CH111" i="31" s="1"/>
  <c r="CG112" i="31"/>
  <c r="CG113" i="31"/>
  <c r="CG114" i="31"/>
  <c r="CG115" i="31"/>
  <c r="CG116" i="31"/>
  <c r="CG117" i="31"/>
  <c r="CG118" i="31"/>
  <c r="CG119" i="31"/>
  <c r="CG120" i="31"/>
  <c r="CG121" i="31"/>
  <c r="CG122" i="31"/>
  <c r="CG123" i="31"/>
  <c r="CH123" i="31" s="1"/>
  <c r="CG124" i="31"/>
  <c r="CG125" i="31"/>
  <c r="CG126" i="31"/>
  <c r="CG127" i="31"/>
  <c r="CG128" i="31"/>
  <c r="CG129" i="31"/>
  <c r="CG130" i="31"/>
  <c r="CG131" i="31"/>
  <c r="CG132" i="31"/>
  <c r="CG133" i="31"/>
  <c r="CG134" i="31"/>
  <c r="CG135" i="31"/>
  <c r="CH135" i="31" s="1"/>
  <c r="CG136" i="31"/>
  <c r="CG137" i="31"/>
  <c r="CG138" i="31"/>
  <c r="CG139" i="31"/>
  <c r="CG140" i="31"/>
  <c r="CG141" i="31"/>
  <c r="CG142" i="31"/>
  <c r="CG143" i="31"/>
  <c r="CE14" i="31"/>
  <c r="CE149" i="31" s="1"/>
  <c r="DL149" i="31"/>
  <c r="DN149" i="31" s="1"/>
  <c r="DM149" i="31"/>
  <c r="DD149" i="31"/>
  <c r="AH14" i="31"/>
  <c r="CW14" i="31" s="1"/>
  <c r="AH15" i="31"/>
  <c r="AH16" i="31"/>
  <c r="AH17" i="31"/>
  <c r="AH18" i="31"/>
  <c r="CW18" i="31" s="1"/>
  <c r="AH19" i="31"/>
  <c r="CW19" i="31"/>
  <c r="AH20" i="31"/>
  <c r="CW20" i="31" s="1"/>
  <c r="AH21" i="31"/>
  <c r="CW21" i="31" s="1"/>
  <c r="AH22" i="31"/>
  <c r="CW22" i="31" s="1"/>
  <c r="AH23" i="31"/>
  <c r="CW23" i="31" s="1"/>
  <c r="AH24" i="31"/>
  <c r="CW24" i="31" s="1"/>
  <c r="AH25" i="31"/>
  <c r="AH26" i="31"/>
  <c r="CW26" i="31" s="1"/>
  <c r="AH27" i="31"/>
  <c r="CW27" i="31" s="1"/>
  <c r="AH28" i="31"/>
  <c r="CW28" i="31" s="1"/>
  <c r="AH29" i="31"/>
  <c r="CW29" i="31" s="1"/>
  <c r="AH30" i="31"/>
  <c r="CW30" i="31" s="1"/>
  <c r="AH31" i="31"/>
  <c r="CW31" i="31"/>
  <c r="AH32" i="31"/>
  <c r="CW32" i="31" s="1"/>
  <c r="AH33" i="31"/>
  <c r="AH34" i="31"/>
  <c r="AH35" i="31"/>
  <c r="CW35" i="31" s="1"/>
  <c r="AH36" i="31"/>
  <c r="CW36" i="31" s="1"/>
  <c r="AH37" i="31"/>
  <c r="AH38" i="31"/>
  <c r="AH39" i="31"/>
  <c r="CW39" i="31" s="1"/>
  <c r="AH40" i="31"/>
  <c r="CW40" i="31" s="1"/>
  <c r="AH41" i="31"/>
  <c r="AH42" i="31"/>
  <c r="AH43" i="31"/>
  <c r="CW43" i="31"/>
  <c r="AH44" i="31"/>
  <c r="CW44" i="31" s="1"/>
  <c r="AH45" i="31"/>
  <c r="CW45" i="31" s="1"/>
  <c r="AH46" i="31"/>
  <c r="CW47" i="31"/>
  <c r="AH48" i="31"/>
  <c r="CW48" i="31"/>
  <c r="AH49" i="31"/>
  <c r="CW51" i="31"/>
  <c r="AH52" i="31"/>
  <c r="AH53" i="31"/>
  <c r="CW53" i="31" s="1"/>
  <c r="AH54" i="31"/>
  <c r="AH55" i="31"/>
  <c r="CW55" i="31" s="1"/>
  <c r="AH56" i="31"/>
  <c r="AH57" i="31"/>
  <c r="CW57" i="31"/>
  <c r="AH58" i="31"/>
  <c r="AH60" i="31"/>
  <c r="CW60" i="31" s="1"/>
  <c r="AH61" i="31"/>
  <c r="CW61" i="31" s="1"/>
  <c r="AH62" i="31"/>
  <c r="CW62" i="31" s="1"/>
  <c r="AH63" i="31"/>
  <c r="AH64" i="31"/>
  <c r="CW64" i="31"/>
  <c r="AH65" i="31"/>
  <c r="CW65" i="31" s="1"/>
  <c r="AH66" i="31"/>
  <c r="AH67" i="31"/>
  <c r="AH68" i="31"/>
  <c r="AH69" i="31"/>
  <c r="AH70" i="31"/>
  <c r="CW70" i="31"/>
  <c r="AH71" i="31"/>
  <c r="CW71" i="31" s="1"/>
  <c r="AH72" i="31"/>
  <c r="CW72" i="31" s="1"/>
  <c r="AH73" i="31"/>
  <c r="AH74" i="31"/>
  <c r="CW74" i="31" s="1"/>
  <c r="AH75" i="31"/>
  <c r="AH76" i="31"/>
  <c r="CW76" i="31"/>
  <c r="AH77" i="31"/>
  <c r="CW77" i="31" s="1"/>
  <c r="AH78" i="31"/>
  <c r="CW78" i="31" s="1"/>
  <c r="AH79" i="31"/>
  <c r="AH80" i="31"/>
  <c r="CW80" i="31" s="1"/>
  <c r="AH81" i="31"/>
  <c r="CW81" i="31" s="1"/>
  <c r="AH82" i="31"/>
  <c r="CW82" i="31"/>
  <c r="AH83" i="31"/>
  <c r="CW83" i="31" s="1"/>
  <c r="AH84" i="31"/>
  <c r="AH85" i="31"/>
  <c r="CW85" i="31" s="1"/>
  <c r="AH86" i="31"/>
  <c r="CW86" i="31" s="1"/>
  <c r="AH87" i="31"/>
  <c r="AH88" i="31"/>
  <c r="CW88" i="31"/>
  <c r="AH89" i="31"/>
  <c r="CW89" i="31" s="1"/>
  <c r="AH90" i="31"/>
  <c r="AH91" i="31"/>
  <c r="CW91" i="31" s="1"/>
  <c r="AH92" i="31"/>
  <c r="CW92" i="31" s="1"/>
  <c r="AH93" i="31"/>
  <c r="CW93" i="31" s="1"/>
  <c r="AH94" i="31"/>
  <c r="CW94" i="31"/>
  <c r="AH95" i="31"/>
  <c r="CW95" i="31" s="1"/>
  <c r="AH96" i="31"/>
  <c r="AH97" i="31"/>
  <c r="CW97" i="31" s="1"/>
  <c r="AH98" i="31"/>
  <c r="CW98" i="31" s="1"/>
  <c r="AH99" i="31"/>
  <c r="CW99" i="31" s="1"/>
  <c r="AH100" i="31"/>
  <c r="CW100" i="31"/>
  <c r="AH101" i="31"/>
  <c r="AH102" i="31"/>
  <c r="CW102" i="31" s="1"/>
  <c r="AH103" i="31"/>
  <c r="CW103" i="31" s="1"/>
  <c r="AH104" i="31"/>
  <c r="CW104" i="31" s="1"/>
  <c r="AH105" i="31"/>
  <c r="AH106" i="31"/>
  <c r="CW106" i="31"/>
  <c r="AH107" i="31"/>
  <c r="CW107" i="31" s="1"/>
  <c r="AH108" i="31"/>
  <c r="AH109" i="31"/>
  <c r="CW109" i="31" s="1"/>
  <c r="AH110" i="31"/>
  <c r="AH111" i="31"/>
  <c r="AH112" i="31"/>
  <c r="CW112" i="31"/>
  <c r="AH113" i="31"/>
  <c r="CW113" i="31" s="1"/>
  <c r="AH114" i="31"/>
  <c r="AH115" i="31"/>
  <c r="AH116" i="31"/>
  <c r="CW116" i="31" s="1"/>
  <c r="AH117" i="31"/>
  <c r="CW117" i="31" s="1"/>
  <c r="AH118" i="31"/>
  <c r="CW118" i="31"/>
  <c r="AH119" i="31"/>
  <c r="CW119" i="31" s="1"/>
  <c r="CW120" i="31"/>
  <c r="AH121" i="31"/>
  <c r="CW121" i="31"/>
  <c r="AH122" i="31"/>
  <c r="CW122" i="31"/>
  <c r="AH123" i="31"/>
  <c r="CW123" i="31"/>
  <c r="AH124" i="31"/>
  <c r="CW124" i="31"/>
  <c r="AH125" i="31"/>
  <c r="CW125" i="31"/>
  <c r="AH126" i="31"/>
  <c r="AH127" i="31"/>
  <c r="CW127" i="31"/>
  <c r="AH128" i="31"/>
  <c r="CW128" i="31"/>
  <c r="AH129" i="31"/>
  <c r="AH130" i="31"/>
  <c r="CW130" i="31"/>
  <c r="AH131" i="31"/>
  <c r="CW131" i="31"/>
  <c r="AH132" i="31"/>
  <c r="CW132" i="31"/>
  <c r="AH133" i="31"/>
  <c r="CW133" i="31"/>
  <c r="AH134" i="31"/>
  <c r="CW134" i="31"/>
  <c r="AH135" i="31"/>
  <c r="CW135" i="31"/>
  <c r="AH136" i="31"/>
  <c r="CW137" i="31"/>
  <c r="AH138" i="31"/>
  <c r="CW138" i="31" s="1"/>
  <c r="AH139" i="31"/>
  <c r="AH140" i="31"/>
  <c r="CW140" i="31" s="1"/>
  <c r="AH141" i="31"/>
  <c r="AH142" i="31"/>
  <c r="AH143" i="31"/>
  <c r="CW143" i="31"/>
  <c r="Z50" i="31"/>
  <c r="AG50" i="31"/>
  <c r="AH50" i="31"/>
  <c r="AH59" i="31"/>
  <c r="CM149" i="31"/>
  <c r="AD149" i="31"/>
  <c r="AC149" i="31"/>
  <c r="DL148" i="31"/>
  <c r="DN148" i="31" s="1"/>
  <c r="DM148" i="31"/>
  <c r="DD148" i="31"/>
  <c r="CM148" i="31"/>
  <c r="CN148" i="31"/>
  <c r="BW14" i="31"/>
  <c r="BX14" i="31"/>
  <c r="BW15" i="31"/>
  <c r="BW16" i="31"/>
  <c r="BX16" i="31"/>
  <c r="BY16" i="31"/>
  <c r="BW17" i="31"/>
  <c r="BW18" i="31"/>
  <c r="BX18" i="31"/>
  <c r="BY18" i="31" s="1"/>
  <c r="BW19" i="31"/>
  <c r="BX19" i="31" s="1"/>
  <c r="BY19" i="31" s="1"/>
  <c r="BW20" i="31"/>
  <c r="BX20" i="31"/>
  <c r="BY20" i="31"/>
  <c r="BW21" i="31"/>
  <c r="BX21" i="31" s="1"/>
  <c r="BY21" i="31" s="1"/>
  <c r="BW22" i="31"/>
  <c r="BX22" i="31"/>
  <c r="BY22" i="31" s="1"/>
  <c r="BW23" i="31"/>
  <c r="BX23" i="31" s="1"/>
  <c r="BY23" i="31" s="1"/>
  <c r="BW24" i="31"/>
  <c r="BX24" i="31"/>
  <c r="BY24" i="31"/>
  <c r="BW25" i="31"/>
  <c r="BW26" i="31"/>
  <c r="BX26" i="31"/>
  <c r="BY26" i="31" s="1"/>
  <c r="BW27" i="31"/>
  <c r="BX27" i="31" s="1"/>
  <c r="BY27" i="31" s="1"/>
  <c r="BW28" i="31"/>
  <c r="BX28" i="31"/>
  <c r="BY28" i="31"/>
  <c r="BW29" i="31"/>
  <c r="BX29" i="31" s="1"/>
  <c r="BY29" i="31" s="1"/>
  <c r="BW30" i="31"/>
  <c r="BX30" i="31"/>
  <c r="BY30" i="31" s="1"/>
  <c r="BW31" i="31"/>
  <c r="BW32" i="31"/>
  <c r="BX32" i="31"/>
  <c r="BY32" i="31" s="1"/>
  <c r="BW33" i="31"/>
  <c r="BW34" i="31"/>
  <c r="BW35" i="31"/>
  <c r="BX35" i="31" s="1"/>
  <c r="BY35" i="31" s="1"/>
  <c r="BW36" i="31"/>
  <c r="BX36" i="31"/>
  <c r="BY36" i="31" s="1"/>
  <c r="BW37" i="31"/>
  <c r="BW38" i="31"/>
  <c r="BX38" i="31"/>
  <c r="BY38" i="31" s="1"/>
  <c r="BW39" i="31"/>
  <c r="BX39" i="31" s="1"/>
  <c r="BY39" i="31" s="1"/>
  <c r="BW40" i="31"/>
  <c r="BX40" i="31"/>
  <c r="BY40" i="31" s="1"/>
  <c r="BW41" i="31"/>
  <c r="BW42" i="31"/>
  <c r="BW43" i="31"/>
  <c r="BX43" i="31" s="1"/>
  <c r="BY43" i="31" s="1"/>
  <c r="BW44" i="31"/>
  <c r="BX44" i="31"/>
  <c r="BY44" i="31" s="1"/>
  <c r="BW45" i="31"/>
  <c r="BX45" i="31" s="1"/>
  <c r="BY45" i="31" s="1"/>
  <c r="BW46" i="31"/>
  <c r="BX46" i="31"/>
  <c r="BY46" i="31" s="1"/>
  <c r="BW47" i="31"/>
  <c r="BX47" i="31" s="1"/>
  <c r="BY47" i="31" s="1"/>
  <c r="BW48" i="31"/>
  <c r="BX48" i="31"/>
  <c r="BY48" i="31" s="1"/>
  <c r="BW49" i="31"/>
  <c r="BX49" i="31" s="1"/>
  <c r="BY49" i="31"/>
  <c r="BU50" i="31"/>
  <c r="BW50" i="31"/>
  <c r="BX50" i="31" s="1"/>
  <c r="BY50" i="31" s="1"/>
  <c r="BW51" i="31"/>
  <c r="BW52" i="31"/>
  <c r="BW53" i="31"/>
  <c r="BX53" i="31"/>
  <c r="BY53" i="31" s="1"/>
  <c r="BW54" i="31"/>
  <c r="BX54" i="31" s="1"/>
  <c r="BY54" i="31" s="1"/>
  <c r="BW55" i="31"/>
  <c r="BX55" i="31"/>
  <c r="BY55" i="31" s="1"/>
  <c r="BW56" i="31"/>
  <c r="BW57" i="31"/>
  <c r="BX57" i="31"/>
  <c r="BY57" i="31" s="1"/>
  <c r="BW58" i="31"/>
  <c r="BW60" i="31"/>
  <c r="BX60" i="31"/>
  <c r="BY60" i="31" s="1"/>
  <c r="BW61" i="31"/>
  <c r="BX61" i="31" s="1"/>
  <c r="BY61" i="31" s="1"/>
  <c r="BW62" i="31"/>
  <c r="BX62" i="31"/>
  <c r="BY62" i="31" s="1"/>
  <c r="BW63" i="31"/>
  <c r="BX63" i="31" s="1"/>
  <c r="BY63" i="31" s="1"/>
  <c r="BW64" i="31"/>
  <c r="BX64" i="31"/>
  <c r="BY64" i="31" s="1"/>
  <c r="BW65" i="31"/>
  <c r="BX65" i="31" s="1"/>
  <c r="BY65" i="31" s="1"/>
  <c r="BW66" i="31"/>
  <c r="BW67" i="31"/>
  <c r="BX67" i="31" s="1"/>
  <c r="BY67" i="31" s="1"/>
  <c r="BW68" i="31"/>
  <c r="BW69" i="31"/>
  <c r="BW70" i="31"/>
  <c r="BX70" i="31"/>
  <c r="BY70" i="31" s="1"/>
  <c r="BW71" i="31"/>
  <c r="BX71" i="31" s="1"/>
  <c r="BY71" i="31" s="1"/>
  <c r="BW72" i="31"/>
  <c r="BX72" i="31"/>
  <c r="BY72" i="31" s="1"/>
  <c r="BW73" i="31"/>
  <c r="BX73" i="31" s="1"/>
  <c r="BY73" i="31" s="1"/>
  <c r="BW74" i="31"/>
  <c r="BX74" i="31"/>
  <c r="BY74" i="31" s="1"/>
  <c r="BW75" i="31"/>
  <c r="BW76" i="31"/>
  <c r="BW77" i="31"/>
  <c r="BX77" i="31" s="1"/>
  <c r="BY77" i="31" s="1"/>
  <c r="BW78" i="31"/>
  <c r="BX78" i="31"/>
  <c r="BY78" i="31" s="1"/>
  <c r="BW79" i="31"/>
  <c r="BX79" i="31" s="1"/>
  <c r="BY79" i="31" s="1"/>
  <c r="BW80" i="31"/>
  <c r="BX80" i="31"/>
  <c r="BY80" i="31" s="1"/>
  <c r="BW81" i="31"/>
  <c r="BW82" i="31"/>
  <c r="BX82" i="31"/>
  <c r="BY82" i="31" s="1"/>
  <c r="BW83" i="31"/>
  <c r="BX83" i="31" s="1"/>
  <c r="BY83" i="31" s="1"/>
  <c r="BW84" i="31"/>
  <c r="BW85" i="31"/>
  <c r="BX85" i="31" s="1"/>
  <c r="BY85" i="31" s="1"/>
  <c r="BW86" i="31"/>
  <c r="BX86" i="31"/>
  <c r="BY86" i="31" s="1"/>
  <c r="BW87" i="31"/>
  <c r="BW88" i="31"/>
  <c r="BX88" i="31"/>
  <c r="BY88" i="31" s="1"/>
  <c r="BW89" i="31"/>
  <c r="BX89" i="31" s="1"/>
  <c r="BY89" i="31" s="1"/>
  <c r="BW90" i="31"/>
  <c r="BW91" i="31"/>
  <c r="BX91" i="31" s="1"/>
  <c r="BY91" i="31" s="1"/>
  <c r="BW92" i="31"/>
  <c r="BW93" i="31"/>
  <c r="BX93" i="31" s="1"/>
  <c r="BY93" i="31" s="1"/>
  <c r="BW94" i="31"/>
  <c r="BX94" i="31"/>
  <c r="BY94" i="31" s="1"/>
  <c r="BW95" i="31"/>
  <c r="BX95" i="31" s="1"/>
  <c r="BY95" i="31" s="1"/>
  <c r="BW96" i="31"/>
  <c r="BW97" i="31"/>
  <c r="BX97" i="31" s="1"/>
  <c r="BY97" i="31"/>
  <c r="BW98" i="31"/>
  <c r="BX98" i="31"/>
  <c r="BY98" i="31" s="1"/>
  <c r="BW101" i="31"/>
  <c r="BX101" i="31" s="1"/>
  <c r="BY101" i="31"/>
  <c r="BW102" i="31"/>
  <c r="BW103" i="31"/>
  <c r="BX103" i="31" s="1"/>
  <c r="BY103" i="31" s="1"/>
  <c r="BW104" i="31"/>
  <c r="BX104" i="31"/>
  <c r="BY104" i="31" s="1"/>
  <c r="BW105" i="31"/>
  <c r="BX105" i="31" s="1"/>
  <c r="BY105" i="31" s="1"/>
  <c r="BW106" i="31"/>
  <c r="BX106" i="31"/>
  <c r="BY106" i="31" s="1"/>
  <c r="BW107" i="31"/>
  <c r="BW108" i="31"/>
  <c r="BW109" i="31"/>
  <c r="BX109" i="31" s="1"/>
  <c r="BY109" i="31" s="1"/>
  <c r="BW110" i="31"/>
  <c r="BW111" i="31"/>
  <c r="BX111" i="31" s="1"/>
  <c r="BY111" i="31"/>
  <c r="BW112" i="31"/>
  <c r="BX112" i="31"/>
  <c r="BY112" i="31" s="1"/>
  <c r="BW113" i="31"/>
  <c r="BX113" i="31" s="1"/>
  <c r="BY113" i="31"/>
  <c r="BW114" i="31"/>
  <c r="BW115" i="31"/>
  <c r="BW116" i="31"/>
  <c r="BX116" i="31"/>
  <c r="BY116" i="31" s="1"/>
  <c r="BW117" i="31"/>
  <c r="BX117" i="31" s="1"/>
  <c r="BY117" i="31" s="1"/>
  <c r="BW118" i="31"/>
  <c r="BX118" i="31"/>
  <c r="BY118" i="31" s="1"/>
  <c r="BW119" i="31"/>
  <c r="BX119" i="31" s="1"/>
  <c r="BY119" i="31" s="1"/>
  <c r="BW121" i="31"/>
  <c r="BX121" i="31"/>
  <c r="BY121" i="31" s="1"/>
  <c r="BW122" i="31"/>
  <c r="BX122" i="31" s="1"/>
  <c r="BY122" i="31" s="1"/>
  <c r="BW123" i="31"/>
  <c r="BX123" i="31"/>
  <c r="BY123" i="31" s="1"/>
  <c r="BW124" i="31"/>
  <c r="BX124" i="31" s="1"/>
  <c r="BY124" i="31" s="1"/>
  <c r="BW125" i="31"/>
  <c r="BX125" i="31"/>
  <c r="BY125" i="31" s="1"/>
  <c r="BW126" i="31"/>
  <c r="BX126" i="31" s="1"/>
  <c r="BY126" i="31" s="1"/>
  <c r="BW127" i="31"/>
  <c r="BW128" i="31"/>
  <c r="BX128" i="31" s="1"/>
  <c r="BY128" i="31"/>
  <c r="BW129" i="31"/>
  <c r="BW130" i="31"/>
  <c r="BX130" i="31" s="1"/>
  <c r="BY130" i="31"/>
  <c r="BW131" i="31"/>
  <c r="BX131" i="31"/>
  <c r="BY131" i="31" s="1"/>
  <c r="BW133" i="31"/>
  <c r="BX133" i="31" s="1"/>
  <c r="BY133" i="31"/>
  <c r="BW134" i="31"/>
  <c r="BX134" i="31"/>
  <c r="BY134" i="31" s="1"/>
  <c r="BW135" i="31"/>
  <c r="BX135" i="31" s="1"/>
  <c r="BY135" i="31" s="1"/>
  <c r="BW136" i="31"/>
  <c r="BW138" i="31"/>
  <c r="BX138" i="31"/>
  <c r="BY138" i="31" s="1"/>
  <c r="BW139" i="31"/>
  <c r="BX139" i="31" s="1"/>
  <c r="BY139" i="31" s="1"/>
  <c r="BW140" i="31"/>
  <c r="BX140" i="31"/>
  <c r="BY140" i="31" s="1"/>
  <c r="BW141" i="31"/>
  <c r="BW142" i="31"/>
  <c r="BX142" i="31"/>
  <c r="BY142" i="31" s="1"/>
  <c r="BW143" i="31"/>
  <c r="BX143" i="31" s="1"/>
  <c r="BY143" i="31" s="1"/>
  <c r="BP14" i="31"/>
  <c r="BQ14" i="31"/>
  <c r="BR14" i="31" s="1"/>
  <c r="BP15" i="31"/>
  <c r="BQ15" i="31" s="1"/>
  <c r="BR15" i="31" s="1"/>
  <c r="BP16" i="31"/>
  <c r="BQ16" i="31"/>
  <c r="BR16" i="31" s="1"/>
  <c r="BP17" i="31"/>
  <c r="BQ17" i="31" s="1"/>
  <c r="BR17" i="31" s="1"/>
  <c r="BP18" i="31"/>
  <c r="BQ18" i="31"/>
  <c r="BR18" i="31" s="1"/>
  <c r="BP19" i="31"/>
  <c r="BP20" i="31"/>
  <c r="BQ20" i="31"/>
  <c r="BR20" i="31" s="1"/>
  <c r="BP21" i="31"/>
  <c r="BQ21" i="31" s="1"/>
  <c r="BR21" i="31" s="1"/>
  <c r="BP22" i="31"/>
  <c r="BQ22" i="31"/>
  <c r="BR22" i="31" s="1"/>
  <c r="BP23" i="31"/>
  <c r="BQ23" i="31" s="1"/>
  <c r="BR23" i="31" s="1"/>
  <c r="BP24" i="31"/>
  <c r="BQ24" i="31"/>
  <c r="BR24" i="31" s="1"/>
  <c r="BP25" i="31"/>
  <c r="BQ25" i="31" s="1"/>
  <c r="BR25" i="31" s="1"/>
  <c r="BP26" i="31"/>
  <c r="BQ26" i="31"/>
  <c r="BR26" i="31" s="1"/>
  <c r="BP27" i="31"/>
  <c r="BQ27" i="31" s="1"/>
  <c r="BR27" i="31" s="1"/>
  <c r="BP28" i="31"/>
  <c r="BQ28" i="31"/>
  <c r="BR28" i="31" s="1"/>
  <c r="BP29" i="31"/>
  <c r="BQ29" i="31" s="1"/>
  <c r="BR29" i="31" s="1"/>
  <c r="BP30" i="31"/>
  <c r="BQ30" i="31"/>
  <c r="BR30" i="31" s="1"/>
  <c r="BP31" i="31"/>
  <c r="BQ31" i="31" s="1"/>
  <c r="BR31" i="31" s="1"/>
  <c r="BP32" i="31"/>
  <c r="BQ32" i="31"/>
  <c r="BR32" i="31" s="1"/>
  <c r="BP33" i="31"/>
  <c r="BQ33" i="31" s="1"/>
  <c r="BR33" i="31" s="1"/>
  <c r="BP34" i="31"/>
  <c r="BQ34" i="31"/>
  <c r="BR34" i="31" s="1"/>
  <c r="BP35" i="31"/>
  <c r="BQ35" i="31" s="1"/>
  <c r="BR35" i="31" s="1"/>
  <c r="BP36" i="31"/>
  <c r="BQ36" i="31"/>
  <c r="BR36" i="31" s="1"/>
  <c r="BP37" i="31"/>
  <c r="BQ37" i="31" s="1"/>
  <c r="BR37" i="31" s="1"/>
  <c r="BP38" i="31"/>
  <c r="BQ38" i="31"/>
  <c r="BR38" i="31" s="1"/>
  <c r="BP39" i="31"/>
  <c r="BQ39" i="31" s="1"/>
  <c r="BR39" i="31" s="1"/>
  <c r="BP40" i="31"/>
  <c r="BQ40" i="31"/>
  <c r="BR40" i="31" s="1"/>
  <c r="BP41" i="31"/>
  <c r="BQ41" i="31" s="1"/>
  <c r="BR41" i="31" s="1"/>
  <c r="BP42" i="31"/>
  <c r="BQ42" i="31"/>
  <c r="BR42" i="31" s="1"/>
  <c r="BP43" i="31"/>
  <c r="BQ43" i="31" s="1"/>
  <c r="BR43" i="31" s="1"/>
  <c r="BP44" i="31"/>
  <c r="BQ44" i="31"/>
  <c r="BR44" i="31" s="1"/>
  <c r="BP45" i="31"/>
  <c r="BQ45" i="31" s="1"/>
  <c r="BR45" i="31" s="1"/>
  <c r="BP46" i="31"/>
  <c r="BQ46" i="31"/>
  <c r="BR46" i="31" s="1"/>
  <c r="BP47" i="31"/>
  <c r="BQ47" i="31" s="1"/>
  <c r="BR47" i="31" s="1"/>
  <c r="BP48" i="31"/>
  <c r="BQ48" i="31"/>
  <c r="BR48" i="31" s="1"/>
  <c r="BP49" i="31"/>
  <c r="BQ49" i="31" s="1"/>
  <c r="BR49" i="31" s="1"/>
  <c r="BN50" i="31"/>
  <c r="BQ50" i="31" s="1"/>
  <c r="BP50" i="31"/>
  <c r="BR50" i="31"/>
  <c r="BP51" i="31"/>
  <c r="BQ51" i="31"/>
  <c r="BR51" i="31" s="1"/>
  <c r="BP52" i="31"/>
  <c r="BQ52" i="31" s="1"/>
  <c r="BR52" i="31" s="1"/>
  <c r="BP53" i="31"/>
  <c r="BQ53" i="31"/>
  <c r="BR53" i="31" s="1"/>
  <c r="BP54" i="31"/>
  <c r="BQ54" i="31" s="1"/>
  <c r="BR54" i="31" s="1"/>
  <c r="BP55" i="31"/>
  <c r="BQ55" i="31"/>
  <c r="BR55" i="31" s="1"/>
  <c r="BP56" i="31"/>
  <c r="BQ56" i="31" s="1"/>
  <c r="BR56" i="31" s="1"/>
  <c r="BP57" i="31"/>
  <c r="BQ57" i="31"/>
  <c r="BR57" i="31" s="1"/>
  <c r="BP58" i="31"/>
  <c r="BQ58" i="31" s="1"/>
  <c r="BR58" i="31"/>
  <c r="BP60" i="31"/>
  <c r="BQ60" i="31"/>
  <c r="BR60" i="31" s="1"/>
  <c r="BP61" i="31"/>
  <c r="BQ61" i="31" s="1"/>
  <c r="BR61" i="31" s="1"/>
  <c r="BP62" i="31"/>
  <c r="BQ62" i="31"/>
  <c r="BR62" i="31" s="1"/>
  <c r="BP63" i="31"/>
  <c r="BQ63" i="31" s="1"/>
  <c r="BR63" i="31" s="1"/>
  <c r="BP64" i="31"/>
  <c r="BQ64" i="31"/>
  <c r="BR64" i="31" s="1"/>
  <c r="BP65" i="31"/>
  <c r="BQ65" i="31" s="1"/>
  <c r="BR65" i="31" s="1"/>
  <c r="BP66" i="31"/>
  <c r="BQ66" i="31"/>
  <c r="BR66" i="31" s="1"/>
  <c r="BP67" i="31"/>
  <c r="BQ67" i="31" s="1"/>
  <c r="BR67" i="31" s="1"/>
  <c r="BP68" i="31"/>
  <c r="BQ68" i="31"/>
  <c r="BR68" i="31" s="1"/>
  <c r="BP69" i="31"/>
  <c r="BQ69" i="31" s="1"/>
  <c r="BR69" i="31" s="1"/>
  <c r="BP70" i="31"/>
  <c r="BQ70" i="31"/>
  <c r="BR70" i="31" s="1"/>
  <c r="BP71" i="31"/>
  <c r="BQ71" i="31" s="1"/>
  <c r="BR71" i="31" s="1"/>
  <c r="BP72" i="31"/>
  <c r="BQ72" i="31"/>
  <c r="BR72" i="31" s="1"/>
  <c r="BP73" i="31"/>
  <c r="BQ73" i="31" s="1"/>
  <c r="BR73" i="31" s="1"/>
  <c r="BP74" i="31"/>
  <c r="BQ74" i="31"/>
  <c r="BR74" i="31" s="1"/>
  <c r="BP75" i="31"/>
  <c r="BQ75" i="31" s="1"/>
  <c r="BR75" i="31" s="1"/>
  <c r="BP76" i="31"/>
  <c r="BQ76" i="31"/>
  <c r="BR76" i="31" s="1"/>
  <c r="BP77" i="31"/>
  <c r="BQ77" i="31" s="1"/>
  <c r="BR77" i="31" s="1"/>
  <c r="BP78" i="31"/>
  <c r="BQ78" i="31"/>
  <c r="BR78" i="31" s="1"/>
  <c r="BP79" i="31"/>
  <c r="BQ79" i="31" s="1"/>
  <c r="BR79" i="31" s="1"/>
  <c r="BP80" i="31"/>
  <c r="BQ80" i="31"/>
  <c r="BR80" i="31" s="1"/>
  <c r="BP81" i="31"/>
  <c r="BQ81" i="31" s="1"/>
  <c r="BR81" i="31" s="1"/>
  <c r="BP82" i="31"/>
  <c r="BQ82" i="31"/>
  <c r="BR82" i="31" s="1"/>
  <c r="BP83" i="31"/>
  <c r="BQ83" i="31" s="1"/>
  <c r="BR83" i="31" s="1"/>
  <c r="BP84" i="31"/>
  <c r="BQ84" i="31"/>
  <c r="BR84" i="31" s="1"/>
  <c r="BP85" i="31"/>
  <c r="BQ85" i="31" s="1"/>
  <c r="BR85" i="31" s="1"/>
  <c r="BP86" i="31"/>
  <c r="BQ86" i="31" s="1"/>
  <c r="BR86" i="31" s="1"/>
  <c r="BP87" i="31"/>
  <c r="BQ87" i="31" s="1"/>
  <c r="BR87" i="31" s="1"/>
  <c r="BP88" i="31"/>
  <c r="BQ88" i="31"/>
  <c r="BR88" i="31" s="1"/>
  <c r="BP89" i="31"/>
  <c r="BQ89" i="31" s="1"/>
  <c r="BR89" i="31" s="1"/>
  <c r="BP90" i="31"/>
  <c r="BQ90" i="31"/>
  <c r="BR90" i="31" s="1"/>
  <c r="BP91" i="31"/>
  <c r="BQ91" i="31" s="1"/>
  <c r="BR91" i="31" s="1"/>
  <c r="BP92" i="31"/>
  <c r="BQ92" i="31" s="1"/>
  <c r="BR92" i="31" s="1"/>
  <c r="BP93" i="31"/>
  <c r="BQ93" i="31" s="1"/>
  <c r="BR93" i="31" s="1"/>
  <c r="BP94" i="31"/>
  <c r="BQ94" i="31"/>
  <c r="BR94" i="31" s="1"/>
  <c r="BP95" i="31"/>
  <c r="BQ95" i="31" s="1"/>
  <c r="BR95" i="31" s="1"/>
  <c r="BP96" i="31"/>
  <c r="BQ96" i="31"/>
  <c r="BR96" i="31" s="1"/>
  <c r="BP97" i="31"/>
  <c r="BQ97" i="31" s="1"/>
  <c r="BR97" i="31" s="1"/>
  <c r="BP98" i="31"/>
  <c r="BQ98" i="31" s="1"/>
  <c r="BR98" i="31" s="1"/>
  <c r="BP101" i="31"/>
  <c r="BQ101" i="31" s="1"/>
  <c r="BR101" i="31" s="1"/>
  <c r="BP102" i="31"/>
  <c r="BQ102" i="31"/>
  <c r="BR102" i="31" s="1"/>
  <c r="BP103" i="31"/>
  <c r="BQ103" i="31" s="1"/>
  <c r="BR103" i="31" s="1"/>
  <c r="BP104" i="31"/>
  <c r="BQ104" i="31"/>
  <c r="BR104" i="31" s="1"/>
  <c r="BP105" i="31"/>
  <c r="BQ105" i="31" s="1"/>
  <c r="BR105" i="31" s="1"/>
  <c r="BP106" i="31"/>
  <c r="BQ106" i="31" s="1"/>
  <c r="BR106" i="31" s="1"/>
  <c r="BP107" i="31"/>
  <c r="BQ107" i="31" s="1"/>
  <c r="BR107" i="31" s="1"/>
  <c r="BP108" i="31"/>
  <c r="BQ108" i="31"/>
  <c r="BR108" i="31" s="1"/>
  <c r="BP109" i="31"/>
  <c r="BQ109" i="31" s="1"/>
  <c r="BR109" i="31" s="1"/>
  <c r="BP110" i="31"/>
  <c r="BQ110" i="31"/>
  <c r="BR110" i="31" s="1"/>
  <c r="BP111" i="31"/>
  <c r="BQ111" i="31" s="1"/>
  <c r="BR111" i="31" s="1"/>
  <c r="BP112" i="31"/>
  <c r="BQ112" i="31" s="1"/>
  <c r="BR112" i="31" s="1"/>
  <c r="BP113" i="31"/>
  <c r="BQ113" i="31" s="1"/>
  <c r="BR113" i="31" s="1"/>
  <c r="BP114" i="31"/>
  <c r="BQ114" i="31"/>
  <c r="BR114" i="31" s="1"/>
  <c r="BP115" i="31"/>
  <c r="BQ115" i="31" s="1"/>
  <c r="BR115" i="31" s="1"/>
  <c r="BP116" i="31"/>
  <c r="BQ116" i="31"/>
  <c r="BR116" i="31" s="1"/>
  <c r="BP117" i="31"/>
  <c r="BQ117" i="31" s="1"/>
  <c r="BR117" i="31" s="1"/>
  <c r="BP118" i="31"/>
  <c r="BQ118" i="31" s="1"/>
  <c r="BR118" i="31" s="1"/>
  <c r="BP119" i="31"/>
  <c r="BQ119" i="31" s="1"/>
  <c r="BR119" i="31" s="1"/>
  <c r="BP121" i="31"/>
  <c r="BQ121" i="31"/>
  <c r="BR121" i="31" s="1"/>
  <c r="BP122" i="31"/>
  <c r="BQ122" i="31" s="1"/>
  <c r="BR122" i="31" s="1"/>
  <c r="BP123" i="31"/>
  <c r="BQ123" i="31"/>
  <c r="BR123" i="31" s="1"/>
  <c r="BP124" i="31"/>
  <c r="BQ124" i="31" s="1"/>
  <c r="BR124" i="31" s="1"/>
  <c r="BP125" i="31"/>
  <c r="BQ125" i="31"/>
  <c r="BR125" i="31" s="1"/>
  <c r="BP126" i="31"/>
  <c r="BQ126" i="31"/>
  <c r="BR126" i="31"/>
  <c r="BP127" i="31"/>
  <c r="BQ127" i="31" s="1"/>
  <c r="BR127" i="31" s="1"/>
  <c r="BP128" i="31"/>
  <c r="BQ128" i="31"/>
  <c r="BR128" i="31"/>
  <c r="BP129" i="31"/>
  <c r="BQ129" i="31"/>
  <c r="BR129" i="31" s="1"/>
  <c r="BP130" i="31"/>
  <c r="BQ130" i="31"/>
  <c r="BR130" i="31" s="1"/>
  <c r="BP131" i="31"/>
  <c r="BQ131" i="31"/>
  <c r="BR131" i="31" s="1"/>
  <c r="BQ132" i="31"/>
  <c r="BR132" i="31" s="1"/>
  <c r="BP133" i="31"/>
  <c r="BQ133" i="31"/>
  <c r="BR133" i="31"/>
  <c r="BP134" i="31"/>
  <c r="BQ134" i="31"/>
  <c r="BR134" i="31" s="1"/>
  <c r="BP135" i="31"/>
  <c r="BQ135" i="31" s="1"/>
  <c r="BR135" i="31" s="1"/>
  <c r="BP136" i="31"/>
  <c r="BQ136" i="31"/>
  <c r="BR136" i="31" s="1"/>
  <c r="BP137" i="31"/>
  <c r="BQ137" i="31"/>
  <c r="BR137" i="31"/>
  <c r="BP138" i="31"/>
  <c r="BQ138" i="31"/>
  <c r="BR138" i="31" s="1"/>
  <c r="BP139" i="31"/>
  <c r="BQ139" i="31" s="1"/>
  <c r="BR139" i="31" s="1"/>
  <c r="BP140" i="31"/>
  <c r="BQ140" i="31"/>
  <c r="BR140" i="31" s="1"/>
  <c r="BP141" i="31"/>
  <c r="BQ141" i="31"/>
  <c r="BR141" i="31"/>
  <c r="BP142" i="31"/>
  <c r="BQ142" i="31"/>
  <c r="BR142" i="31" s="1"/>
  <c r="BN148" i="31"/>
  <c r="BG14" i="31"/>
  <c r="BI14" i="31" s="1"/>
  <c r="BH14" i="31"/>
  <c r="BG15" i="31"/>
  <c r="BH15" i="31"/>
  <c r="BG16" i="31"/>
  <c r="BI16" i="31" s="1"/>
  <c r="BH16" i="31"/>
  <c r="BG17" i="31"/>
  <c r="BH17" i="31"/>
  <c r="BG18" i="31"/>
  <c r="BI18" i="31" s="1"/>
  <c r="BH18" i="31"/>
  <c r="BI19" i="31"/>
  <c r="BG20" i="31"/>
  <c r="BI20" i="31" s="1"/>
  <c r="BH20" i="31"/>
  <c r="BG21" i="31"/>
  <c r="BH21" i="31"/>
  <c r="BI21" i="31"/>
  <c r="BG22" i="31"/>
  <c r="BI22" i="31" s="1"/>
  <c r="BH22" i="31"/>
  <c r="BG23" i="31"/>
  <c r="BI23" i="31" s="1"/>
  <c r="BH23" i="31"/>
  <c r="BG24" i="31"/>
  <c r="BI24" i="31" s="1"/>
  <c r="BH24" i="31"/>
  <c r="BG25" i="31"/>
  <c r="BH25" i="31"/>
  <c r="BI25" i="31"/>
  <c r="BG26" i="31"/>
  <c r="BI26" i="31" s="1"/>
  <c r="BH26" i="31"/>
  <c r="BG27" i="31"/>
  <c r="BI27" i="31" s="1"/>
  <c r="BH27" i="31"/>
  <c r="BG28" i="31"/>
  <c r="BI28" i="31" s="1"/>
  <c r="BH28" i="31"/>
  <c r="BG29" i="31"/>
  <c r="BH29" i="31"/>
  <c r="BI29" i="31"/>
  <c r="BG30" i="31"/>
  <c r="BI30" i="31" s="1"/>
  <c r="BH30" i="31"/>
  <c r="BG31" i="31"/>
  <c r="BI31" i="31" s="1"/>
  <c r="BH31" i="31"/>
  <c r="BG32" i="31"/>
  <c r="BI32" i="31" s="1"/>
  <c r="BH32" i="31"/>
  <c r="BG33" i="31"/>
  <c r="BH33" i="31"/>
  <c r="BI33" i="31"/>
  <c r="BG34" i="31"/>
  <c r="BI34" i="31" s="1"/>
  <c r="BH34" i="31"/>
  <c r="BI35" i="31"/>
  <c r="BG37" i="31"/>
  <c r="BH37" i="31"/>
  <c r="BI37" i="31"/>
  <c r="BG38" i="31"/>
  <c r="BH38" i="31"/>
  <c r="BI38" i="31"/>
  <c r="BG39" i="31"/>
  <c r="BH39" i="31"/>
  <c r="BG40" i="31"/>
  <c r="BH40" i="31"/>
  <c r="BI40" i="31"/>
  <c r="BG41" i="31"/>
  <c r="BH41" i="31"/>
  <c r="BI41" i="31"/>
  <c r="BG42" i="31"/>
  <c r="BH42" i="31"/>
  <c r="BI42" i="31"/>
  <c r="BG44" i="31"/>
  <c r="BH44" i="31"/>
  <c r="BI44" i="31" s="1"/>
  <c r="BI45" i="31"/>
  <c r="BI46" i="31"/>
  <c r="BG48" i="31"/>
  <c r="BI48" i="31" s="1"/>
  <c r="BH48" i="31"/>
  <c r="BG49" i="31"/>
  <c r="BI49" i="31" s="1"/>
  <c r="BH49" i="31"/>
  <c r="BG50" i="31"/>
  <c r="BH50" i="31"/>
  <c r="BI50" i="31"/>
  <c r="BG52" i="31"/>
  <c r="BI52" i="31" s="1"/>
  <c r="BH52" i="31"/>
  <c r="BG55" i="31"/>
  <c r="BI55" i="31" s="1"/>
  <c r="BH55" i="31"/>
  <c r="BG56" i="31"/>
  <c r="BI56" i="31" s="1"/>
  <c r="BH56" i="31"/>
  <c r="BG58" i="31"/>
  <c r="BH58" i="31"/>
  <c r="BI58" i="31"/>
  <c r="BG59" i="31"/>
  <c r="BI59" i="31" s="1"/>
  <c r="BH59" i="31"/>
  <c r="BG60" i="31"/>
  <c r="BI60" i="31" s="1"/>
  <c r="BH60" i="31"/>
  <c r="BG61" i="31"/>
  <c r="BI61" i="31" s="1"/>
  <c r="BH61" i="31"/>
  <c r="BG62" i="31"/>
  <c r="BH62" i="31"/>
  <c r="BI62" i="31"/>
  <c r="BG63" i="31"/>
  <c r="BI63" i="31" s="1"/>
  <c r="BH63" i="31"/>
  <c r="BG64" i="31"/>
  <c r="BI64" i="31" s="1"/>
  <c r="BH64" i="31"/>
  <c r="BG65" i="31"/>
  <c r="BI65" i="31" s="1"/>
  <c r="BH65" i="31"/>
  <c r="BG66" i="31"/>
  <c r="BH66" i="31"/>
  <c r="BI66" i="31"/>
  <c r="BI67" i="31"/>
  <c r="BG68" i="31"/>
  <c r="BH68" i="31"/>
  <c r="BI68" i="31"/>
  <c r="BG69" i="31"/>
  <c r="BH69" i="31"/>
  <c r="BI69" i="31"/>
  <c r="BI70" i="31"/>
  <c r="BG71" i="31"/>
  <c r="BH71" i="31"/>
  <c r="BI71" i="31" s="1"/>
  <c r="BI72" i="31"/>
  <c r="BI73" i="31"/>
  <c r="BI74" i="31"/>
  <c r="BI75" i="31"/>
  <c r="BI76" i="31"/>
  <c r="BI77" i="31"/>
  <c r="BI78" i="31"/>
  <c r="BG80" i="31"/>
  <c r="BI80" i="31" s="1"/>
  <c r="BH80" i="31"/>
  <c r="BG81" i="31"/>
  <c r="BH81" i="31"/>
  <c r="BI81" i="31"/>
  <c r="BI82" i="31"/>
  <c r="BG83" i="31"/>
  <c r="BH83" i="31"/>
  <c r="BI83" i="31"/>
  <c r="BG84" i="31"/>
  <c r="BH84" i="31"/>
  <c r="BI84" i="31"/>
  <c r="BI86" i="31"/>
  <c r="BG87" i="31"/>
  <c r="BH87" i="31"/>
  <c r="BI87" i="31" s="1"/>
  <c r="BG90" i="31"/>
  <c r="BI90" i="31" s="1"/>
  <c r="BH90" i="31"/>
  <c r="BG92" i="31"/>
  <c r="BI92" i="31" s="1"/>
  <c r="BH92" i="31"/>
  <c r="BG93" i="31"/>
  <c r="BH93" i="31"/>
  <c r="BI93" i="31"/>
  <c r="BG94" i="31"/>
  <c r="BI94" i="31" s="1"/>
  <c r="BH94" i="31"/>
  <c r="BG95" i="31"/>
  <c r="BI95" i="31" s="1"/>
  <c r="BH95" i="31"/>
  <c r="BG96" i="31"/>
  <c r="BI96" i="31" s="1"/>
  <c r="BH96" i="31"/>
  <c r="BI97" i="31"/>
  <c r="BI98" i="31"/>
  <c r="BG101" i="31"/>
  <c r="BH101" i="31"/>
  <c r="BI101" i="31"/>
  <c r="BG102" i="31"/>
  <c r="BH102" i="31"/>
  <c r="BI102" i="31" s="1"/>
  <c r="BI105" i="31"/>
  <c r="BG107" i="31"/>
  <c r="BI107" i="31" s="1"/>
  <c r="BH107" i="31"/>
  <c r="BG108" i="31"/>
  <c r="BH108" i="31"/>
  <c r="BI108" i="31"/>
  <c r="BG109" i="31"/>
  <c r="BI109" i="31" s="1"/>
  <c r="BH109" i="31"/>
  <c r="BG110" i="31"/>
  <c r="BI110" i="31" s="1"/>
  <c r="BH110" i="31"/>
  <c r="BG111" i="31"/>
  <c r="BI111" i="31" s="1"/>
  <c r="BH111" i="31"/>
  <c r="BG112" i="31"/>
  <c r="BH112" i="31"/>
  <c r="BI112" i="31"/>
  <c r="BG113" i="31"/>
  <c r="BI113" i="31" s="1"/>
  <c r="BH113" i="31"/>
  <c r="BG114" i="31"/>
  <c r="BI114" i="31" s="1"/>
  <c r="BH114" i="31"/>
  <c r="BG115" i="31"/>
  <c r="BI115" i="31" s="1"/>
  <c r="BH115" i="31"/>
  <c r="BG116" i="31"/>
  <c r="BH116" i="31"/>
  <c r="BI116" i="31"/>
  <c r="BG117" i="31"/>
  <c r="BI117" i="31" s="1"/>
  <c r="BH117" i="31"/>
  <c r="BG118" i="31"/>
  <c r="BI118" i="31" s="1"/>
  <c r="BH118" i="31"/>
  <c r="BG119" i="31"/>
  <c r="BI119" i="31" s="1"/>
  <c r="BH119" i="31"/>
  <c r="BG120" i="31"/>
  <c r="BI120" i="31"/>
  <c r="BI121" i="31"/>
  <c r="BI122" i="31"/>
  <c r="BI123" i="31"/>
  <c r="BI124" i="31"/>
  <c r="BI125" i="31"/>
  <c r="BI126" i="31"/>
  <c r="BI127" i="31"/>
  <c r="BI128" i="31"/>
  <c r="BI129" i="31"/>
  <c r="BG130" i="31"/>
  <c r="BH130" i="31"/>
  <c r="BI130" i="31"/>
  <c r="BI131" i="31"/>
  <c r="BI132" i="31"/>
  <c r="BI133" i="31"/>
  <c r="BI134" i="31"/>
  <c r="BG136" i="31"/>
  <c r="BH136" i="31"/>
  <c r="BI137" i="31"/>
  <c r="BI141" i="31"/>
  <c r="BI142" i="31"/>
  <c r="AO14" i="31"/>
  <c r="AO15" i="31"/>
  <c r="AO16" i="31"/>
  <c r="AO17" i="31"/>
  <c r="AO18" i="31"/>
  <c r="AO19" i="31"/>
  <c r="AO20" i="31"/>
  <c r="AO21" i="31"/>
  <c r="AO22" i="31"/>
  <c r="AO23" i="31"/>
  <c r="AO24" i="31"/>
  <c r="AO25" i="31"/>
  <c r="AO26" i="31"/>
  <c r="AO27" i="31"/>
  <c r="AO28" i="31"/>
  <c r="AO29" i="31"/>
  <c r="AO30" i="31"/>
  <c r="AO31" i="31"/>
  <c r="AO32" i="31"/>
  <c r="AO33" i="31"/>
  <c r="AO34" i="31"/>
  <c r="AN35" i="31"/>
  <c r="AO35" i="31"/>
  <c r="AO36" i="31"/>
  <c r="AO37" i="31"/>
  <c r="AO38" i="31"/>
  <c r="AO39" i="31"/>
  <c r="AO40" i="31"/>
  <c r="AO41" i="31"/>
  <c r="AO42" i="31"/>
  <c r="AO43" i="31"/>
  <c r="AO44" i="31"/>
  <c r="AO45" i="31"/>
  <c r="AO46" i="31"/>
  <c r="AO47" i="31"/>
  <c r="AO48" i="31"/>
  <c r="AO49" i="31"/>
  <c r="AO50" i="31"/>
  <c r="AO51" i="31"/>
  <c r="AO52" i="31"/>
  <c r="AO53" i="31"/>
  <c r="AO54" i="31"/>
  <c r="AO55" i="31"/>
  <c r="AO56" i="31"/>
  <c r="AO57" i="31"/>
  <c r="AO59" i="31"/>
  <c r="AO60" i="31"/>
  <c r="AO62" i="31"/>
  <c r="AO63" i="31"/>
  <c r="AO64" i="31"/>
  <c r="AO65" i="31"/>
  <c r="AO66" i="31"/>
  <c r="AO67" i="31"/>
  <c r="AO68" i="31"/>
  <c r="AO69" i="31"/>
  <c r="AO70" i="31"/>
  <c r="AO71" i="31"/>
  <c r="AO72" i="31"/>
  <c r="AO73" i="31"/>
  <c r="AO74" i="31"/>
  <c r="AO75" i="31"/>
  <c r="AO76" i="31"/>
  <c r="AO77" i="31"/>
  <c r="AO78" i="31"/>
  <c r="AO79" i="31"/>
  <c r="AO80" i="31"/>
  <c r="AO81" i="31"/>
  <c r="AO82" i="31"/>
  <c r="AO83" i="31"/>
  <c r="AO84" i="31"/>
  <c r="AO85" i="31"/>
  <c r="AN86" i="31"/>
  <c r="AO86" i="31" s="1"/>
  <c r="AO87" i="31"/>
  <c r="AO88" i="31"/>
  <c r="AO89" i="31"/>
  <c r="AO90" i="31"/>
  <c r="AO91" i="31"/>
  <c r="AO92" i="31"/>
  <c r="AO93" i="31"/>
  <c r="AO94" i="31"/>
  <c r="AO95" i="31"/>
  <c r="AO96" i="31"/>
  <c r="AO97" i="31"/>
  <c r="AO98" i="31"/>
  <c r="AO99" i="31"/>
  <c r="AO100" i="31"/>
  <c r="AO101" i="31"/>
  <c r="AO102" i="31"/>
  <c r="AO103" i="31"/>
  <c r="AO104" i="31"/>
  <c r="AO105" i="31"/>
  <c r="AO106" i="31"/>
  <c r="AO107" i="31"/>
  <c r="AO108" i="31"/>
  <c r="AO109" i="31"/>
  <c r="AO110" i="31"/>
  <c r="AO112" i="31"/>
  <c r="AO113" i="31"/>
  <c r="AO114" i="31"/>
  <c r="AO115" i="31"/>
  <c r="AO116" i="31"/>
  <c r="AO117" i="31"/>
  <c r="AO118" i="31"/>
  <c r="AO119" i="31"/>
  <c r="AO121" i="31"/>
  <c r="AO122" i="31"/>
  <c r="AO123" i="31"/>
  <c r="AO124" i="31"/>
  <c r="AO125" i="31"/>
  <c r="AO127" i="31"/>
  <c r="AN128" i="31"/>
  <c r="AO128" i="31" s="1"/>
  <c r="AO129" i="31"/>
  <c r="AO130" i="31"/>
  <c r="AN131" i="31"/>
  <c r="AO131" i="31"/>
  <c r="AO132" i="31"/>
  <c r="AO133" i="31"/>
  <c r="AO134" i="31"/>
  <c r="AO135" i="31"/>
  <c r="AO137" i="31"/>
  <c r="AN138" i="31"/>
  <c r="AN139" i="31"/>
  <c r="AO139" i="31" s="1"/>
  <c r="AO140" i="31"/>
  <c r="AO141" i="31"/>
  <c r="AO142" i="31"/>
  <c r="DL147" i="31"/>
  <c r="DN147" i="31" s="1"/>
  <c r="DM147" i="31"/>
  <c r="CM147" i="31"/>
  <c r="V147" i="31"/>
  <c r="DL146" i="31"/>
  <c r="DN146" i="31" s="1"/>
  <c r="DM146" i="31"/>
  <c r="CM146" i="31"/>
  <c r="CN146" i="31"/>
  <c r="V146" i="31"/>
  <c r="H146" i="31"/>
  <c r="DL14" i="31"/>
  <c r="DL145" i="31" s="1"/>
  <c r="DM14" i="31"/>
  <c r="DN14" i="31"/>
  <c r="DL15" i="31"/>
  <c r="DN15" i="31" s="1"/>
  <c r="DM15" i="31"/>
  <c r="DL16" i="31"/>
  <c r="DN16" i="31" s="1"/>
  <c r="DM16" i="31"/>
  <c r="DL17" i="31"/>
  <c r="DN17" i="31" s="1"/>
  <c r="DM17" i="31"/>
  <c r="DL18" i="31"/>
  <c r="DM18" i="31"/>
  <c r="DN18" i="31"/>
  <c r="DL19" i="31"/>
  <c r="DN19" i="31" s="1"/>
  <c r="DM19" i="31"/>
  <c r="DL20" i="31"/>
  <c r="DN20" i="31" s="1"/>
  <c r="DM20" i="31"/>
  <c r="DL21" i="31"/>
  <c r="DN21" i="31" s="1"/>
  <c r="DM21" i="31"/>
  <c r="DL22" i="31"/>
  <c r="DM22" i="31"/>
  <c r="DN22" i="31"/>
  <c r="DL23" i="31"/>
  <c r="DN23" i="31" s="1"/>
  <c r="DM23" i="31"/>
  <c r="DL24" i="31"/>
  <c r="DN24" i="31" s="1"/>
  <c r="DM24" i="31"/>
  <c r="DL25" i="31"/>
  <c r="DN25" i="31" s="1"/>
  <c r="DM25" i="31"/>
  <c r="DL26" i="31"/>
  <c r="DM26" i="31"/>
  <c r="DN26" i="31"/>
  <c r="DL27" i="31"/>
  <c r="DN27" i="31" s="1"/>
  <c r="DM27" i="31"/>
  <c r="DL28" i="31"/>
  <c r="DN28" i="31" s="1"/>
  <c r="DM28" i="31"/>
  <c r="DL29" i="31"/>
  <c r="DN29" i="31" s="1"/>
  <c r="DM29" i="31"/>
  <c r="DL30" i="31"/>
  <c r="DM30" i="31"/>
  <c r="DN30" i="31"/>
  <c r="DL31" i="31"/>
  <c r="DN31" i="31" s="1"/>
  <c r="DM31" i="31"/>
  <c r="DL32" i="31"/>
  <c r="DN32" i="31" s="1"/>
  <c r="DM32" i="31"/>
  <c r="DL33" i="31"/>
  <c r="DN33" i="31" s="1"/>
  <c r="DM33" i="31"/>
  <c r="DL34" i="31"/>
  <c r="DM34" i="31"/>
  <c r="DN34" i="31"/>
  <c r="DL35" i="31"/>
  <c r="DN35" i="31" s="1"/>
  <c r="DM35" i="31"/>
  <c r="DL36" i="31"/>
  <c r="DN36" i="31" s="1"/>
  <c r="DM36" i="31"/>
  <c r="DL37" i="31"/>
  <c r="DN37" i="31" s="1"/>
  <c r="DM37" i="31"/>
  <c r="DL38" i="31"/>
  <c r="DM38" i="31"/>
  <c r="DN38" i="31"/>
  <c r="DL39" i="31"/>
  <c r="DN39" i="31" s="1"/>
  <c r="DM39" i="31"/>
  <c r="DL40" i="31"/>
  <c r="DN40" i="31" s="1"/>
  <c r="DM40" i="31"/>
  <c r="DL41" i="31"/>
  <c r="DN41" i="31" s="1"/>
  <c r="DM41" i="31"/>
  <c r="DL42" i="31"/>
  <c r="DM42" i="31"/>
  <c r="DN42" i="31"/>
  <c r="DL43" i="31"/>
  <c r="DN43" i="31" s="1"/>
  <c r="DM43" i="31"/>
  <c r="DL44" i="31"/>
  <c r="DN44" i="31" s="1"/>
  <c r="DM44" i="31"/>
  <c r="DL45" i="31"/>
  <c r="DN45" i="31" s="1"/>
  <c r="DM45" i="31"/>
  <c r="DL46" i="31"/>
  <c r="DM46" i="31"/>
  <c r="DN46" i="31"/>
  <c r="DL47" i="31"/>
  <c r="DN47" i="31" s="1"/>
  <c r="DM47" i="31"/>
  <c r="DL48" i="31"/>
  <c r="DN48" i="31" s="1"/>
  <c r="DM48" i="31"/>
  <c r="DL49" i="31"/>
  <c r="DN49" i="31" s="1"/>
  <c r="DM49" i="31"/>
  <c r="DL51" i="31"/>
  <c r="DM51" i="31"/>
  <c r="DN51" i="31"/>
  <c r="DL52" i="31"/>
  <c r="DN52" i="31" s="1"/>
  <c r="DM52" i="31"/>
  <c r="DL53" i="31"/>
  <c r="DN53" i="31" s="1"/>
  <c r="DM53" i="31"/>
  <c r="DL54" i="31"/>
  <c r="DN54" i="31" s="1"/>
  <c r="DM54" i="31"/>
  <c r="DL55" i="31"/>
  <c r="DM55" i="31"/>
  <c r="DN55" i="31"/>
  <c r="DL56" i="31"/>
  <c r="DN56" i="31" s="1"/>
  <c r="DM56" i="31"/>
  <c r="DL57" i="31"/>
  <c r="DN57" i="31" s="1"/>
  <c r="DM57" i="31"/>
  <c r="DL58" i="31"/>
  <c r="DN58" i="31" s="1"/>
  <c r="DM58" i="31"/>
  <c r="DL60" i="31"/>
  <c r="DM60" i="31"/>
  <c r="DN60" i="31"/>
  <c r="DL61" i="31"/>
  <c r="DN61" i="31" s="1"/>
  <c r="DM61" i="31"/>
  <c r="DL62" i="31"/>
  <c r="DN62" i="31" s="1"/>
  <c r="DM62" i="31"/>
  <c r="DL63" i="31"/>
  <c r="DN63" i="31" s="1"/>
  <c r="DM63" i="31"/>
  <c r="DL64" i="31"/>
  <c r="DM64" i="31"/>
  <c r="DN64" i="31"/>
  <c r="DL65" i="31"/>
  <c r="DN65" i="31" s="1"/>
  <c r="DM65" i="31"/>
  <c r="DL66" i="31"/>
  <c r="DN66" i="31" s="1"/>
  <c r="DM66" i="31"/>
  <c r="DL67" i="31"/>
  <c r="DN67" i="31" s="1"/>
  <c r="DM67" i="31"/>
  <c r="DL68" i="31"/>
  <c r="DM68" i="31"/>
  <c r="DN68" i="31"/>
  <c r="DL69" i="31"/>
  <c r="DN69" i="31" s="1"/>
  <c r="DM69" i="31"/>
  <c r="DL70" i="31"/>
  <c r="DN70" i="31" s="1"/>
  <c r="DM70" i="31"/>
  <c r="DL71" i="31"/>
  <c r="DN71" i="31" s="1"/>
  <c r="DM71" i="31"/>
  <c r="DL72" i="31"/>
  <c r="DM72" i="31"/>
  <c r="DN72" i="31"/>
  <c r="DL73" i="31"/>
  <c r="DN73" i="31" s="1"/>
  <c r="DM73" i="31"/>
  <c r="DL74" i="31"/>
  <c r="DN74" i="31" s="1"/>
  <c r="DM74" i="31"/>
  <c r="DL75" i="31"/>
  <c r="DN75" i="31" s="1"/>
  <c r="DM75" i="31"/>
  <c r="DL76" i="31"/>
  <c r="DM76" i="31"/>
  <c r="DN76" i="31"/>
  <c r="DL77" i="31"/>
  <c r="DN77" i="31" s="1"/>
  <c r="DM77" i="31"/>
  <c r="DL78" i="31"/>
  <c r="DN78" i="31" s="1"/>
  <c r="DM78" i="31"/>
  <c r="DL79" i="31"/>
  <c r="DN79" i="31" s="1"/>
  <c r="DM79" i="31"/>
  <c r="DL80" i="31"/>
  <c r="DM80" i="31"/>
  <c r="DN80" i="31"/>
  <c r="DL81" i="31"/>
  <c r="DN81" i="31" s="1"/>
  <c r="DM81" i="31"/>
  <c r="DL82" i="31"/>
  <c r="DN82" i="31" s="1"/>
  <c r="DM82" i="31"/>
  <c r="DL83" i="31"/>
  <c r="DN83" i="31" s="1"/>
  <c r="DM83" i="31"/>
  <c r="DL84" i="31"/>
  <c r="DM84" i="31"/>
  <c r="DN84" i="31"/>
  <c r="DL85" i="31"/>
  <c r="DN85" i="31" s="1"/>
  <c r="DM85" i="31"/>
  <c r="DL86" i="31"/>
  <c r="DN86" i="31" s="1"/>
  <c r="DM86" i="31"/>
  <c r="DL87" i="31"/>
  <c r="DN87" i="31" s="1"/>
  <c r="DM87" i="31"/>
  <c r="DL88" i="31"/>
  <c r="DM88" i="31"/>
  <c r="DN88" i="31"/>
  <c r="DL89" i="31"/>
  <c r="DN89" i="31" s="1"/>
  <c r="DM89" i="31"/>
  <c r="DL90" i="31"/>
  <c r="DN90" i="31" s="1"/>
  <c r="DM90" i="31"/>
  <c r="DL91" i="31"/>
  <c r="DN91" i="31" s="1"/>
  <c r="DM91" i="31"/>
  <c r="DL92" i="31"/>
  <c r="DM92" i="31"/>
  <c r="DN92" i="31"/>
  <c r="DL93" i="31"/>
  <c r="DN93" i="31" s="1"/>
  <c r="DM93" i="31"/>
  <c r="DL94" i="31"/>
  <c r="DN94" i="31" s="1"/>
  <c r="DM94" i="31"/>
  <c r="DL95" i="31"/>
  <c r="DN95" i="31" s="1"/>
  <c r="DM95" i="31"/>
  <c r="DL96" i="31"/>
  <c r="DM96" i="31"/>
  <c r="DN96" i="31"/>
  <c r="DL97" i="31"/>
  <c r="DN97" i="31" s="1"/>
  <c r="DM97" i="31"/>
  <c r="DL98" i="31"/>
  <c r="DN98" i="31" s="1"/>
  <c r="DM98" i="31"/>
  <c r="DL101" i="31"/>
  <c r="DN101" i="31" s="1"/>
  <c r="DM101" i="31"/>
  <c r="DL102" i="31"/>
  <c r="DM102" i="31"/>
  <c r="DN102" i="31"/>
  <c r="DL103" i="31"/>
  <c r="DN103" i="31" s="1"/>
  <c r="DM103" i="31"/>
  <c r="DL104" i="31"/>
  <c r="DN104" i="31" s="1"/>
  <c r="DM104" i="31"/>
  <c r="DL105" i="31"/>
  <c r="DN105" i="31" s="1"/>
  <c r="DM105" i="31"/>
  <c r="DL106" i="31"/>
  <c r="DM106" i="31"/>
  <c r="DN106" i="31"/>
  <c r="DL107" i="31"/>
  <c r="DN107" i="31" s="1"/>
  <c r="DM107" i="31"/>
  <c r="DL108" i="31"/>
  <c r="DN108" i="31" s="1"/>
  <c r="DM108" i="31"/>
  <c r="DL109" i="31"/>
  <c r="DN109" i="31" s="1"/>
  <c r="DM109" i="31"/>
  <c r="DL110" i="31"/>
  <c r="DM110" i="31"/>
  <c r="DN110" i="31"/>
  <c r="DL111" i="31"/>
  <c r="DN111" i="31" s="1"/>
  <c r="DM111" i="31"/>
  <c r="DL112" i="31"/>
  <c r="DN112" i="31" s="1"/>
  <c r="DM112" i="31"/>
  <c r="DL113" i="31"/>
  <c r="DN113" i="31" s="1"/>
  <c r="DM113" i="31"/>
  <c r="DL114" i="31"/>
  <c r="DM114" i="31"/>
  <c r="DN114" i="31"/>
  <c r="DL115" i="31"/>
  <c r="DN115" i="31" s="1"/>
  <c r="DM115" i="31"/>
  <c r="DL116" i="31"/>
  <c r="DN116" i="31" s="1"/>
  <c r="DM116" i="31"/>
  <c r="DL117" i="31"/>
  <c r="DN117" i="31" s="1"/>
  <c r="DM117" i="31"/>
  <c r="DL118" i="31"/>
  <c r="DM118" i="31"/>
  <c r="DN118" i="31"/>
  <c r="DL119" i="31"/>
  <c r="DN119" i="31" s="1"/>
  <c r="DM119" i="31"/>
  <c r="DL120" i="31"/>
  <c r="DN120" i="31" s="1"/>
  <c r="DM120" i="31"/>
  <c r="DL121" i="31"/>
  <c r="DN121" i="31" s="1"/>
  <c r="DM121" i="31"/>
  <c r="DL122" i="31"/>
  <c r="DM122" i="31"/>
  <c r="DN122" i="31"/>
  <c r="DL123" i="31"/>
  <c r="DN123" i="31" s="1"/>
  <c r="DM123" i="31"/>
  <c r="DL124" i="31"/>
  <c r="DN124" i="31" s="1"/>
  <c r="DM124" i="31"/>
  <c r="DL125" i="31"/>
  <c r="DN125" i="31" s="1"/>
  <c r="DM125" i="31"/>
  <c r="DL126" i="31"/>
  <c r="DM126" i="31"/>
  <c r="DN126" i="31"/>
  <c r="DL127" i="31"/>
  <c r="DN127" i="31" s="1"/>
  <c r="DM127" i="31"/>
  <c r="DL128" i="31"/>
  <c r="DN128" i="31" s="1"/>
  <c r="DM128" i="31"/>
  <c r="DL129" i="31"/>
  <c r="DN129" i="31" s="1"/>
  <c r="DM129" i="31"/>
  <c r="DL130" i="31"/>
  <c r="DM130" i="31"/>
  <c r="DN130" i="31"/>
  <c r="DL131" i="31"/>
  <c r="DN131" i="31" s="1"/>
  <c r="DM131" i="31"/>
  <c r="DL132" i="31"/>
  <c r="DN132" i="31" s="1"/>
  <c r="DM132" i="31"/>
  <c r="DL133" i="31"/>
  <c r="DN133" i="31" s="1"/>
  <c r="DM133" i="31"/>
  <c r="DL134" i="31"/>
  <c r="DM134" i="31"/>
  <c r="DN134" i="31"/>
  <c r="DL135" i="31"/>
  <c r="DN135" i="31" s="1"/>
  <c r="DM135" i="31"/>
  <c r="DL136" i="31"/>
  <c r="DN136" i="31" s="1"/>
  <c r="DM136" i="31"/>
  <c r="DL137" i="31"/>
  <c r="DL138" i="31"/>
  <c r="DM138" i="31"/>
  <c r="DN138" i="31"/>
  <c r="DL140" i="31"/>
  <c r="DN140" i="31" s="1"/>
  <c r="DM140" i="31"/>
  <c r="DL141" i="31"/>
  <c r="DN141" i="31" s="1"/>
  <c r="DM141" i="31"/>
  <c r="DL142" i="31"/>
  <c r="DN142" i="31" s="1"/>
  <c r="DM142" i="31"/>
  <c r="DL143" i="31"/>
  <c r="DM143" i="31"/>
  <c r="DN143" i="31"/>
  <c r="DK145" i="31"/>
  <c r="DJ145" i="31"/>
  <c r="DG145" i="31"/>
  <c r="DF145" i="31"/>
  <c r="DE145" i="31"/>
  <c r="DD14" i="31"/>
  <c r="DD145" i="31"/>
  <c r="DC145" i="31"/>
  <c r="CO145" i="31"/>
  <c r="CI145" i="31"/>
  <c r="CH14" i="31"/>
  <c r="CH145" i="31"/>
  <c r="CF14" i="31"/>
  <c r="CF145" i="31" s="1"/>
  <c r="CE145" i="31"/>
  <c r="CD14" i="31"/>
  <c r="CD145" i="31"/>
  <c r="CC14" i="31"/>
  <c r="CC145" i="31"/>
  <c r="BZ145" i="31"/>
  <c r="BT145" i="31"/>
  <c r="BO145" i="31"/>
  <c r="BN145" i="31"/>
  <c r="BM145" i="31"/>
  <c r="BL145" i="31"/>
  <c r="BK145" i="31"/>
  <c r="BJ142" i="31"/>
  <c r="BJ145" i="31"/>
  <c r="AR14" i="31"/>
  <c r="AR15" i="31"/>
  <c r="AR16" i="31"/>
  <c r="AR17" i="31"/>
  <c r="AR18" i="31"/>
  <c r="AR19" i="31"/>
  <c r="AR20" i="31"/>
  <c r="AR21" i="31"/>
  <c r="AR22" i="31"/>
  <c r="AR23" i="31"/>
  <c r="AR24" i="31"/>
  <c r="AR25" i="31"/>
  <c r="AR26" i="31"/>
  <c r="AR27" i="31"/>
  <c r="AR28" i="31"/>
  <c r="AR29" i="31"/>
  <c r="AR30" i="31"/>
  <c r="AR31" i="31"/>
  <c r="AR32" i="31"/>
  <c r="AR33" i="31"/>
  <c r="AR34" i="31"/>
  <c r="AR35" i="31"/>
  <c r="AR36" i="31"/>
  <c r="AR37" i="31"/>
  <c r="AR39" i="31"/>
  <c r="AR40" i="31"/>
  <c r="AR41" i="31"/>
  <c r="AR42" i="31"/>
  <c r="AR44" i="31"/>
  <c r="AR47" i="31"/>
  <c r="AR48" i="31"/>
  <c r="AR49" i="31"/>
  <c r="AR50" i="31"/>
  <c r="AR51" i="31"/>
  <c r="AR52" i="31"/>
  <c r="AR53" i="31"/>
  <c r="AR54" i="31"/>
  <c r="AR55" i="31"/>
  <c r="AR56" i="31"/>
  <c r="AR58" i="31"/>
  <c r="AR59" i="31"/>
  <c r="AR60" i="31"/>
  <c r="AR61" i="31"/>
  <c r="AR62" i="31"/>
  <c r="AR63" i="31"/>
  <c r="AR65" i="31"/>
  <c r="AR66" i="31"/>
  <c r="AR67" i="31"/>
  <c r="AR68" i="31"/>
  <c r="AR69" i="31"/>
  <c r="AR71" i="31"/>
  <c r="AR72" i="31"/>
  <c r="AR74" i="31"/>
  <c r="AR75" i="31"/>
  <c r="AR76" i="31"/>
  <c r="AR77" i="31"/>
  <c r="AR78" i="31"/>
  <c r="AR80" i="31"/>
  <c r="AR83" i="31"/>
  <c r="AR84" i="31"/>
  <c r="AR85" i="31"/>
  <c r="AR86" i="31"/>
  <c r="AR89" i="31"/>
  <c r="AR90" i="31"/>
  <c r="AR91" i="31"/>
  <c r="AR92" i="31"/>
  <c r="AR93" i="31"/>
  <c r="AR94" i="31"/>
  <c r="AR95" i="31"/>
  <c r="AR96" i="31"/>
  <c r="AR97" i="31"/>
  <c r="AR98" i="31"/>
  <c r="AR101" i="31"/>
  <c r="AR102" i="31"/>
  <c r="AR103" i="31"/>
  <c r="AR104" i="31"/>
  <c r="AR106" i="31"/>
  <c r="AR107" i="31"/>
  <c r="AR108" i="31"/>
  <c r="AR109" i="31"/>
  <c r="AR110" i="31"/>
  <c r="AR112" i="31"/>
  <c r="AR114" i="31"/>
  <c r="AR115" i="31"/>
  <c r="AR116" i="31"/>
  <c r="AR117" i="31"/>
  <c r="AR118" i="31"/>
  <c r="AR121" i="31"/>
  <c r="AR122" i="31"/>
  <c r="AR123" i="31"/>
  <c r="AR124" i="31"/>
  <c r="AR125" i="31"/>
  <c r="AR127" i="31"/>
  <c r="AR128" i="31"/>
  <c r="AR129" i="31"/>
  <c r="AR130" i="31"/>
  <c r="AR131" i="31"/>
  <c r="AR132" i="31"/>
  <c r="AR134" i="31"/>
  <c r="AR135" i="31"/>
  <c r="AR136" i="31"/>
  <c r="AR138" i="31"/>
  <c r="AR139" i="31"/>
  <c r="AR140" i="31"/>
  <c r="AM145" i="31"/>
  <c r="AK145" i="31"/>
  <c r="AJ145" i="31"/>
  <c r="AI145" i="31"/>
  <c r="V144" i="31"/>
  <c r="AC144" i="31"/>
  <c r="AC145" i="31"/>
  <c r="X144" i="31"/>
  <c r="DL144" i="31" s="1"/>
  <c r="DN144" i="31" s="1"/>
  <c r="DM144" i="31"/>
  <c r="DJ144" i="31"/>
  <c r="AN144" i="31"/>
  <c r="AK144" i="31"/>
  <c r="AJ144" i="31"/>
  <c r="DJ143" i="31"/>
  <c r="DD143" i="31"/>
  <c r="CM143" i="31"/>
  <c r="CN143" i="31" s="1"/>
  <c r="CH143" i="31"/>
  <c r="CF143" i="31"/>
  <c r="CE143" i="31"/>
  <c r="CD143" i="31"/>
  <c r="CC143" i="31"/>
  <c r="A15" i="3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10" i="31" s="1"/>
  <c r="A111" i="31" s="1"/>
  <c r="A112" i="31" s="1"/>
  <c r="A113" i="31" s="1"/>
  <c r="A114" i="31" s="1"/>
  <c r="A115" i="31" s="1"/>
  <c r="A116" i="31" s="1"/>
  <c r="A117" i="31" s="1"/>
  <c r="A118" i="31" s="1"/>
  <c r="A119" i="31" s="1"/>
  <c r="A120" i="31" s="1"/>
  <c r="A121" i="31" s="1"/>
  <c r="A122" i="31" s="1"/>
  <c r="A123" i="31" s="1"/>
  <c r="A124" i="31" s="1"/>
  <c r="A125" i="31" s="1"/>
  <c r="A126" i="31" s="1"/>
  <c r="A127" i="31" s="1"/>
  <c r="A128" i="31" s="1"/>
  <c r="A129" i="31" s="1"/>
  <c r="A130" i="31" s="1"/>
  <c r="A131" i="31" s="1"/>
  <c r="A132" i="31" s="1"/>
  <c r="A133" i="31" s="1"/>
  <c r="A134" i="31" s="1"/>
  <c r="A135" i="31" s="1"/>
  <c r="A136" i="31" s="1"/>
  <c r="A137" i="31" s="1"/>
  <c r="A138" i="31" s="1"/>
  <c r="A139" i="31" s="1"/>
  <c r="A140" i="31" s="1"/>
  <c r="A141" i="31" s="1"/>
  <c r="A142" i="31" s="1"/>
  <c r="A143" i="31" s="1"/>
  <c r="DJ142" i="31"/>
  <c r="DD142" i="31"/>
  <c r="CM142" i="31"/>
  <c r="CH142" i="31"/>
  <c r="CF142" i="31"/>
  <c r="CE142" i="31"/>
  <c r="CD142" i="31"/>
  <c r="CC142" i="31"/>
  <c r="DI141" i="31"/>
  <c r="DD141" i="31"/>
  <c r="CM141" i="31"/>
  <c r="CN141" i="31"/>
  <c r="CH141" i="31"/>
  <c r="CC141" i="31"/>
  <c r="DJ140" i="31"/>
  <c r="DD140" i="31"/>
  <c r="CM140" i="31"/>
  <c r="CN140" i="31"/>
  <c r="CH140" i="31"/>
  <c r="CF140" i="31"/>
  <c r="CE140" i="31"/>
  <c r="CD140" i="31"/>
  <c r="CC140" i="31"/>
  <c r="DD139" i="31"/>
  <c r="CM139" i="31"/>
  <c r="CH139" i="31"/>
  <c r="CF139" i="31"/>
  <c r="CE139" i="31"/>
  <c r="CD139" i="31"/>
  <c r="CC139" i="31"/>
  <c r="DJ138" i="31"/>
  <c r="DD138" i="31"/>
  <c r="CM138" i="31"/>
  <c r="CH138" i="31"/>
  <c r="CF138" i="31"/>
  <c r="CE138" i="31"/>
  <c r="CD138" i="31"/>
  <c r="CC138" i="31"/>
  <c r="DH137" i="31"/>
  <c r="DJ137" i="31" s="1"/>
  <c r="DI137" i="31"/>
  <c r="DD137" i="31"/>
  <c r="CM137" i="31"/>
  <c r="CH137" i="31"/>
  <c r="CD137" i="31"/>
  <c r="CC137" i="31"/>
  <c r="DD136" i="31"/>
  <c r="CM136" i="31"/>
  <c r="CN136" i="31"/>
  <c r="CH136" i="31"/>
  <c r="CF136" i="31"/>
  <c r="CE136" i="31"/>
  <c r="CD136" i="31"/>
  <c r="CC136" i="31"/>
  <c r="DJ135" i="31"/>
  <c r="DD135" i="31"/>
  <c r="CM135" i="31"/>
  <c r="CN135" i="31" s="1"/>
  <c r="CC135" i="31"/>
  <c r="DJ134" i="31"/>
  <c r="DD134" i="31"/>
  <c r="CM134" i="31"/>
  <c r="CH134" i="31"/>
  <c r="CF134" i="31"/>
  <c r="CE134" i="31"/>
  <c r="CD134" i="31"/>
  <c r="CC134" i="31"/>
  <c r="DJ133" i="31"/>
  <c r="DD133" i="31"/>
  <c r="CM133" i="31"/>
  <c r="CH133" i="31"/>
  <c r="CF133" i="31"/>
  <c r="CE133" i="31"/>
  <c r="CD133" i="31"/>
  <c r="CC133" i="31"/>
  <c r="DJ132" i="31"/>
  <c r="DD132" i="31"/>
  <c r="CM132" i="31"/>
  <c r="CN132" i="31"/>
  <c r="CH132" i="31"/>
  <c r="CC132" i="31"/>
  <c r="DJ131" i="31"/>
  <c r="DD131" i="31"/>
  <c r="CM131" i="31"/>
  <c r="CN131" i="31" s="1"/>
  <c r="CH131" i="31"/>
  <c r="CC131" i="31"/>
  <c r="DJ130" i="31"/>
  <c r="DD130" i="31"/>
  <c r="CM130" i="31"/>
  <c r="CH130" i="31"/>
  <c r="CF130" i="31"/>
  <c r="CE130" i="31"/>
  <c r="CD130" i="31"/>
  <c r="CC130" i="31"/>
  <c r="DH129" i="31"/>
  <c r="DJ129" i="31" s="1"/>
  <c r="DI129" i="31"/>
  <c r="DD129" i="31"/>
  <c r="CM129" i="31"/>
  <c r="CN129" i="31" s="1"/>
  <c r="CH129" i="31"/>
  <c r="CF129" i="31"/>
  <c r="CE129" i="31"/>
  <c r="CD129" i="31"/>
  <c r="CC129" i="31"/>
  <c r="DJ128" i="31"/>
  <c r="DD128" i="31"/>
  <c r="CM128" i="31"/>
  <c r="CH128" i="31"/>
  <c r="CF128" i="31"/>
  <c r="CE128" i="31"/>
  <c r="CD128" i="31"/>
  <c r="CC128" i="31"/>
  <c r="DJ127" i="31"/>
  <c r="DD127" i="31"/>
  <c r="CM127" i="31"/>
  <c r="CN127" i="31" s="1"/>
  <c r="CH127" i="31"/>
  <c r="CC127" i="31"/>
  <c r="DJ126" i="31"/>
  <c r="DD126" i="31"/>
  <c r="CM126" i="31"/>
  <c r="CH126" i="31"/>
  <c r="CF126" i="31"/>
  <c r="CE126" i="31"/>
  <c r="CD126" i="31"/>
  <c r="CC126" i="31"/>
  <c r="DJ125" i="31"/>
  <c r="DD125" i="31"/>
  <c r="CM125" i="31"/>
  <c r="CN125" i="31" s="1"/>
  <c r="CH125" i="31"/>
  <c r="CF125" i="31"/>
  <c r="CE125" i="31"/>
  <c r="CD125" i="31"/>
  <c r="CC125" i="31"/>
  <c r="DJ124" i="31"/>
  <c r="DD124" i="31"/>
  <c r="CM124" i="31"/>
  <c r="CH124" i="31"/>
  <c r="CF124" i="31"/>
  <c r="CE124" i="31"/>
  <c r="CD124" i="31"/>
  <c r="CC124" i="31"/>
  <c r="DJ123" i="31"/>
  <c r="DD123" i="31"/>
  <c r="CM123" i="31"/>
  <c r="CC123" i="31"/>
  <c r="DJ122" i="31"/>
  <c r="DD122" i="31"/>
  <c r="CM122" i="31"/>
  <c r="CN122" i="31"/>
  <c r="CH122" i="31"/>
  <c r="CF122" i="31"/>
  <c r="CE122" i="31"/>
  <c r="CD122" i="31"/>
  <c r="CC122" i="31"/>
  <c r="DJ121" i="31"/>
  <c r="DD121" i="31"/>
  <c r="CM121" i="31"/>
  <c r="CN121" i="31" s="1"/>
  <c r="CH121" i="31"/>
  <c r="CF121" i="31"/>
  <c r="CE121" i="31"/>
  <c r="CD121" i="31"/>
  <c r="CC121" i="31"/>
  <c r="DJ120" i="31"/>
  <c r="DD120" i="31"/>
  <c r="CM120" i="31"/>
  <c r="CH120" i="31"/>
  <c r="CF120" i="31"/>
  <c r="CE120" i="31"/>
  <c r="CD120" i="31"/>
  <c r="DD119" i="31"/>
  <c r="CM119" i="31"/>
  <c r="CH119" i="31"/>
  <c r="CF119" i="31"/>
  <c r="CE119" i="31"/>
  <c r="CD119" i="31"/>
  <c r="CC119" i="31"/>
  <c r="DD118" i="31"/>
  <c r="CM118" i="31"/>
  <c r="CN118" i="31" s="1"/>
  <c r="CH118" i="31"/>
  <c r="CC118" i="31"/>
  <c r="DD117" i="31"/>
  <c r="CM117" i="31"/>
  <c r="CN117" i="31" s="1"/>
  <c r="CH117" i="31"/>
  <c r="CF117" i="31"/>
  <c r="CE117" i="31"/>
  <c r="CD117" i="31"/>
  <c r="CC117" i="31"/>
  <c r="DD116" i="31"/>
  <c r="CM116" i="31"/>
  <c r="CN116" i="31" s="1"/>
  <c r="CH116" i="31"/>
  <c r="CF116" i="31"/>
  <c r="CE116" i="31"/>
  <c r="CD116" i="31"/>
  <c r="CC116" i="31"/>
  <c r="DD115" i="31"/>
  <c r="CM115" i="31"/>
  <c r="CH115" i="31"/>
  <c r="CF115" i="31"/>
  <c r="CE115" i="31"/>
  <c r="CD115" i="31"/>
  <c r="CC115" i="31"/>
  <c r="DD114" i="31"/>
  <c r="CM114" i="31"/>
  <c r="CH114" i="31"/>
  <c r="CF114" i="31"/>
  <c r="CE114" i="31"/>
  <c r="CD114" i="31"/>
  <c r="CC114" i="31"/>
  <c r="DD113" i="31"/>
  <c r="CM113" i="31"/>
  <c r="CN113" i="31" s="1"/>
  <c r="CH113" i="31"/>
  <c r="CF113" i="31"/>
  <c r="CE113" i="31"/>
  <c r="CD113" i="31"/>
  <c r="CC113" i="31"/>
  <c r="DD112" i="31"/>
  <c r="CM112" i="31"/>
  <c r="CN112" i="31" s="1"/>
  <c r="CH112" i="31"/>
  <c r="CF112" i="31"/>
  <c r="CE112" i="31"/>
  <c r="CD112" i="31"/>
  <c r="CC112" i="31"/>
  <c r="DD111" i="31"/>
  <c r="CM111" i="31"/>
  <c r="CF111" i="31"/>
  <c r="CE111" i="31"/>
  <c r="CD111" i="31"/>
  <c r="CC111" i="31"/>
  <c r="DD110" i="31"/>
  <c r="CM110" i="31"/>
  <c r="CH110" i="31"/>
  <c r="CC110" i="31"/>
  <c r="DD109" i="31"/>
  <c r="CM109" i="31"/>
  <c r="CH109" i="31"/>
  <c r="CF109" i="31"/>
  <c r="CE109" i="31"/>
  <c r="CD109" i="31"/>
  <c r="CC109" i="31"/>
  <c r="DD108" i="31"/>
  <c r="CM108" i="31"/>
  <c r="CH108" i="31"/>
  <c r="CF108" i="31"/>
  <c r="CE108" i="31"/>
  <c r="CD108" i="31"/>
  <c r="CC108" i="31"/>
  <c r="DD107" i="31"/>
  <c r="CM107" i="31"/>
  <c r="CN107" i="31" s="1"/>
  <c r="CH107" i="31"/>
  <c r="CC107" i="31"/>
  <c r="DJ106" i="31"/>
  <c r="DD106" i="31"/>
  <c r="CM106" i="31"/>
  <c r="CN106" i="31"/>
  <c r="CH106" i="31"/>
  <c r="CC106" i="31"/>
  <c r="DJ105" i="31"/>
  <c r="DD105" i="31"/>
  <c r="CM105" i="31"/>
  <c r="CN105" i="31"/>
  <c r="CH105" i="31"/>
  <c r="CF105" i="31"/>
  <c r="CE105" i="31"/>
  <c r="CD105" i="31"/>
  <c r="CC105" i="31"/>
  <c r="DJ104" i="31"/>
  <c r="DD104" i="31"/>
  <c r="CM104" i="31"/>
  <c r="CN104" i="31"/>
  <c r="CH104" i="31"/>
  <c r="CF104" i="31"/>
  <c r="CE104" i="31"/>
  <c r="CD104" i="31"/>
  <c r="CC104" i="31"/>
  <c r="DJ103" i="31"/>
  <c r="DD103" i="31"/>
  <c r="CM103" i="31"/>
  <c r="CN103" i="31" s="1"/>
  <c r="CH103" i="31"/>
  <c r="CF103" i="31"/>
  <c r="CE103" i="31"/>
  <c r="CD103" i="31"/>
  <c r="CC103" i="31"/>
  <c r="DD102" i="31"/>
  <c r="CM102" i="31"/>
  <c r="CH102" i="31"/>
  <c r="CC102" i="31"/>
  <c r="DD101" i="31"/>
  <c r="CM101" i="31"/>
  <c r="CH101" i="31"/>
  <c r="CF101" i="31"/>
  <c r="CE101" i="31"/>
  <c r="CD101" i="31"/>
  <c r="CC101" i="31"/>
  <c r="DJ100" i="31"/>
  <c r="CM100" i="31"/>
  <c r="DJ99" i="31"/>
  <c r="CM99" i="31"/>
  <c r="CN99" i="31"/>
  <c r="DJ98" i="31"/>
  <c r="DD98" i="31"/>
  <c r="CM98" i="31"/>
  <c r="CN98" i="31"/>
  <c r="CH98" i="31"/>
  <c r="CF98" i="31"/>
  <c r="CE98" i="31"/>
  <c r="CD98" i="31"/>
  <c r="CC98" i="31"/>
  <c r="DJ97" i="31"/>
  <c r="DD97" i="31"/>
  <c r="CM97" i="31"/>
  <c r="CN97" i="31" s="1"/>
  <c r="CF97" i="31"/>
  <c r="CE97" i="31"/>
  <c r="CD97" i="31"/>
  <c r="CC97" i="31"/>
  <c r="DD96" i="31"/>
  <c r="CM96" i="31"/>
  <c r="CH96" i="31"/>
  <c r="CC96" i="31"/>
  <c r="DD95" i="31"/>
  <c r="CM95" i="31"/>
  <c r="CH95" i="31"/>
  <c r="CF95" i="31"/>
  <c r="CE95" i="31"/>
  <c r="CD95" i="31"/>
  <c r="CC95" i="31"/>
  <c r="DD94" i="31"/>
  <c r="CM94" i="31"/>
  <c r="CN94" i="31" s="1"/>
  <c r="CH94" i="31"/>
  <c r="CF94" i="31"/>
  <c r="CE94" i="31"/>
  <c r="CD94" i="31"/>
  <c r="CC94" i="31"/>
  <c r="DD93" i="31"/>
  <c r="CM93" i="31"/>
  <c r="CH93" i="31"/>
  <c r="CF93" i="31"/>
  <c r="CE93" i="31"/>
  <c r="CD93" i="31"/>
  <c r="CC93" i="31"/>
  <c r="DD92" i="31"/>
  <c r="CM92" i="31"/>
  <c r="CN92" i="31" s="1"/>
  <c r="CH92" i="31"/>
  <c r="CF92" i="31"/>
  <c r="CE92" i="31"/>
  <c r="CD92" i="31"/>
  <c r="CC92" i="31"/>
  <c r="DH91" i="31"/>
  <c r="DJ91" i="31" s="1"/>
  <c r="DI91" i="31"/>
  <c r="DD91" i="31"/>
  <c r="CM91" i="31"/>
  <c r="CH91" i="31"/>
  <c r="CF91" i="31"/>
  <c r="CE91" i="31"/>
  <c r="CD91" i="31"/>
  <c r="CC91" i="31"/>
  <c r="DD90" i="31"/>
  <c r="CM90" i="31"/>
  <c r="CN90" i="31"/>
  <c r="CH90" i="31"/>
  <c r="CF90" i="31"/>
  <c r="CE90" i="31"/>
  <c r="CD90" i="31"/>
  <c r="CC90" i="31"/>
  <c r="DJ89" i="31"/>
  <c r="DD89" i="31"/>
  <c r="CM89" i="31"/>
  <c r="CH89" i="31"/>
  <c r="CF89" i="31"/>
  <c r="CE89" i="31"/>
  <c r="CD89" i="31"/>
  <c r="CC89" i="31"/>
  <c r="DJ88" i="31"/>
  <c r="CM88" i="31"/>
  <c r="CH88" i="31"/>
  <c r="CF88" i="31"/>
  <c r="CE88" i="31"/>
  <c r="CD88" i="31"/>
  <c r="CC88" i="31"/>
  <c r="DD87" i="31"/>
  <c r="CM87" i="31"/>
  <c r="CN87" i="31" s="1"/>
  <c r="CH87" i="31"/>
  <c r="CF87" i="31"/>
  <c r="CE87" i="31"/>
  <c r="CD87" i="31"/>
  <c r="CC87" i="31"/>
  <c r="DH86" i="31"/>
  <c r="DI86" i="31"/>
  <c r="DD86" i="31"/>
  <c r="CM86" i="31"/>
  <c r="CN86" i="31"/>
  <c r="CH86" i="31"/>
  <c r="CF86" i="31"/>
  <c r="CE86" i="31"/>
  <c r="CD86" i="31"/>
  <c r="CC86" i="31"/>
  <c r="DJ85" i="31"/>
  <c r="DD85" i="31"/>
  <c r="CM85" i="31"/>
  <c r="CN85" i="31" s="1"/>
  <c r="CF85" i="31"/>
  <c r="CE85" i="31"/>
  <c r="CD85" i="31"/>
  <c r="CC85" i="31"/>
  <c r="DD84" i="31"/>
  <c r="CM84" i="31"/>
  <c r="CN84" i="31" s="1"/>
  <c r="CH84" i="31"/>
  <c r="CC84" i="31"/>
  <c r="DD83" i="31"/>
  <c r="CM83" i="31"/>
  <c r="CN83" i="31" s="1"/>
  <c r="CH83" i="31"/>
  <c r="CF83" i="31"/>
  <c r="CE83" i="31"/>
  <c r="CD83" i="31"/>
  <c r="CC83" i="31"/>
  <c r="DJ82" i="31"/>
  <c r="DD82" i="31"/>
  <c r="CM82" i="31"/>
  <c r="CN82" i="31"/>
  <c r="CH82" i="31"/>
  <c r="CF82" i="31"/>
  <c r="CE82" i="31"/>
  <c r="CD82" i="31"/>
  <c r="CC82" i="31"/>
  <c r="DD81" i="31"/>
  <c r="CM81" i="31"/>
  <c r="CH81" i="31"/>
  <c r="CC81" i="31"/>
  <c r="DD80" i="31"/>
  <c r="CM80" i="31"/>
  <c r="CN80" i="31"/>
  <c r="CH80" i="31"/>
  <c r="CC80" i="31"/>
  <c r="DJ79" i="31"/>
  <c r="DD79" i="31"/>
  <c r="CH79" i="31"/>
  <c r="CF79" i="31"/>
  <c r="CE79" i="31"/>
  <c r="CD79" i="31"/>
  <c r="CC79" i="31"/>
  <c r="DJ78" i="31"/>
  <c r="DD78" i="31"/>
  <c r="CM78" i="31"/>
  <c r="CN78" i="31"/>
  <c r="CH78" i="31"/>
  <c r="CF78" i="31"/>
  <c r="CE78" i="31"/>
  <c r="CD78" i="31"/>
  <c r="CC78" i="31"/>
  <c r="DJ77" i="31"/>
  <c r="DD77" i="31"/>
  <c r="CM77" i="31"/>
  <c r="CH77" i="31"/>
  <c r="CF77" i="31"/>
  <c r="CE77" i="31"/>
  <c r="CD77" i="31"/>
  <c r="CC77" i="31"/>
  <c r="DJ76" i="31"/>
  <c r="DD76" i="31"/>
  <c r="CM76" i="31"/>
  <c r="CH76" i="31"/>
  <c r="CC76" i="31"/>
  <c r="DJ75" i="31"/>
  <c r="DD75" i="31"/>
  <c r="CM75" i="31"/>
  <c r="CN75" i="31" s="1"/>
  <c r="CH75" i="31"/>
  <c r="CF75" i="31"/>
  <c r="CE75" i="31"/>
  <c r="CD75" i="31"/>
  <c r="CC75" i="31"/>
  <c r="DJ74" i="31"/>
  <c r="DD74" i="31"/>
  <c r="CM74" i="31"/>
  <c r="CN74" i="31"/>
  <c r="CH74" i="31"/>
  <c r="CF74" i="31"/>
  <c r="CE74" i="31"/>
  <c r="CD74" i="31"/>
  <c r="CC74" i="31"/>
  <c r="DJ73" i="31"/>
  <c r="DD73" i="31"/>
  <c r="CM73" i="31"/>
  <c r="CN73" i="31" s="1"/>
  <c r="CH73" i="31"/>
  <c r="CF73" i="31"/>
  <c r="CE73" i="31"/>
  <c r="CD73" i="31"/>
  <c r="CC73" i="31"/>
  <c r="DJ72" i="31"/>
  <c r="DD72" i="31"/>
  <c r="CM72" i="31"/>
  <c r="CN72" i="31"/>
  <c r="CH72" i="31"/>
  <c r="CC72" i="31"/>
  <c r="DD71" i="31"/>
  <c r="CM71" i="31"/>
  <c r="CN71" i="31"/>
  <c r="CH71" i="31"/>
  <c r="CF71" i="31"/>
  <c r="CE71" i="31"/>
  <c r="CD71" i="31"/>
  <c r="CC71" i="31"/>
  <c r="DJ70" i="31"/>
  <c r="DD70" i="31"/>
  <c r="CM70" i="31"/>
  <c r="CN70" i="31" s="1"/>
  <c r="CH70" i="31"/>
  <c r="CF70" i="31"/>
  <c r="CE70" i="31"/>
  <c r="CD70" i="31"/>
  <c r="CC70" i="31"/>
  <c r="DD69" i="31"/>
  <c r="CM69" i="31"/>
  <c r="CH69" i="31"/>
  <c r="CF69" i="31"/>
  <c r="CE69" i="31"/>
  <c r="CD69" i="31"/>
  <c r="CC69" i="31"/>
  <c r="DD68" i="31"/>
  <c r="CM68" i="31"/>
  <c r="CH68" i="31"/>
  <c r="CF68" i="31"/>
  <c r="CE68" i="31"/>
  <c r="CD68" i="31"/>
  <c r="CC68" i="31"/>
  <c r="DJ67" i="31"/>
  <c r="DD67" i="31"/>
  <c r="CM67" i="31"/>
  <c r="CH67" i="31"/>
  <c r="CF67" i="31"/>
  <c r="CE67" i="31"/>
  <c r="CD67" i="31"/>
  <c r="CC67" i="31"/>
  <c r="DD66" i="31"/>
  <c r="CM66" i="31"/>
  <c r="CN66" i="31"/>
  <c r="CH66" i="31"/>
  <c r="CF66" i="31"/>
  <c r="CE66" i="31"/>
  <c r="CD66" i="31"/>
  <c r="CC66" i="31"/>
  <c r="DD65" i="31"/>
  <c r="CM65" i="31"/>
  <c r="CH65" i="31"/>
  <c r="CF65" i="31"/>
  <c r="CE65" i="31"/>
  <c r="CD65" i="31"/>
  <c r="CC65" i="31"/>
  <c r="DD64" i="31"/>
  <c r="CM64" i="31"/>
  <c r="CN64" i="31"/>
  <c r="CH64" i="31"/>
  <c r="CF64" i="31"/>
  <c r="CE64" i="31"/>
  <c r="CD64" i="31"/>
  <c r="CC64" i="31"/>
  <c r="DD63" i="31"/>
  <c r="CM63" i="31"/>
  <c r="CH63" i="31"/>
  <c r="CF63" i="31"/>
  <c r="CE63" i="31"/>
  <c r="CD63" i="31"/>
  <c r="CC63" i="31"/>
  <c r="DD62" i="31"/>
  <c r="CM62" i="31"/>
  <c r="CH62" i="31"/>
  <c r="CF62" i="31"/>
  <c r="CE62" i="31"/>
  <c r="CD62" i="31"/>
  <c r="CC62" i="31"/>
  <c r="DD61" i="31"/>
  <c r="CM61" i="31"/>
  <c r="CN61" i="31"/>
  <c r="CC61" i="31"/>
  <c r="DD60" i="31"/>
  <c r="CM60" i="31"/>
  <c r="CH60" i="31"/>
  <c r="CC60" i="31"/>
  <c r="DD58" i="31"/>
  <c r="CM58" i="31"/>
  <c r="CH58" i="31"/>
  <c r="CF58" i="31"/>
  <c r="CE58" i="31"/>
  <c r="CD58" i="31"/>
  <c r="CC58" i="31"/>
  <c r="DD57" i="31"/>
  <c r="CM57" i="31"/>
  <c r="CH57" i="31"/>
  <c r="CF57" i="31"/>
  <c r="CE57" i="31"/>
  <c r="CD57" i="31"/>
  <c r="CC57" i="31"/>
  <c r="DD56" i="31"/>
  <c r="CM56" i="31"/>
  <c r="CH56" i="31"/>
  <c r="CC56" i="31"/>
  <c r="DD55" i="31"/>
  <c r="CM55" i="31"/>
  <c r="CH55" i="31"/>
  <c r="CC55" i="31"/>
  <c r="DJ54" i="31"/>
  <c r="DD54" i="31"/>
  <c r="CM54" i="31"/>
  <c r="CN54" i="31" s="1"/>
  <c r="CH54" i="31"/>
  <c r="CF54" i="31"/>
  <c r="CE54" i="31"/>
  <c r="CD54" i="31"/>
  <c r="CC54" i="31"/>
  <c r="DJ53" i="31"/>
  <c r="DD53" i="31"/>
  <c r="CM53" i="31"/>
  <c r="CN53" i="31"/>
  <c r="CH53" i="31"/>
  <c r="CF53" i="31"/>
  <c r="CE53" i="31"/>
  <c r="CD53" i="31"/>
  <c r="CC53" i="31"/>
  <c r="DD52" i="31"/>
  <c r="CM52" i="31"/>
  <c r="CN52" i="31"/>
  <c r="CH52" i="31"/>
  <c r="CF52" i="31"/>
  <c r="CE52" i="31"/>
  <c r="CD52" i="31"/>
  <c r="CC52" i="31"/>
  <c r="DH51" i="31"/>
  <c r="DJ51" i="31" s="1"/>
  <c r="DI51" i="31"/>
  <c r="DD51" i="31"/>
  <c r="CM51" i="31"/>
  <c r="CH51" i="31"/>
  <c r="CC51" i="31"/>
  <c r="DJ49" i="31"/>
  <c r="DD49" i="31"/>
  <c r="CM49" i="31"/>
  <c r="CN49" i="31"/>
  <c r="CH49" i="31"/>
  <c r="CF49" i="31"/>
  <c r="CE49" i="31"/>
  <c r="CD49" i="31"/>
  <c r="CC49" i="31"/>
  <c r="DJ48" i="31"/>
  <c r="DD48" i="31"/>
  <c r="CM48" i="31"/>
  <c r="CH48" i="31"/>
  <c r="CF48" i="31"/>
  <c r="CE48" i="31"/>
  <c r="CD48" i="31"/>
  <c r="CC48" i="31"/>
  <c r="DH47" i="31"/>
  <c r="DI47" i="31"/>
  <c r="DJ47" i="31"/>
  <c r="DD47" i="31"/>
  <c r="CM47" i="31"/>
  <c r="CN47" i="31"/>
  <c r="CF47" i="31"/>
  <c r="CE47" i="31"/>
  <c r="CD47" i="31"/>
  <c r="CC47" i="31"/>
  <c r="DI46" i="31"/>
  <c r="DD46" i="31"/>
  <c r="CM46" i="31"/>
  <c r="CH46" i="31"/>
  <c r="CC46" i="31"/>
  <c r="DJ45" i="31"/>
  <c r="DD45" i="31"/>
  <c r="CM45" i="31"/>
  <c r="CN45" i="31"/>
  <c r="CH45" i="31"/>
  <c r="CF45" i="31"/>
  <c r="CE45" i="31"/>
  <c r="CD45" i="31"/>
  <c r="CC45" i="31"/>
  <c r="DD44" i="31"/>
  <c r="CM44" i="31"/>
  <c r="CN44" i="31"/>
  <c r="CH44" i="31"/>
  <c r="CF44" i="31"/>
  <c r="CE44" i="31"/>
  <c r="CD44" i="31"/>
  <c r="CC44" i="31"/>
  <c r="DJ43" i="31"/>
  <c r="DD43" i="31"/>
  <c r="CM43" i="31"/>
  <c r="CN43" i="31" s="1"/>
  <c r="CH43" i="31"/>
  <c r="CF43" i="31"/>
  <c r="CE43" i="31"/>
  <c r="CD43" i="31"/>
  <c r="CC43" i="31"/>
  <c r="DD42" i="31"/>
  <c r="CM42" i="31"/>
  <c r="CN42" i="31"/>
  <c r="CH42" i="31"/>
  <c r="CF42" i="31"/>
  <c r="CE42" i="31"/>
  <c r="CD42" i="31"/>
  <c r="CC42" i="31"/>
  <c r="DD41" i="31"/>
  <c r="CM41" i="31"/>
  <c r="CN41" i="31" s="1"/>
  <c r="CF41" i="31"/>
  <c r="CE41" i="31"/>
  <c r="CD41" i="31"/>
  <c r="CC41" i="31"/>
  <c r="DD40" i="31"/>
  <c r="CM40" i="31"/>
  <c r="CN40" i="31" s="1"/>
  <c r="CH40" i="31"/>
  <c r="CF40" i="31"/>
  <c r="CE40" i="31"/>
  <c r="CD40" i="31"/>
  <c r="CC40" i="31"/>
  <c r="DD39" i="31"/>
  <c r="CM39" i="31"/>
  <c r="CH39" i="31"/>
  <c r="CF39" i="31"/>
  <c r="CE39" i="31"/>
  <c r="CD39" i="31"/>
  <c r="CC39" i="31"/>
  <c r="DD38" i="31"/>
  <c r="CM38" i="31"/>
  <c r="CN38" i="31" s="1"/>
  <c r="CH38" i="31"/>
  <c r="CF38" i="31"/>
  <c r="CE38" i="31"/>
  <c r="CD38" i="31"/>
  <c r="CC38" i="31"/>
  <c r="DD37" i="31"/>
  <c r="CM37" i="31"/>
  <c r="CN37" i="31" s="1"/>
  <c r="CH37" i="31"/>
  <c r="CF37" i="31"/>
  <c r="CE37" i="31"/>
  <c r="CD37" i="31"/>
  <c r="CC37" i="31"/>
  <c r="DJ36" i="31"/>
  <c r="DD36" i="31"/>
  <c r="CM36" i="31"/>
  <c r="CN36" i="31"/>
  <c r="CH36" i="31"/>
  <c r="CF36" i="31"/>
  <c r="CE36" i="31"/>
  <c r="CD36" i="31"/>
  <c r="CC36" i="31"/>
  <c r="DJ35" i="31"/>
  <c r="DD35" i="31"/>
  <c r="CM35" i="31"/>
  <c r="CN35" i="31" s="1"/>
  <c r="CH35" i="31"/>
  <c r="CF35" i="31"/>
  <c r="CE35" i="31"/>
  <c r="CD35" i="31"/>
  <c r="CC35" i="31"/>
  <c r="DD34" i="31"/>
  <c r="CM34" i="31"/>
  <c r="CH34" i="31"/>
  <c r="CC34" i="31"/>
  <c r="DD33" i="31"/>
  <c r="CM33" i="31"/>
  <c r="CH33" i="31"/>
  <c r="CF33" i="31"/>
  <c r="CE33" i="31"/>
  <c r="CD33" i="31"/>
  <c r="CC33" i="31"/>
  <c r="DJ32" i="31"/>
  <c r="DD32" i="31"/>
  <c r="CM32" i="31"/>
  <c r="CN32" i="31"/>
  <c r="CH32" i="31"/>
  <c r="CF32" i="31"/>
  <c r="CE32" i="31"/>
  <c r="CD32" i="31"/>
  <c r="CC32" i="31"/>
  <c r="DJ31" i="31"/>
  <c r="DD31" i="31"/>
  <c r="CM31" i="31"/>
  <c r="CN31" i="31" s="1"/>
  <c r="CH31" i="31"/>
  <c r="CC31" i="31"/>
  <c r="DJ30" i="31"/>
  <c r="DD30" i="31"/>
  <c r="CM30" i="31"/>
  <c r="CN30" i="31"/>
  <c r="CH30" i="31"/>
  <c r="CC30" i="31"/>
  <c r="DJ29" i="31"/>
  <c r="DD29" i="31"/>
  <c r="CM29" i="31"/>
  <c r="CN29" i="31" s="1"/>
  <c r="CH29" i="31"/>
  <c r="CF29" i="31"/>
  <c r="CE29" i="31"/>
  <c r="CD29" i="31"/>
  <c r="CC29" i="31"/>
  <c r="DD28" i="31"/>
  <c r="CM28" i="31"/>
  <c r="CN28" i="31" s="1"/>
  <c r="CH28" i="31"/>
  <c r="CF28" i="31"/>
  <c r="CE28" i="31"/>
  <c r="CD28" i="31"/>
  <c r="CC28" i="31"/>
  <c r="DD27" i="31"/>
  <c r="CM27" i="31"/>
  <c r="CN27" i="31" s="1"/>
  <c r="CH27" i="31"/>
  <c r="CF27" i="31"/>
  <c r="CE27" i="31"/>
  <c r="CD27" i="31"/>
  <c r="CC27" i="31"/>
  <c r="DD26" i="31"/>
  <c r="CM26" i="31"/>
  <c r="CH26" i="31"/>
  <c r="CC26" i="31"/>
  <c r="DD25" i="31"/>
  <c r="CM25" i="31"/>
  <c r="CH25" i="31"/>
  <c r="CF25" i="31"/>
  <c r="CE25" i="31"/>
  <c r="CD25" i="31"/>
  <c r="CC25" i="31"/>
  <c r="DD24" i="31"/>
  <c r="CM24" i="31"/>
  <c r="CH24" i="31"/>
  <c r="CF24" i="31"/>
  <c r="CE24" i="31"/>
  <c r="CD24" i="31"/>
  <c r="CC24" i="31"/>
  <c r="DD23" i="31"/>
  <c r="CM23" i="31"/>
  <c r="CN23" i="31" s="1"/>
  <c r="CH23" i="31"/>
  <c r="CF23" i="31"/>
  <c r="CE23" i="31"/>
  <c r="CD23" i="31"/>
  <c r="CC23" i="31"/>
  <c r="DD22" i="31"/>
  <c r="CM22" i="31"/>
  <c r="CH22" i="31"/>
  <c r="CC22" i="31"/>
  <c r="DD21" i="31"/>
  <c r="CM21" i="31"/>
  <c r="CN21" i="31" s="1"/>
  <c r="CH21" i="31"/>
  <c r="CF21" i="31"/>
  <c r="CE21" i="31"/>
  <c r="CD21" i="31"/>
  <c r="CC21" i="31"/>
  <c r="DD20" i="31"/>
  <c r="CM20" i="31"/>
  <c r="CN20" i="31" s="1"/>
  <c r="CH20" i="31"/>
  <c r="CF20" i="31"/>
  <c r="CE20" i="31"/>
  <c r="CD20" i="31"/>
  <c r="CC20" i="31"/>
  <c r="DJ19" i="31"/>
  <c r="DD19" i="31"/>
  <c r="CM19" i="31"/>
  <c r="CN19" i="31"/>
  <c r="CH19" i="31"/>
  <c r="CF19" i="31"/>
  <c r="CE19" i="31"/>
  <c r="CD19" i="31"/>
  <c r="CC19" i="31"/>
  <c r="DJ18" i="31"/>
  <c r="DD18" i="31"/>
  <c r="CM18" i="31"/>
  <c r="CN18" i="31" s="1"/>
  <c r="CH18" i="31"/>
  <c r="CD18" i="31"/>
  <c r="CC18" i="31"/>
  <c r="DD17" i="31"/>
  <c r="CM17" i="31"/>
  <c r="CH17" i="31"/>
  <c r="CF17" i="31"/>
  <c r="CE17" i="31"/>
  <c r="CD17" i="31"/>
  <c r="CC17" i="31"/>
  <c r="DD16" i="31"/>
  <c r="CM16" i="31"/>
  <c r="CN16" i="31"/>
  <c r="CH16" i="31"/>
  <c r="CF16" i="31"/>
  <c r="CE16" i="31"/>
  <c r="CD16" i="31"/>
  <c r="CC16" i="31"/>
  <c r="DD15" i="31"/>
  <c r="CM15" i="31"/>
  <c r="CH15" i="31"/>
  <c r="CD15" i="31"/>
  <c r="CC15" i="31"/>
  <c r="CM14" i="31"/>
  <c r="CN14" i="31"/>
  <c r="BI13" i="31"/>
  <c r="BI12" i="31"/>
  <c r="D9" i="31"/>
  <c r="E9" i="31"/>
  <c r="F9" i="31" s="1"/>
  <c r="G9" i="31" s="1"/>
  <c r="H9" i="31" s="1"/>
  <c r="I9" i="31" s="1"/>
  <c r="J9" i="31" s="1"/>
  <c r="K9" i="31"/>
  <c r="L9" i="31" s="1"/>
  <c r="M9" i="31" s="1"/>
  <c r="N9" i="31" s="1"/>
  <c r="O9" i="31" s="1"/>
  <c r="P9" i="31" s="1"/>
  <c r="Q9" i="31" s="1"/>
  <c r="R9" i="31" s="1"/>
  <c r="S9" i="31" s="1"/>
  <c r="T9" i="31" s="1"/>
  <c r="U9" i="31" s="1"/>
  <c r="V9" i="31" s="1"/>
  <c r="W9" i="31" s="1"/>
  <c r="X9" i="31" s="1"/>
  <c r="Y9" i="31" s="1"/>
  <c r="Z9" i="31" s="1"/>
  <c r="AA9" i="31" s="1"/>
  <c r="AB9" i="31" s="1"/>
  <c r="AC9" i="31" s="1"/>
  <c r="AD9" i="31" s="1"/>
  <c r="AE9" i="31" s="1"/>
  <c r="AF9" i="31" s="1"/>
  <c r="AG9" i="31" s="1"/>
  <c r="AH9" i="31" s="1"/>
  <c r="AI9" i="31" s="1"/>
  <c r="AJ9" i="31" s="1"/>
  <c r="AK9" i="31" s="1"/>
  <c r="AL9" i="31" s="1"/>
  <c r="AM9" i="31" s="1"/>
  <c r="AN9" i="31" s="1"/>
  <c r="AO9" i="31" s="1"/>
  <c r="AP9" i="31" s="1"/>
  <c r="AQ9" i="31" s="1"/>
  <c r="AR9" i="31" s="1"/>
  <c r="AS9" i="31" s="1"/>
  <c r="AT9" i="31" s="1"/>
  <c r="AU9" i="31" s="1"/>
  <c r="AV9" i="31" s="1"/>
  <c r="AW9" i="31" s="1"/>
  <c r="AX9" i="31" s="1"/>
  <c r="AY9" i="31" s="1"/>
  <c r="AZ9" i="31" s="1"/>
  <c r="BA9" i="31" s="1"/>
  <c r="BB9" i="31" s="1"/>
  <c r="BC9" i="31" s="1"/>
  <c r="BD9" i="31" s="1"/>
  <c r="BE9" i="31" s="1"/>
  <c r="BF9" i="31" s="1"/>
  <c r="BG9" i="31" s="1"/>
  <c r="BH9" i="31" s="1"/>
  <c r="BI9" i="31" s="1"/>
  <c r="BL9" i="31" s="1"/>
  <c r="BM9" i="31" s="1"/>
  <c r="BN9" i="31" s="1"/>
  <c r="BO9" i="31" s="1"/>
  <c r="BP9" i="31" s="1"/>
  <c r="BQ9" i="31" s="1"/>
  <c r="BR9" i="31" s="1"/>
  <c r="BS9" i="31" s="1"/>
  <c r="BT9" i="31" s="1"/>
  <c r="BU9" i="31" s="1"/>
  <c r="BV9" i="31" s="1"/>
  <c r="BW9" i="31" s="1"/>
  <c r="BX9" i="31" s="1"/>
  <c r="BY9" i="31" s="1"/>
  <c r="BZ9" i="31" s="1"/>
  <c r="CA9" i="31" s="1"/>
  <c r="CB9" i="31" s="1"/>
  <c r="CC9" i="31" s="1"/>
  <c r="CD9" i="31" s="1"/>
  <c r="CE9" i="31" s="1"/>
  <c r="CF9" i="31" s="1"/>
  <c r="CG9" i="31" s="1"/>
  <c r="CH9" i="31" s="1"/>
  <c r="CI9" i="31" s="1"/>
  <c r="CJ9" i="31" s="1"/>
  <c r="CK9" i="31" s="1"/>
  <c r="CL9" i="31" s="1"/>
  <c r="CO9" i="31" s="1"/>
  <c r="CP9" i="31" s="1"/>
  <c r="CQ9" i="31" s="1"/>
  <c r="CR9" i="31" s="1"/>
  <c r="CS9" i="31" s="1"/>
  <c r="CT9" i="31" s="1"/>
  <c r="CU9" i="31" s="1"/>
  <c r="CV9" i="31" s="1"/>
  <c r="CW9" i="31" s="1"/>
  <c r="CX9" i="31" s="1"/>
  <c r="CY9" i="31" s="1"/>
  <c r="CZ9" i="31" s="1"/>
  <c r="DA9" i="31" s="1"/>
  <c r="DB9" i="31" s="1"/>
  <c r="CQ8" i="31"/>
  <c r="CJ8" i="31"/>
  <c r="CJ6" i="31" s="1"/>
  <c r="CJ4" i="31" s="1"/>
  <c r="CI8" i="31"/>
  <c r="CH8" i="31"/>
  <c r="CG8" i="31"/>
  <c r="BH8" i="31"/>
  <c r="AN8" i="31"/>
  <c r="AM8" i="31"/>
  <c r="AL8" i="31"/>
  <c r="AK8" i="31"/>
  <c r="AJ8" i="31"/>
  <c r="AI8" i="31"/>
  <c r="AH8" i="31"/>
  <c r="AG8" i="31"/>
  <c r="AF8" i="31" s="1"/>
  <c r="AD8" i="31"/>
  <c r="AC8" i="31"/>
  <c r="AB8" i="31"/>
  <c r="AA8" i="31"/>
  <c r="Z8" i="31"/>
  <c r="Y8" i="31"/>
  <c r="X8" i="31"/>
  <c r="W8" i="31"/>
  <c r="V8" i="31"/>
  <c r="U8" i="31"/>
  <c r="T8" i="31"/>
  <c r="CL7" i="31"/>
  <c r="BG7" i="31"/>
  <c r="BI7" i="31" s="1"/>
  <c r="O7" i="31"/>
  <c r="BH7" i="31" s="1"/>
  <c r="BE7" i="31"/>
  <c r="Z7" i="31"/>
  <c r="R7" i="31"/>
  <c r="N7" i="31"/>
  <c r="M7" i="31"/>
  <c r="H7" i="31"/>
  <c r="CK5" i="31"/>
  <c r="CJ5" i="31"/>
  <c r="D1" i="31"/>
  <c r="E1" i="31" s="1"/>
  <c r="F1" i="31" s="1"/>
  <c r="G1" i="31" s="1"/>
  <c r="H1" i="31"/>
  <c r="I1" i="31" s="1"/>
  <c r="J1" i="31" s="1"/>
  <c r="K1" i="31" s="1"/>
  <c r="L1" i="31" s="1"/>
  <c r="M1" i="31" s="1"/>
  <c r="N1" i="31" s="1"/>
  <c r="O1" i="31" s="1"/>
  <c r="P1" i="31" s="1"/>
  <c r="Q1" i="31" s="1"/>
  <c r="R1" i="31" s="1"/>
  <c r="S1" i="31" s="1"/>
  <c r="T1" i="31" s="1"/>
  <c r="U1" i="31" s="1"/>
  <c r="V1" i="31" s="1"/>
  <c r="W1" i="31" s="1"/>
  <c r="X1" i="31" s="1"/>
  <c r="Y1" i="31" s="1"/>
  <c r="Z1" i="31" s="1"/>
  <c r="AA1" i="31" s="1"/>
  <c r="AB1" i="31" s="1"/>
  <c r="AC1" i="31" s="1"/>
  <c r="AD1" i="31" s="1"/>
  <c r="AE1" i="31" s="1"/>
  <c r="AF1" i="31" s="1"/>
  <c r="AG1" i="31" s="1"/>
  <c r="AH1" i="31" s="1"/>
  <c r="AI1" i="31" s="1"/>
  <c r="AJ1" i="31" s="1"/>
  <c r="AK1" i="31" s="1"/>
  <c r="AL1" i="31" s="1"/>
  <c r="AM1" i="31" s="1"/>
  <c r="AN1" i="31" s="1"/>
  <c r="AO1" i="31" s="1"/>
  <c r="AP1" i="31" s="1"/>
  <c r="AQ1" i="31" s="1"/>
  <c r="AR1" i="31" s="1"/>
  <c r="AS1" i="31" s="1"/>
  <c r="AT1" i="31" s="1"/>
  <c r="AU1" i="31" s="1"/>
  <c r="AV1" i="31" s="1"/>
  <c r="AW1" i="31" s="1"/>
  <c r="AX1" i="31" s="1"/>
  <c r="AY1" i="31" s="1"/>
  <c r="AZ1" i="31" s="1"/>
  <c r="BA1" i="31" s="1"/>
  <c r="BB1" i="31" s="1"/>
  <c r="BC1" i="31" s="1"/>
  <c r="BD1" i="31" s="1"/>
  <c r="BE1" i="31" s="1"/>
  <c r="BF1" i="31" s="1"/>
  <c r="BG1" i="31" s="1"/>
  <c r="BH1" i="31" s="1"/>
  <c r="BI1" i="31" s="1"/>
  <c r="BL1" i="31" s="1"/>
  <c r="BM1" i="31" s="1"/>
  <c r="BN1" i="31" s="1"/>
  <c r="BO1" i="31" s="1"/>
  <c r="BP1" i="31" s="1"/>
  <c r="BQ1" i="31" s="1"/>
  <c r="BR1" i="31" s="1"/>
  <c r="BS1" i="31" s="1"/>
  <c r="BT1" i="31" s="1"/>
  <c r="BU1" i="31" s="1"/>
  <c r="BV1" i="31" s="1"/>
  <c r="BW1" i="31" s="1"/>
  <c r="BX1" i="31" s="1"/>
  <c r="BY1" i="31" s="1"/>
  <c r="BZ1" i="31" s="1"/>
  <c r="CA1" i="31" s="1"/>
  <c r="CB1" i="31" s="1"/>
  <c r="CC1" i="31" s="1"/>
  <c r="CD1" i="31" s="1"/>
  <c r="CE1" i="31" s="1"/>
  <c r="CF1" i="31" s="1"/>
  <c r="CG1" i="31" s="1"/>
  <c r="CH1" i="31" s="1"/>
  <c r="CI1" i="31" s="1"/>
  <c r="CJ1" i="31" s="1"/>
  <c r="CK1" i="31" s="1"/>
  <c r="CL1" i="31" s="1"/>
  <c r="CO1" i="31" s="1"/>
  <c r="CP1" i="31" s="1"/>
  <c r="CQ1" i="31" s="1"/>
  <c r="CR1" i="31" s="1"/>
  <c r="CS1" i="31" s="1"/>
  <c r="CT1" i="31" s="1"/>
  <c r="CU1" i="31" s="1"/>
  <c r="CV1" i="31" s="1"/>
  <c r="CW1" i="31" s="1"/>
  <c r="CX1" i="31" s="1"/>
  <c r="CY1" i="31" s="1"/>
  <c r="CZ1" i="31" s="1"/>
  <c r="DA1" i="31" s="1"/>
  <c r="DB1" i="31" s="1"/>
  <c r="A15" i="1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/>
  <c r="A37" i="11" s="1"/>
  <c r="A38" i="11" s="1"/>
  <c r="A39" i="11" s="1"/>
  <c r="A40" i="11" s="1"/>
  <c r="A41" i="11" s="1"/>
  <c r="A42" i="11" s="1"/>
  <c r="A43" i="11" s="1"/>
  <c r="A44" i="1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D143" i="13"/>
  <c r="F143" i="13"/>
  <c r="G143" i="13"/>
  <c r="A143" i="13"/>
  <c r="A144" i="13"/>
  <c r="A145" i="13"/>
  <c r="L143" i="13"/>
  <c r="S143" i="13"/>
  <c r="U143" i="13"/>
  <c r="Q143" i="13" s="1"/>
  <c r="M143" i="13"/>
  <c r="T143" i="13"/>
  <c r="V143" i="13"/>
  <c r="W143" i="13"/>
  <c r="X143" i="13"/>
  <c r="AA143" i="13"/>
  <c r="MB53" i="26"/>
  <c r="MA53" i="26"/>
  <c r="LZ53" i="26"/>
  <c r="LY53" i="26"/>
  <c r="LX53" i="26"/>
  <c r="LW53" i="26" s="1"/>
  <c r="LV53" i="26"/>
  <c r="LU53" i="26"/>
  <c r="LT53" i="26" s="1"/>
  <c r="JT53" i="26"/>
  <c r="V53" i="26"/>
  <c r="S53" i="26"/>
  <c r="R53" i="26"/>
  <c r="L53" i="26"/>
  <c r="K53" i="26" s="1"/>
  <c r="J53" i="26" s="1"/>
  <c r="E53" i="26" s="1"/>
  <c r="H53" i="26" s="1"/>
  <c r="MB52" i="26"/>
  <c r="MA52" i="26"/>
  <c r="LZ52" i="26"/>
  <c r="LW52" i="26" s="1"/>
  <c r="LY52" i="26"/>
  <c r="LX52" i="26"/>
  <c r="LV52" i="26"/>
  <c r="LU52" i="26"/>
  <c r="LT52" i="26"/>
  <c r="JT52" i="26"/>
  <c r="V52" i="26"/>
  <c r="S52" i="26"/>
  <c r="R52" i="26"/>
  <c r="L52" i="26"/>
  <c r="K52" i="26" s="1"/>
  <c r="J52" i="26" s="1"/>
  <c r="E52" i="26" s="1"/>
  <c r="H52" i="26" s="1"/>
  <c r="MB51" i="26"/>
  <c r="MA51" i="26"/>
  <c r="LZ51" i="26"/>
  <c r="LY51" i="26"/>
  <c r="LX51" i="26"/>
  <c r="LW51" i="26"/>
  <c r="LV51" i="26"/>
  <c r="LU51" i="26"/>
  <c r="LT51" i="26" s="1"/>
  <c r="JT51" i="26"/>
  <c r="V51" i="26"/>
  <c r="S51" i="26"/>
  <c r="R51" i="26"/>
  <c r="L51" i="26"/>
  <c r="K51" i="26"/>
  <c r="J51" i="26" s="1"/>
  <c r="E51" i="26" s="1"/>
  <c r="H51" i="26" s="1"/>
  <c r="MB50" i="26"/>
  <c r="MA50" i="26"/>
  <c r="LZ50" i="26"/>
  <c r="LY50" i="26"/>
  <c r="LX50" i="26"/>
  <c r="LW50" i="26" s="1"/>
  <c r="LV50" i="26"/>
  <c r="LU50" i="26"/>
  <c r="LT50" i="26"/>
  <c r="JT50" i="26"/>
  <c r="V50" i="26"/>
  <c r="S50" i="26"/>
  <c r="R50" i="26"/>
  <c r="L50" i="26"/>
  <c r="K50" i="26" s="1"/>
  <c r="J50" i="26" s="1"/>
  <c r="E50" i="26" s="1"/>
  <c r="H50" i="26" s="1"/>
  <c r="MB49" i="26"/>
  <c r="MA49" i="26"/>
  <c r="LZ49" i="26"/>
  <c r="LY49" i="26"/>
  <c r="LX49" i="26"/>
  <c r="LW49" i="26"/>
  <c r="LV49" i="26"/>
  <c r="LU49" i="26"/>
  <c r="LT49" i="26" s="1"/>
  <c r="JT49" i="26"/>
  <c r="V49" i="26"/>
  <c r="S49" i="26"/>
  <c r="R49" i="26"/>
  <c r="L49" i="26"/>
  <c r="K49" i="26"/>
  <c r="J49" i="26" s="1"/>
  <c r="E49" i="26" s="1"/>
  <c r="H49" i="26" s="1"/>
  <c r="MB48" i="26"/>
  <c r="MA48" i="26"/>
  <c r="LZ48" i="26"/>
  <c r="LY48" i="26"/>
  <c r="LX48" i="26"/>
  <c r="LW48" i="26" s="1"/>
  <c r="LV48" i="26"/>
  <c r="LU48" i="26"/>
  <c r="LT48" i="26"/>
  <c r="JT48" i="26"/>
  <c r="V48" i="26"/>
  <c r="S48" i="26"/>
  <c r="R48" i="26"/>
  <c r="L48" i="26"/>
  <c r="K48" i="26" s="1"/>
  <c r="J48" i="26" s="1"/>
  <c r="E48" i="26" s="1"/>
  <c r="H48" i="26" s="1"/>
  <c r="MB47" i="26"/>
  <c r="MA47" i="26"/>
  <c r="LZ47" i="26"/>
  <c r="LY47" i="26"/>
  <c r="LX47" i="26"/>
  <c r="LW47" i="26"/>
  <c r="LV47" i="26"/>
  <c r="LU47" i="26"/>
  <c r="LT47" i="26" s="1"/>
  <c r="JT47" i="26"/>
  <c r="V47" i="26"/>
  <c r="S47" i="26"/>
  <c r="R47" i="26"/>
  <c r="L47" i="26"/>
  <c r="K47" i="26"/>
  <c r="J47" i="26" s="1"/>
  <c r="E47" i="26" s="1"/>
  <c r="H47" i="26" s="1"/>
  <c r="MB46" i="26"/>
  <c r="MA46" i="26"/>
  <c r="LZ46" i="26"/>
  <c r="LY46" i="26"/>
  <c r="LX46" i="26"/>
  <c r="LW46" i="26" s="1"/>
  <c r="LV46" i="26"/>
  <c r="LU46" i="26"/>
  <c r="LT46" i="26"/>
  <c r="JT46" i="26"/>
  <c r="V46" i="26"/>
  <c r="S46" i="26"/>
  <c r="R46" i="26"/>
  <c r="L46" i="26"/>
  <c r="K46" i="26" s="1"/>
  <c r="J46" i="26" s="1"/>
  <c r="E46" i="26" s="1"/>
  <c r="H46" i="26" s="1"/>
  <c r="MB45" i="26"/>
  <c r="MA45" i="26"/>
  <c r="LZ45" i="26"/>
  <c r="LY45" i="26"/>
  <c r="LX45" i="26"/>
  <c r="LW45" i="26"/>
  <c r="LV45" i="26"/>
  <c r="LU45" i="26"/>
  <c r="LT45" i="26" s="1"/>
  <c r="JT45" i="26"/>
  <c r="V45" i="26"/>
  <c r="S45" i="26"/>
  <c r="R45" i="26"/>
  <c r="L45" i="26"/>
  <c r="K45" i="26"/>
  <c r="J45" i="26" s="1"/>
  <c r="E45" i="26" s="1"/>
  <c r="H45" i="26" s="1"/>
  <c r="MB44" i="26"/>
  <c r="MA44" i="26"/>
  <c r="LZ44" i="26"/>
  <c r="LY44" i="26"/>
  <c r="LX44" i="26"/>
  <c r="LW44" i="26" s="1"/>
  <c r="LV44" i="26"/>
  <c r="LU44" i="26"/>
  <c r="LT44" i="26"/>
  <c r="JT44" i="26"/>
  <c r="V44" i="26"/>
  <c r="S44" i="26"/>
  <c r="R44" i="26"/>
  <c r="L44" i="26"/>
  <c r="K44" i="26" s="1"/>
  <c r="J44" i="26" s="1"/>
  <c r="E44" i="26" s="1"/>
  <c r="H44" i="26" s="1"/>
  <c r="MB43" i="26"/>
  <c r="MA43" i="26"/>
  <c r="LZ43" i="26"/>
  <c r="LY43" i="26"/>
  <c r="LX43" i="26"/>
  <c r="LW43" i="26"/>
  <c r="LV43" i="26"/>
  <c r="LU43" i="26"/>
  <c r="LT43" i="26" s="1"/>
  <c r="JT43" i="26"/>
  <c r="V43" i="26"/>
  <c r="S43" i="26"/>
  <c r="R43" i="26"/>
  <c r="L43" i="26"/>
  <c r="K43" i="26"/>
  <c r="J43" i="26" s="1"/>
  <c r="E43" i="26" s="1"/>
  <c r="H43" i="26" s="1"/>
  <c r="MB42" i="26"/>
  <c r="MA42" i="26"/>
  <c r="LZ42" i="26"/>
  <c r="LY42" i="26"/>
  <c r="LX42" i="26"/>
  <c r="LW42" i="26" s="1"/>
  <c r="LV42" i="26"/>
  <c r="LU42" i="26"/>
  <c r="LT42" i="26"/>
  <c r="JT42" i="26"/>
  <c r="V42" i="26"/>
  <c r="S42" i="26"/>
  <c r="R42" i="26"/>
  <c r="L42" i="26"/>
  <c r="K42" i="26" s="1"/>
  <c r="J42" i="26" s="1"/>
  <c r="E42" i="26" s="1"/>
  <c r="H42" i="26" s="1"/>
  <c r="MB41" i="26"/>
  <c r="MA41" i="26"/>
  <c r="LZ41" i="26"/>
  <c r="LY41" i="26"/>
  <c r="LX41" i="26"/>
  <c r="LW41" i="26"/>
  <c r="LV41" i="26"/>
  <c r="LU41" i="26"/>
  <c r="LT41" i="26" s="1"/>
  <c r="JT41" i="26"/>
  <c r="V41" i="26"/>
  <c r="S41" i="26"/>
  <c r="R41" i="26"/>
  <c r="L41" i="26"/>
  <c r="K41" i="26"/>
  <c r="J41" i="26" s="1"/>
  <c r="E41" i="26" s="1"/>
  <c r="H41" i="26" s="1"/>
  <c r="MB40" i="26"/>
  <c r="MA40" i="26"/>
  <c r="LZ40" i="26"/>
  <c r="LY40" i="26"/>
  <c r="LX40" i="26"/>
  <c r="LW40" i="26" s="1"/>
  <c r="LV40" i="26"/>
  <c r="LU40" i="26"/>
  <c r="LT40" i="26"/>
  <c r="JT40" i="26"/>
  <c r="V40" i="26"/>
  <c r="S40" i="26"/>
  <c r="R40" i="26"/>
  <c r="L40" i="26"/>
  <c r="K40" i="26" s="1"/>
  <c r="J40" i="26" s="1"/>
  <c r="E40" i="26" s="1"/>
  <c r="H40" i="26" s="1"/>
  <c r="MB39" i="26"/>
  <c r="MA39" i="26"/>
  <c r="LZ39" i="26"/>
  <c r="LY39" i="26"/>
  <c r="LX39" i="26"/>
  <c r="LW39" i="26"/>
  <c r="LV39" i="26"/>
  <c r="LU39" i="26"/>
  <c r="LT39" i="26" s="1"/>
  <c r="JT39" i="26"/>
  <c r="V39" i="26"/>
  <c r="S39" i="26"/>
  <c r="L39" i="26"/>
  <c r="R39" i="26"/>
  <c r="K39" i="26"/>
  <c r="J39" i="26" s="1"/>
  <c r="E39" i="26" s="1"/>
  <c r="H39" i="26" s="1"/>
  <c r="MB38" i="26"/>
  <c r="MA38" i="26"/>
  <c r="LZ38" i="26"/>
  <c r="LY38" i="26"/>
  <c r="LX38" i="26"/>
  <c r="LW38" i="26" s="1"/>
  <c r="LV38" i="26"/>
  <c r="LU38" i="26"/>
  <c r="LT38" i="26"/>
  <c r="JT38" i="26"/>
  <c r="V38" i="26"/>
  <c r="S38" i="26"/>
  <c r="R38" i="26"/>
  <c r="L38" i="26"/>
  <c r="K38" i="26" s="1"/>
  <c r="J38" i="26" s="1"/>
  <c r="E38" i="26" s="1"/>
  <c r="H38" i="26" s="1"/>
  <c r="MB37" i="26"/>
  <c r="MA37" i="26"/>
  <c r="LZ37" i="26"/>
  <c r="LY37" i="26"/>
  <c r="LX37" i="26"/>
  <c r="LW37" i="26"/>
  <c r="LV37" i="26"/>
  <c r="LU37" i="26"/>
  <c r="LT37" i="26" s="1"/>
  <c r="JT37" i="26"/>
  <c r="V37" i="26"/>
  <c r="S37" i="26"/>
  <c r="R37" i="26"/>
  <c r="L37" i="26"/>
  <c r="K37" i="26"/>
  <c r="J37" i="26" s="1"/>
  <c r="E37" i="26" s="1"/>
  <c r="H37" i="26" s="1"/>
  <c r="MB36" i="26"/>
  <c r="MA36" i="26"/>
  <c r="LZ36" i="26"/>
  <c r="LY36" i="26"/>
  <c r="LX36" i="26"/>
  <c r="LW36" i="26" s="1"/>
  <c r="LV36" i="26"/>
  <c r="LU36" i="26"/>
  <c r="LT36" i="26"/>
  <c r="JT36" i="26"/>
  <c r="V36" i="26"/>
  <c r="S36" i="26"/>
  <c r="R36" i="26"/>
  <c r="L36" i="26"/>
  <c r="K36" i="26" s="1"/>
  <c r="J36" i="26" s="1"/>
  <c r="E36" i="26" s="1"/>
  <c r="H36" i="26" s="1"/>
  <c r="MB35" i="26"/>
  <c r="MA35" i="26"/>
  <c r="LZ35" i="26"/>
  <c r="LY35" i="26"/>
  <c r="LX35" i="26"/>
  <c r="LW35" i="26"/>
  <c r="LV35" i="26"/>
  <c r="LU35" i="26"/>
  <c r="LT35" i="26" s="1"/>
  <c r="JT35" i="26"/>
  <c r="V35" i="26"/>
  <c r="S35" i="26"/>
  <c r="R35" i="26"/>
  <c r="L35" i="26"/>
  <c r="K35" i="26"/>
  <c r="J35" i="26" s="1"/>
  <c r="E35" i="26" s="1"/>
  <c r="H35" i="26" s="1"/>
  <c r="MB34" i="26"/>
  <c r="MA34" i="26"/>
  <c r="LZ34" i="26"/>
  <c r="LY34" i="26"/>
  <c r="LX34" i="26"/>
  <c r="LW34" i="26" s="1"/>
  <c r="LV34" i="26"/>
  <c r="LU34" i="26"/>
  <c r="JT34" i="26"/>
  <c r="V34" i="26"/>
  <c r="S34" i="26"/>
  <c r="R34" i="26"/>
  <c r="L34" i="26"/>
  <c r="K34" i="26"/>
  <c r="J34" i="26" s="1"/>
  <c r="E34" i="26" s="1"/>
  <c r="H34" i="26" s="1"/>
  <c r="MB33" i="26"/>
  <c r="MA33" i="26"/>
  <c r="LZ33" i="26"/>
  <c r="LY33" i="26"/>
  <c r="LX33" i="26"/>
  <c r="LW33" i="26"/>
  <c r="LV33" i="26"/>
  <c r="LU33" i="26"/>
  <c r="LT33" i="26"/>
  <c r="JT33" i="26"/>
  <c r="V33" i="26"/>
  <c r="S33" i="26"/>
  <c r="R33" i="26"/>
  <c r="L33" i="26"/>
  <c r="MB32" i="26"/>
  <c r="MA32" i="26"/>
  <c r="LZ32" i="26"/>
  <c r="LY32" i="26"/>
  <c r="LX32" i="26"/>
  <c r="LW32" i="26" s="1"/>
  <c r="LV32" i="26"/>
  <c r="LV8" i="26" s="1"/>
  <c r="LV9" i="26" s="1"/>
  <c r="LU32" i="26"/>
  <c r="JT32" i="26"/>
  <c r="V32" i="26"/>
  <c r="S32" i="26"/>
  <c r="R32" i="26"/>
  <c r="L32" i="26"/>
  <c r="K32" i="26"/>
  <c r="J32" i="26" s="1"/>
  <c r="E32" i="26" s="1"/>
  <c r="H32" i="26" s="1"/>
  <c r="MB31" i="26"/>
  <c r="MA31" i="26"/>
  <c r="LZ31" i="26"/>
  <c r="LY31" i="26"/>
  <c r="LX31" i="26"/>
  <c r="LW31" i="26" s="1"/>
  <c r="LV31" i="26"/>
  <c r="LU31" i="26"/>
  <c r="LT31" i="26"/>
  <c r="JT31" i="26"/>
  <c r="V31" i="26"/>
  <c r="S31" i="26"/>
  <c r="R31" i="26"/>
  <c r="L31" i="26"/>
  <c r="K31" i="26" s="1"/>
  <c r="J31" i="26" s="1"/>
  <c r="E31" i="26" s="1"/>
  <c r="H31" i="26" s="1"/>
  <c r="MB30" i="26"/>
  <c r="MA30" i="26"/>
  <c r="LZ30" i="26"/>
  <c r="LY30" i="26"/>
  <c r="LX30" i="26"/>
  <c r="LW30" i="26"/>
  <c r="LV30" i="26"/>
  <c r="LU30" i="26"/>
  <c r="LT30" i="26" s="1"/>
  <c r="JT30" i="26"/>
  <c r="V30" i="26"/>
  <c r="S30" i="26"/>
  <c r="R30" i="26"/>
  <c r="L30" i="26"/>
  <c r="K30" i="26"/>
  <c r="J30" i="26" s="1"/>
  <c r="E30" i="26" s="1"/>
  <c r="H30" i="26" s="1"/>
  <c r="MB29" i="26"/>
  <c r="MA29" i="26"/>
  <c r="LZ29" i="26"/>
  <c r="LX29" i="26"/>
  <c r="LW29" i="26" s="1"/>
  <c r="LY29" i="26"/>
  <c r="LV29" i="26"/>
  <c r="LV11" i="26"/>
  <c r="LV12" i="26"/>
  <c r="LV13" i="26"/>
  <c r="LV14" i="26"/>
  <c r="LV15" i="26"/>
  <c r="LT15" i="26" s="1"/>
  <c r="LV16" i="26"/>
  <c r="LV17" i="26"/>
  <c r="LT17" i="26" s="1"/>
  <c r="LV18" i="26"/>
  <c r="LT18" i="26" s="1"/>
  <c r="LV19" i="26"/>
  <c r="LV20" i="26"/>
  <c r="LV21" i="26"/>
  <c r="LV22" i="26"/>
  <c r="LV23" i="26"/>
  <c r="LV24" i="26"/>
  <c r="LV25" i="26"/>
  <c r="LV26" i="26"/>
  <c r="LV27" i="26"/>
  <c r="LV28" i="26"/>
  <c r="U8" i="26"/>
  <c r="LU29" i="26"/>
  <c r="JT29" i="26"/>
  <c r="V29" i="26"/>
  <c r="S29" i="26"/>
  <c r="R29" i="26"/>
  <c r="L29" i="26"/>
  <c r="K29" i="26"/>
  <c r="J29" i="26"/>
  <c r="E29" i="26" s="1"/>
  <c r="H29" i="26"/>
  <c r="MB28" i="26"/>
  <c r="MA28" i="26"/>
  <c r="LZ28" i="26"/>
  <c r="LY28" i="26"/>
  <c r="LX28" i="26"/>
  <c r="LU28" i="26"/>
  <c r="LT28" i="26"/>
  <c r="JT28" i="26"/>
  <c r="V28" i="26"/>
  <c r="S28" i="26"/>
  <c r="R28" i="26"/>
  <c r="L28" i="26"/>
  <c r="K28" i="26" s="1"/>
  <c r="J28" i="26" s="1"/>
  <c r="E28" i="26" s="1"/>
  <c r="H28" i="26" s="1"/>
  <c r="MB27" i="26"/>
  <c r="MA27" i="26"/>
  <c r="LZ27" i="26"/>
  <c r="LY27" i="26"/>
  <c r="LX27" i="26"/>
  <c r="LW27" i="26"/>
  <c r="LU27" i="26"/>
  <c r="LT27" i="26"/>
  <c r="JT27" i="26"/>
  <c r="V27" i="26"/>
  <c r="S27" i="26"/>
  <c r="R27" i="26"/>
  <c r="L27" i="26"/>
  <c r="MB26" i="26"/>
  <c r="MA26" i="26"/>
  <c r="LZ26" i="26"/>
  <c r="LX26" i="26"/>
  <c r="LW26" i="26" s="1"/>
  <c r="LY26" i="26"/>
  <c r="LU26" i="26"/>
  <c r="LT26" i="26" s="1"/>
  <c r="JT26" i="26"/>
  <c r="V26" i="26"/>
  <c r="S26" i="26"/>
  <c r="R26" i="26"/>
  <c r="L26" i="26"/>
  <c r="K26" i="26"/>
  <c r="J26" i="26" s="1"/>
  <c r="E26" i="26" s="1"/>
  <c r="H26" i="26" s="1"/>
  <c r="MB25" i="26"/>
  <c r="MA25" i="26"/>
  <c r="LZ25" i="26"/>
  <c r="LY25" i="26"/>
  <c r="LX25" i="26"/>
  <c r="LU25" i="26"/>
  <c r="LT25" i="26" s="1"/>
  <c r="JT25" i="26"/>
  <c r="V25" i="26"/>
  <c r="S25" i="26"/>
  <c r="R25" i="26"/>
  <c r="L25" i="26"/>
  <c r="K25" i="26" s="1"/>
  <c r="MB24" i="26"/>
  <c r="MA24" i="26"/>
  <c r="LZ24" i="26"/>
  <c r="LY24" i="26"/>
  <c r="LX24" i="26"/>
  <c r="LW24" i="26" s="1"/>
  <c r="LU24" i="26"/>
  <c r="LT24" i="26"/>
  <c r="JT24" i="26"/>
  <c r="V24" i="26"/>
  <c r="S24" i="26"/>
  <c r="R24" i="26"/>
  <c r="L24" i="26"/>
  <c r="MB23" i="26"/>
  <c r="MA23" i="26"/>
  <c r="LZ23" i="26"/>
  <c r="LW23" i="26" s="1"/>
  <c r="LX23" i="26"/>
  <c r="LY23" i="26"/>
  <c r="LU23" i="26"/>
  <c r="JT23" i="26"/>
  <c r="V23" i="26"/>
  <c r="S23" i="26"/>
  <c r="R23" i="26"/>
  <c r="L23" i="26"/>
  <c r="K23" i="26" s="1"/>
  <c r="J23" i="26" s="1"/>
  <c r="E23" i="26" s="1"/>
  <c r="H23" i="26" s="1"/>
  <c r="MB22" i="26"/>
  <c r="MA22" i="26"/>
  <c r="LZ22" i="26"/>
  <c r="LY22" i="26"/>
  <c r="LX22" i="26"/>
  <c r="LW22" i="26"/>
  <c r="LU22" i="26"/>
  <c r="LT22" i="26"/>
  <c r="JT22" i="26"/>
  <c r="V22" i="26"/>
  <c r="S22" i="26"/>
  <c r="J22" i="26" s="1"/>
  <c r="E22" i="26" s="1"/>
  <c r="H22" i="26" s="1"/>
  <c r="R22" i="26"/>
  <c r="L22" i="26"/>
  <c r="K22" i="26"/>
  <c r="MB21" i="26"/>
  <c r="MA21" i="26"/>
  <c r="LZ21" i="26"/>
  <c r="LY21" i="26"/>
  <c r="LX21" i="26"/>
  <c r="LU21" i="26"/>
  <c r="LT21" i="26" s="1"/>
  <c r="JT21" i="26"/>
  <c r="V21" i="26"/>
  <c r="S21" i="26"/>
  <c r="R21" i="26"/>
  <c r="L21" i="26"/>
  <c r="K21" i="26" s="1"/>
  <c r="J21" i="26" s="1"/>
  <c r="E21" i="26" s="1"/>
  <c r="H21" i="26" s="1"/>
  <c r="MB20" i="26"/>
  <c r="MA20" i="26"/>
  <c r="LZ20" i="26"/>
  <c r="LX20" i="26"/>
  <c r="LY20" i="26"/>
  <c r="LW20" i="26"/>
  <c r="LU20" i="26"/>
  <c r="LT20" i="26"/>
  <c r="JT20" i="26"/>
  <c r="V20" i="26"/>
  <c r="S20" i="26"/>
  <c r="R20" i="26"/>
  <c r="L20" i="26"/>
  <c r="K20" i="26" s="1"/>
  <c r="MB19" i="26"/>
  <c r="MA19" i="26"/>
  <c r="LZ19" i="26"/>
  <c r="LY19" i="26"/>
  <c r="LX19" i="26"/>
  <c r="LU19" i="26"/>
  <c r="LT19" i="26" s="1"/>
  <c r="JT19" i="26"/>
  <c r="V19" i="26"/>
  <c r="S19" i="26"/>
  <c r="R19" i="26"/>
  <c r="L19" i="26"/>
  <c r="K19" i="26"/>
  <c r="J19" i="26"/>
  <c r="E19" i="26"/>
  <c r="H19" i="26" s="1"/>
  <c r="MB18" i="26"/>
  <c r="MA18" i="26"/>
  <c r="LZ18" i="26"/>
  <c r="LY18" i="26"/>
  <c r="LX18" i="26"/>
  <c r="LU18" i="26"/>
  <c r="JT18" i="26"/>
  <c r="V18" i="26"/>
  <c r="S18" i="26"/>
  <c r="R18" i="26"/>
  <c r="L18" i="26"/>
  <c r="K18" i="26"/>
  <c r="J18" i="26" s="1"/>
  <c r="E18" i="26" s="1"/>
  <c r="H18" i="26" s="1"/>
  <c r="MB17" i="26"/>
  <c r="MA17" i="26"/>
  <c r="LZ17" i="26"/>
  <c r="LY17" i="26"/>
  <c r="LX17" i="26"/>
  <c r="LU17" i="26"/>
  <c r="JT17" i="26"/>
  <c r="V17" i="26"/>
  <c r="S17" i="26"/>
  <c r="R17" i="26"/>
  <c r="L17" i="26"/>
  <c r="K17" i="26" s="1"/>
  <c r="J17" i="26" s="1"/>
  <c r="E17" i="26" s="1"/>
  <c r="H17" i="26" s="1"/>
  <c r="MB16" i="26"/>
  <c r="MA16" i="26"/>
  <c r="LZ16" i="26"/>
  <c r="LY16" i="26"/>
  <c r="LX16" i="26"/>
  <c r="LU16" i="26"/>
  <c r="LT16" i="26" s="1"/>
  <c r="JT16" i="26"/>
  <c r="V16" i="26"/>
  <c r="S16" i="26"/>
  <c r="R16" i="26"/>
  <c r="L16" i="26"/>
  <c r="K16" i="26" s="1"/>
  <c r="J16" i="26" s="1"/>
  <c r="E16" i="26" s="1"/>
  <c r="H16" i="26" s="1"/>
  <c r="MB15" i="26"/>
  <c r="MB8" i="26" s="1"/>
  <c r="MB9" i="26" s="1"/>
  <c r="MA15" i="26"/>
  <c r="LZ15" i="26"/>
  <c r="LY15" i="26"/>
  <c r="LX15" i="26"/>
  <c r="LW15" i="26" s="1"/>
  <c r="LU15" i="26"/>
  <c r="JT15" i="26"/>
  <c r="V15" i="26"/>
  <c r="S15" i="26"/>
  <c r="R15" i="26"/>
  <c r="L15" i="26"/>
  <c r="K15" i="26" s="1"/>
  <c r="J15" i="26" s="1"/>
  <c r="E15" i="26" s="1"/>
  <c r="H15" i="26" s="1"/>
  <c r="MB14" i="26"/>
  <c r="MA14" i="26"/>
  <c r="LZ14" i="26"/>
  <c r="LY14" i="26"/>
  <c r="LX14" i="26"/>
  <c r="LU14" i="26"/>
  <c r="LT14" i="26" s="1"/>
  <c r="JT14" i="26"/>
  <c r="V14" i="26"/>
  <c r="S14" i="26"/>
  <c r="R14" i="26"/>
  <c r="L14" i="26"/>
  <c r="K14" i="26" s="1"/>
  <c r="MB13" i="26"/>
  <c r="MB11" i="26"/>
  <c r="MB12" i="26"/>
  <c r="AA8" i="26"/>
  <c r="MA13" i="26"/>
  <c r="LZ13" i="26"/>
  <c r="LY13" i="26"/>
  <c r="LX13" i="26"/>
  <c r="LW13" i="26" s="1"/>
  <c r="LU13" i="26"/>
  <c r="LT13" i="26"/>
  <c r="LP12" i="26"/>
  <c r="LP13" i="26"/>
  <c r="LQ13" i="26"/>
  <c r="LP14" i="26"/>
  <c r="LJ12" i="26"/>
  <c r="LJ13" i="26"/>
  <c r="JT13" i="26"/>
  <c r="V13" i="26"/>
  <c r="S13" i="26"/>
  <c r="R13" i="26"/>
  <c r="L13" i="26"/>
  <c r="MA12" i="26"/>
  <c r="MA11" i="26"/>
  <c r="Z8" i="26"/>
  <c r="LZ12" i="26"/>
  <c r="LZ11" i="26"/>
  <c r="Y8" i="26"/>
  <c r="LY12" i="26"/>
  <c r="LX12" i="26"/>
  <c r="LU12" i="26"/>
  <c r="LR12" i="26"/>
  <c r="R12" i="26"/>
  <c r="LS12" i="26"/>
  <c r="LR13" i="26"/>
  <c r="LQ12" i="26"/>
  <c r="LN12" i="26"/>
  <c r="LO12" i="26" s="1"/>
  <c r="LL12" i="26"/>
  <c r="LM12" i="26"/>
  <c r="LL13" i="26"/>
  <c r="LK12" i="26"/>
  <c r="LH12" i="26"/>
  <c r="LI12" i="26" s="1"/>
  <c r="LH13" i="26"/>
  <c r="JT12" i="26"/>
  <c r="V12" i="26"/>
  <c r="V11" i="26"/>
  <c r="S12" i="26"/>
  <c r="L12" i="26"/>
  <c r="K12" i="26"/>
  <c r="J12" i="26" s="1"/>
  <c r="E12" i="26" s="1"/>
  <c r="H12" i="26" s="1"/>
  <c r="LY11" i="26"/>
  <c r="LY8" i="26"/>
  <c r="LY9" i="26" s="1"/>
  <c r="X8" i="26"/>
  <c r="LX11" i="26"/>
  <c r="LU11" i="26"/>
  <c r="LT11" i="26" s="1"/>
  <c r="R11" i="26"/>
  <c r="LS11" i="26"/>
  <c r="LQ11" i="26"/>
  <c r="LO11" i="26"/>
  <c r="LM11" i="26"/>
  <c r="LK11" i="26"/>
  <c r="LI11" i="26"/>
  <c r="LG11" i="26" s="1"/>
  <c r="JT11" i="26"/>
  <c r="S11" i="26"/>
  <c r="L11" i="26"/>
  <c r="K11" i="26" s="1"/>
  <c r="W8" i="26"/>
  <c r="T8" i="26"/>
  <c r="S8" i="26"/>
  <c r="Q8" i="26"/>
  <c r="P8" i="26"/>
  <c r="O8" i="26"/>
  <c r="N8" i="26"/>
  <c r="M8" i="26"/>
  <c r="G8" i="26"/>
  <c r="LE7" i="26"/>
  <c r="J7" i="26"/>
  <c r="AD143" i="13"/>
  <c r="AC143" i="13"/>
  <c r="AB143" i="13"/>
  <c r="E143" i="13"/>
  <c r="C143" i="13"/>
  <c r="AE96" i="13"/>
  <c r="B7" i="13"/>
  <c r="D7" i="13"/>
  <c r="AC7" i="13"/>
  <c r="AD7" i="13"/>
  <c r="B5" i="13"/>
  <c r="C5" i="13"/>
  <c r="D5" i="13"/>
  <c r="E5" i="13" s="1"/>
  <c r="F5" i="13" s="1"/>
  <c r="G5" i="13" s="1"/>
  <c r="H5" i="13" s="1"/>
  <c r="I5" i="13" s="1"/>
  <c r="J5" i="13" s="1"/>
  <c r="K5" i="13" s="1"/>
  <c r="L5" i="13" s="1"/>
  <c r="M5" i="13" s="1"/>
  <c r="N5" i="13" s="1"/>
  <c r="O5" i="13" s="1"/>
  <c r="P5" i="13" s="1"/>
  <c r="Q5" i="13" s="1"/>
  <c r="R5" i="13" s="1"/>
  <c r="S5" i="13" s="1"/>
  <c r="T5" i="13" s="1"/>
  <c r="U5" i="13" s="1"/>
  <c r="V5" i="13" s="1"/>
  <c r="W5" i="13" s="1"/>
  <c r="X5" i="13" s="1"/>
  <c r="Y5" i="13" s="1"/>
  <c r="Z5" i="13" s="1"/>
  <c r="AA5" i="13" s="1"/>
  <c r="AB5" i="13" s="1"/>
  <c r="AC5" i="13" s="1"/>
  <c r="AD5" i="13" s="1"/>
  <c r="I4" i="13"/>
  <c r="J4" i="13"/>
  <c r="K4" i="13"/>
  <c r="L4" i="13" s="1"/>
  <c r="M4" i="13" s="1"/>
  <c r="N4" i="13" s="1"/>
  <c r="O4" i="13" s="1"/>
  <c r="P4" i="13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CM427" i="30"/>
  <c r="CN427" i="30" s="1"/>
  <c r="CM426" i="30"/>
  <c r="CN426" i="30" s="1"/>
  <c r="CM425" i="30"/>
  <c r="CN425" i="30"/>
  <c r="CM424" i="30"/>
  <c r="CN424" i="30" s="1"/>
  <c r="CM423" i="30"/>
  <c r="CN423" i="30"/>
  <c r="CM422" i="30"/>
  <c r="CN422" i="30"/>
  <c r="CM421" i="30"/>
  <c r="CN421" i="30" s="1"/>
  <c r="CM420" i="30"/>
  <c r="CN420" i="30" s="1"/>
  <c r="CM419" i="30"/>
  <c r="CN419" i="30"/>
  <c r="CM418" i="30"/>
  <c r="CN418" i="30" s="1"/>
  <c r="CM417" i="30"/>
  <c r="CN417" i="30"/>
  <c r="CM416" i="30"/>
  <c r="CN416" i="30"/>
  <c r="CM415" i="30"/>
  <c r="CN415" i="30" s="1"/>
  <c r="CM414" i="30"/>
  <c r="CN414" i="30" s="1"/>
  <c r="CM413" i="30"/>
  <c r="CN413" i="30"/>
  <c r="CM412" i="30"/>
  <c r="CN412" i="30" s="1"/>
  <c r="CM411" i="30"/>
  <c r="CN411" i="30"/>
  <c r="CM410" i="30"/>
  <c r="CN410" i="30"/>
  <c r="CM409" i="30"/>
  <c r="CN409" i="30" s="1"/>
  <c r="CM408" i="30"/>
  <c r="CN408" i="30" s="1"/>
  <c r="CM407" i="30"/>
  <c r="CN407" i="30"/>
  <c r="CM406" i="30"/>
  <c r="CN406" i="30" s="1"/>
  <c r="CM405" i="30"/>
  <c r="CN405" i="30"/>
  <c r="CM404" i="30"/>
  <c r="CN404" i="30"/>
  <c r="CM403" i="30"/>
  <c r="CN403" i="30" s="1"/>
  <c r="CM402" i="30"/>
  <c r="CN402" i="30" s="1"/>
  <c r="CM401" i="30"/>
  <c r="CN401" i="30"/>
  <c r="CM400" i="30"/>
  <c r="CN400" i="30" s="1"/>
  <c r="CM399" i="30"/>
  <c r="CN399" i="30"/>
  <c r="CM398" i="30"/>
  <c r="CN398" i="30"/>
  <c r="CM397" i="30"/>
  <c r="CN397" i="30" s="1"/>
  <c r="CM396" i="30"/>
  <c r="CN396" i="30" s="1"/>
  <c r="CM395" i="30"/>
  <c r="CN395" i="30"/>
  <c r="CM394" i="30"/>
  <c r="CN394" i="30" s="1"/>
  <c r="CM393" i="30"/>
  <c r="CN393" i="30"/>
  <c r="CM392" i="30"/>
  <c r="CN392" i="30"/>
  <c r="CM391" i="30"/>
  <c r="CN391" i="30" s="1"/>
  <c r="CM390" i="30"/>
  <c r="CN390" i="30" s="1"/>
  <c r="CM389" i="30"/>
  <c r="CN389" i="30"/>
  <c r="CM388" i="30"/>
  <c r="CN388" i="30" s="1"/>
  <c r="CM387" i="30"/>
  <c r="CN387" i="30"/>
  <c r="CM386" i="30"/>
  <c r="CN386" i="30"/>
  <c r="CM385" i="30"/>
  <c r="CN385" i="30" s="1"/>
  <c r="CM384" i="30"/>
  <c r="CN384" i="30" s="1"/>
  <c r="CM383" i="30"/>
  <c r="CN383" i="30"/>
  <c r="CM382" i="30"/>
  <c r="CN382" i="30" s="1"/>
  <c r="CM381" i="30"/>
  <c r="CN381" i="30"/>
  <c r="CM380" i="30"/>
  <c r="CN380" i="30"/>
  <c r="CM379" i="30"/>
  <c r="CN379" i="30" s="1"/>
  <c r="CM378" i="30"/>
  <c r="CN378" i="30" s="1"/>
  <c r="CM377" i="30"/>
  <c r="CN377" i="30"/>
  <c r="CM376" i="30"/>
  <c r="CN376" i="30" s="1"/>
  <c r="CM375" i="30"/>
  <c r="CN375" i="30"/>
  <c r="CM374" i="30"/>
  <c r="CN374" i="30"/>
  <c r="CM373" i="30"/>
  <c r="CN373" i="30" s="1"/>
  <c r="CM372" i="30"/>
  <c r="CN372" i="30" s="1"/>
  <c r="CM371" i="30"/>
  <c r="CN371" i="30"/>
  <c r="CM370" i="30"/>
  <c r="CN370" i="30" s="1"/>
  <c r="CM369" i="30"/>
  <c r="CN369" i="30"/>
  <c r="CM368" i="30"/>
  <c r="CN368" i="30"/>
  <c r="CM367" i="30"/>
  <c r="CN367" i="30" s="1"/>
  <c r="CM366" i="30"/>
  <c r="CN366" i="30" s="1"/>
  <c r="CM365" i="30"/>
  <c r="CN365" i="30"/>
  <c r="CM364" i="30"/>
  <c r="CN364" i="30" s="1"/>
  <c r="CM363" i="30"/>
  <c r="CN363" i="30"/>
  <c r="CM362" i="30"/>
  <c r="CN362" i="30"/>
  <c r="CM361" i="30"/>
  <c r="CN361" i="30" s="1"/>
  <c r="CM360" i="30"/>
  <c r="CN360" i="30" s="1"/>
  <c r="CM359" i="30"/>
  <c r="CN359" i="30"/>
  <c r="CM358" i="30"/>
  <c r="CN358" i="30" s="1"/>
  <c r="CM357" i="30"/>
  <c r="CN357" i="30"/>
  <c r="CM356" i="30"/>
  <c r="CN356" i="30"/>
  <c r="CM355" i="30"/>
  <c r="CN355" i="30" s="1"/>
  <c r="CM354" i="30"/>
  <c r="CN354" i="30" s="1"/>
  <c r="CM353" i="30"/>
  <c r="CN353" i="30"/>
  <c r="CM352" i="30"/>
  <c r="CN352" i="30" s="1"/>
  <c r="CM351" i="30"/>
  <c r="CN351" i="30"/>
  <c r="CM350" i="30"/>
  <c r="CN350" i="30"/>
  <c r="CM349" i="30"/>
  <c r="CN349" i="30" s="1"/>
  <c r="CM348" i="30"/>
  <c r="CN348" i="30" s="1"/>
  <c r="CM347" i="30"/>
  <c r="CN347" i="30"/>
  <c r="CM346" i="30"/>
  <c r="CN346" i="30" s="1"/>
  <c r="CM345" i="30"/>
  <c r="CN345" i="30"/>
  <c r="CM344" i="30"/>
  <c r="CN344" i="30"/>
  <c r="CM343" i="30"/>
  <c r="CN343" i="30" s="1"/>
  <c r="CM342" i="30"/>
  <c r="CN342" i="30" s="1"/>
  <c r="CM341" i="30"/>
  <c r="CN341" i="30"/>
  <c r="CM340" i="30"/>
  <c r="CN340" i="30" s="1"/>
  <c r="CM339" i="30"/>
  <c r="CN339" i="30"/>
  <c r="CM338" i="30"/>
  <c r="CN338" i="30"/>
  <c r="CM337" i="30"/>
  <c r="CN337" i="30" s="1"/>
  <c r="CM336" i="30"/>
  <c r="CN336" i="30" s="1"/>
  <c r="CM335" i="30"/>
  <c r="CN335" i="30"/>
  <c r="CM334" i="30"/>
  <c r="CN334" i="30" s="1"/>
  <c r="CM333" i="30"/>
  <c r="CN333" i="30"/>
  <c r="CM332" i="30"/>
  <c r="CN332" i="30"/>
  <c r="CM331" i="30"/>
  <c r="CN331" i="30" s="1"/>
  <c r="CM330" i="30"/>
  <c r="CN330" i="30" s="1"/>
  <c r="CM329" i="30"/>
  <c r="CN329" i="30"/>
  <c r="CM328" i="30"/>
  <c r="CN328" i="30" s="1"/>
  <c r="CM327" i="30"/>
  <c r="CN327" i="30"/>
  <c r="CM326" i="30"/>
  <c r="CN326" i="30"/>
  <c r="CM325" i="30"/>
  <c r="CN325" i="30" s="1"/>
  <c r="CM324" i="30"/>
  <c r="CN324" i="30" s="1"/>
  <c r="CM323" i="30"/>
  <c r="CN323" i="30"/>
  <c r="CM322" i="30"/>
  <c r="CN322" i="30" s="1"/>
  <c r="CM321" i="30"/>
  <c r="CN321" i="30"/>
  <c r="CM320" i="30"/>
  <c r="CN320" i="30"/>
  <c r="CM319" i="30"/>
  <c r="CN319" i="30" s="1"/>
  <c r="CM318" i="30"/>
  <c r="CN318" i="30" s="1"/>
  <c r="CM317" i="30"/>
  <c r="CN317" i="30"/>
  <c r="CM316" i="30"/>
  <c r="CN316" i="30" s="1"/>
  <c r="CM315" i="30"/>
  <c r="CN315" i="30"/>
  <c r="CM314" i="30"/>
  <c r="CN314" i="30"/>
  <c r="CM313" i="30"/>
  <c r="CN313" i="30" s="1"/>
  <c r="CM312" i="30"/>
  <c r="CN312" i="30" s="1"/>
  <c r="CM311" i="30"/>
  <c r="CN311" i="30"/>
  <c r="CM310" i="30"/>
  <c r="CN310" i="30" s="1"/>
  <c r="CM309" i="30"/>
  <c r="CN309" i="30"/>
  <c r="CM308" i="30"/>
  <c r="CN308" i="30"/>
  <c r="CM307" i="30"/>
  <c r="CN307" i="30" s="1"/>
  <c r="CM306" i="30"/>
  <c r="CN306" i="30" s="1"/>
  <c r="CM305" i="30"/>
  <c r="CN305" i="30"/>
  <c r="CM304" i="30"/>
  <c r="CN304" i="30" s="1"/>
  <c r="CM303" i="30"/>
  <c r="CN303" i="30"/>
  <c r="CM302" i="30"/>
  <c r="CN302" i="30"/>
  <c r="CM301" i="30"/>
  <c r="CN301" i="30" s="1"/>
  <c r="CM300" i="30"/>
  <c r="CN300" i="30" s="1"/>
  <c r="CM299" i="30"/>
  <c r="CN299" i="30"/>
  <c r="CM298" i="30"/>
  <c r="CN298" i="30" s="1"/>
  <c r="CM297" i="30"/>
  <c r="CN297" i="30"/>
  <c r="CM296" i="30"/>
  <c r="CN296" i="30"/>
  <c r="CM295" i="30"/>
  <c r="CN295" i="30" s="1"/>
  <c r="CM294" i="30"/>
  <c r="CN294" i="30" s="1"/>
  <c r="CM293" i="30"/>
  <c r="CN293" i="30"/>
  <c r="CM292" i="30"/>
  <c r="CN292" i="30" s="1"/>
  <c r="CM291" i="30"/>
  <c r="CN291" i="30"/>
  <c r="CM290" i="30"/>
  <c r="CN290" i="30"/>
  <c r="CM289" i="30"/>
  <c r="CN289" i="30" s="1"/>
  <c r="CM288" i="30"/>
  <c r="CN288" i="30" s="1"/>
  <c r="CM287" i="30"/>
  <c r="CN287" i="30"/>
  <c r="CM286" i="30"/>
  <c r="CN286" i="30" s="1"/>
  <c r="CM285" i="30"/>
  <c r="CN285" i="30"/>
  <c r="CM284" i="30"/>
  <c r="CN284" i="30"/>
  <c r="CM283" i="30"/>
  <c r="CN283" i="30" s="1"/>
  <c r="CM282" i="30"/>
  <c r="CN282" i="30" s="1"/>
  <c r="CM281" i="30"/>
  <c r="CN281" i="30"/>
  <c r="CM280" i="30"/>
  <c r="CN280" i="30" s="1"/>
  <c r="CM279" i="30"/>
  <c r="CN279" i="30"/>
  <c r="CM278" i="30"/>
  <c r="CN278" i="30"/>
  <c r="CM277" i="30"/>
  <c r="CN277" i="30" s="1"/>
  <c r="CM276" i="30"/>
  <c r="CN276" i="30" s="1"/>
  <c r="CM275" i="30"/>
  <c r="CN275" i="30"/>
  <c r="CM274" i="30"/>
  <c r="CN274" i="30" s="1"/>
  <c r="CM273" i="30"/>
  <c r="CN273" i="30"/>
  <c r="CM272" i="30"/>
  <c r="CN272" i="30"/>
  <c r="CM271" i="30"/>
  <c r="CN271" i="30" s="1"/>
  <c r="CM270" i="30"/>
  <c r="CN270" i="30" s="1"/>
  <c r="CM269" i="30"/>
  <c r="CN269" i="30"/>
  <c r="CM268" i="30"/>
  <c r="CN268" i="30" s="1"/>
  <c r="CM267" i="30"/>
  <c r="CN267" i="30"/>
  <c r="CM266" i="30"/>
  <c r="CN266" i="30"/>
  <c r="CM265" i="30"/>
  <c r="CN265" i="30" s="1"/>
  <c r="CM264" i="30"/>
  <c r="CN264" i="30" s="1"/>
  <c r="CM263" i="30"/>
  <c r="CN263" i="30"/>
  <c r="CM262" i="30"/>
  <c r="CN262" i="30" s="1"/>
  <c r="CM261" i="30"/>
  <c r="CN261" i="30"/>
  <c r="CM260" i="30"/>
  <c r="CN260" i="30"/>
  <c r="CM259" i="30"/>
  <c r="CN259" i="30" s="1"/>
  <c r="CM258" i="30"/>
  <c r="CN258" i="30" s="1"/>
  <c r="CM257" i="30"/>
  <c r="CN257" i="30"/>
  <c r="CM256" i="30"/>
  <c r="CN256" i="30" s="1"/>
  <c r="CM255" i="30"/>
  <c r="CN255" i="30"/>
  <c r="CM254" i="30"/>
  <c r="CN254" i="30"/>
  <c r="CM253" i="30"/>
  <c r="CN253" i="30" s="1"/>
  <c r="CM252" i="30"/>
  <c r="CN252" i="30" s="1"/>
  <c r="CM251" i="30"/>
  <c r="CN251" i="30"/>
  <c r="CM250" i="30"/>
  <c r="CN250" i="30" s="1"/>
  <c r="CM249" i="30"/>
  <c r="CN249" i="30"/>
  <c r="CM248" i="30"/>
  <c r="CN248" i="30"/>
  <c r="CM247" i="30"/>
  <c r="CN247" i="30" s="1"/>
  <c r="CM246" i="30"/>
  <c r="CN246" i="30" s="1"/>
  <c r="CM245" i="30"/>
  <c r="CN245" i="30"/>
  <c r="CM244" i="30"/>
  <c r="CN244" i="30" s="1"/>
  <c r="CM243" i="30"/>
  <c r="CN243" i="30"/>
  <c r="CM242" i="30"/>
  <c r="CN242" i="30"/>
  <c r="CM241" i="30"/>
  <c r="CN241" i="30" s="1"/>
  <c r="CM240" i="30"/>
  <c r="CN240" i="30" s="1"/>
  <c r="CM239" i="30"/>
  <c r="CN239" i="30"/>
  <c r="CM238" i="30"/>
  <c r="CN238" i="30" s="1"/>
  <c r="CM237" i="30"/>
  <c r="CN237" i="30"/>
  <c r="CM236" i="30"/>
  <c r="CN236" i="30"/>
  <c r="CM235" i="30"/>
  <c r="CN235" i="30" s="1"/>
  <c r="CM234" i="30"/>
  <c r="CN234" i="30" s="1"/>
  <c r="CM233" i="30"/>
  <c r="CN233" i="30"/>
  <c r="CM232" i="30"/>
  <c r="CN232" i="30" s="1"/>
  <c r="CM231" i="30"/>
  <c r="CN231" i="30"/>
  <c r="CM230" i="30"/>
  <c r="CN230" i="30"/>
  <c r="CM229" i="30"/>
  <c r="CN229" i="30" s="1"/>
  <c r="CM228" i="30"/>
  <c r="CN228" i="30" s="1"/>
  <c r="CM227" i="30"/>
  <c r="CN227" i="30"/>
  <c r="CM226" i="30"/>
  <c r="CN226" i="30" s="1"/>
  <c r="CM225" i="30"/>
  <c r="CN225" i="30"/>
  <c r="CM224" i="30"/>
  <c r="CN224" i="30"/>
  <c r="CM223" i="30"/>
  <c r="CN223" i="30" s="1"/>
  <c r="CM222" i="30"/>
  <c r="CN222" i="30"/>
  <c r="CM221" i="30"/>
  <c r="CN221" i="30"/>
  <c r="CM220" i="30"/>
  <c r="CN220" i="30" s="1"/>
  <c r="CM219" i="30"/>
  <c r="CN219" i="30"/>
  <c r="CM218" i="30"/>
  <c r="CN218" i="30"/>
  <c r="CM217" i="30"/>
  <c r="CN217" i="30" s="1"/>
  <c r="CM216" i="30"/>
  <c r="CN216" i="30" s="1"/>
  <c r="CM215" i="30"/>
  <c r="CN215" i="30"/>
  <c r="CM214" i="30"/>
  <c r="CN214" i="30" s="1"/>
  <c r="CM213" i="30"/>
  <c r="CN213" i="30"/>
  <c r="CM212" i="30"/>
  <c r="CN212" i="30"/>
  <c r="CM211" i="30"/>
  <c r="CN211" i="30" s="1"/>
  <c r="CM210" i="30"/>
  <c r="CN210" i="30" s="1"/>
  <c r="CM209" i="30"/>
  <c r="CN209" i="30"/>
  <c r="CM208" i="30"/>
  <c r="CN208" i="30" s="1"/>
  <c r="CM207" i="30"/>
  <c r="CN207" i="30"/>
  <c r="CM206" i="30"/>
  <c r="CN206" i="30"/>
  <c r="CM205" i="30"/>
  <c r="CN205" i="30" s="1"/>
  <c r="CM204" i="30"/>
  <c r="CN204" i="30"/>
  <c r="CM203" i="30"/>
  <c r="CN203" i="30"/>
  <c r="CM202" i="30"/>
  <c r="CN202" i="30" s="1"/>
  <c r="CM201" i="30"/>
  <c r="CN201" i="30"/>
  <c r="CM200" i="30"/>
  <c r="CN200" i="30"/>
  <c r="CM199" i="30"/>
  <c r="CN199" i="30" s="1"/>
  <c r="CM198" i="30"/>
  <c r="CN198" i="30" s="1"/>
  <c r="CM197" i="30"/>
  <c r="CN197" i="30"/>
  <c r="CM196" i="30"/>
  <c r="CN196" i="30" s="1"/>
  <c r="CM195" i="30"/>
  <c r="CN195" i="30"/>
  <c r="CM194" i="30"/>
  <c r="CN194" i="30"/>
  <c r="CM193" i="30"/>
  <c r="CN193" i="30" s="1"/>
  <c r="CM192" i="30"/>
  <c r="CN192" i="30" s="1"/>
  <c r="CM191" i="30"/>
  <c r="CN191" i="30"/>
  <c r="CM190" i="30"/>
  <c r="CN190" i="30" s="1"/>
  <c r="CM189" i="30"/>
  <c r="CN189" i="30"/>
  <c r="CM188" i="30"/>
  <c r="CN188" i="30"/>
  <c r="CM187" i="30"/>
  <c r="CN187" i="30" s="1"/>
  <c r="CM186" i="30"/>
  <c r="CN186" i="30"/>
  <c r="CM185" i="30"/>
  <c r="CN185" i="30"/>
  <c r="CM184" i="30"/>
  <c r="CN184" i="30" s="1"/>
  <c r="CM183" i="30"/>
  <c r="CN183" i="30"/>
  <c r="CM182" i="30"/>
  <c r="CN182" i="30"/>
  <c r="CM181" i="30"/>
  <c r="CN181" i="30" s="1"/>
  <c r="CM180" i="30"/>
  <c r="CN180" i="30" s="1"/>
  <c r="CM179" i="30"/>
  <c r="CN179" i="30"/>
  <c r="CM178" i="30"/>
  <c r="CN178" i="30" s="1"/>
  <c r="CM177" i="30"/>
  <c r="CN177" i="30"/>
  <c r="N176" i="30"/>
  <c r="CM176" i="30"/>
  <c r="CN176" i="30"/>
  <c r="CM175" i="30"/>
  <c r="CN175" i="30"/>
  <c r="CM174" i="30"/>
  <c r="CN174" i="30" s="1"/>
  <c r="AG174" i="30"/>
  <c r="CM173" i="30"/>
  <c r="S173" i="30"/>
  <c r="CM172" i="30"/>
  <c r="CN172" i="30"/>
  <c r="CM171" i="30"/>
  <c r="CN171" i="30"/>
  <c r="CM170" i="30"/>
  <c r="CN170" i="30" s="1"/>
  <c r="CM169" i="30"/>
  <c r="CN169" i="30"/>
  <c r="CM168" i="30"/>
  <c r="CN168" i="30"/>
  <c r="CM167" i="30"/>
  <c r="CN167" i="30" s="1"/>
  <c r="CM166" i="30"/>
  <c r="CN166" i="30"/>
  <c r="CM165" i="30"/>
  <c r="CN165" i="30"/>
  <c r="CM164" i="30"/>
  <c r="CN164" i="30" s="1"/>
  <c r="CM163" i="30"/>
  <c r="CM162" i="30"/>
  <c r="CN162" i="30" s="1"/>
  <c r="CM161" i="30"/>
  <c r="CN161" i="30" s="1"/>
  <c r="AC160" i="30"/>
  <c r="I160" i="30"/>
  <c r="H160" i="30"/>
  <c r="CM159" i="30"/>
  <c r="CN159" i="30"/>
  <c r="CM158" i="30"/>
  <c r="CN158" i="30" s="1"/>
  <c r="CM157" i="30"/>
  <c r="CN157" i="30" s="1"/>
  <c r="AG157" i="30"/>
  <c r="CM156" i="30"/>
  <c r="CN156" i="30" s="1"/>
  <c r="AN156" i="30"/>
  <c r="AF156" i="30"/>
  <c r="AE156" i="30"/>
  <c r="AC156" i="30"/>
  <c r="AB156" i="30"/>
  <c r="Y156" i="30"/>
  <c r="V156" i="30"/>
  <c r="U156" i="30"/>
  <c r="DD155" i="30"/>
  <c r="CM155" i="30"/>
  <c r="CN155" i="30"/>
  <c r="AJ155" i="30"/>
  <c r="DD154" i="30"/>
  <c r="CM154" i="30"/>
  <c r="CN154" i="30"/>
  <c r="DD153" i="30"/>
  <c r="CM153" i="30"/>
  <c r="CN153" i="30"/>
  <c r="DD152" i="30"/>
  <c r="CM152" i="30"/>
  <c r="DL151" i="30"/>
  <c r="DN151" i="30" s="1"/>
  <c r="DM151" i="30"/>
  <c r="DD151" i="30"/>
  <c r="CZ147" i="30"/>
  <c r="CZ151" i="30" s="1"/>
  <c r="CZ153" i="30" s="1"/>
  <c r="CM151" i="30"/>
  <c r="AH148" i="30"/>
  <c r="AH151" i="30"/>
  <c r="AI153" i="30" s="1"/>
  <c r="DM150" i="30"/>
  <c r="DL150" i="30"/>
  <c r="DN150" i="30" s="1"/>
  <c r="DD150" i="30"/>
  <c r="CM150" i="30"/>
  <c r="CN150" i="30"/>
  <c r="DL149" i="30"/>
  <c r="DN149" i="30" s="1"/>
  <c r="DM149" i="30"/>
  <c r="CM149" i="30"/>
  <c r="DM148" i="30"/>
  <c r="DL148" i="30"/>
  <c r="DN148" i="30"/>
  <c r="CM148" i="30"/>
  <c r="CN148" i="30" s="1"/>
  <c r="H148" i="30"/>
  <c r="DK147" i="30"/>
  <c r="DJ147" i="30"/>
  <c r="DG147" i="30"/>
  <c r="DF147" i="30"/>
  <c r="DE147" i="30"/>
  <c r="DC147" i="30"/>
  <c r="CI147" i="30"/>
  <c r="DM146" i="30"/>
  <c r="DL146" i="30"/>
  <c r="DN146" i="30"/>
  <c r="DJ146" i="30"/>
  <c r="V141" i="30"/>
  <c r="V143" i="30"/>
  <c r="V146" i="30"/>
  <c r="DM145" i="30"/>
  <c r="DL145" i="30"/>
  <c r="DN145" i="30" s="1"/>
  <c r="DJ145" i="30"/>
  <c r="DD145" i="30"/>
  <c r="CV145" i="30"/>
  <c r="AG145" i="30"/>
  <c r="CK145" i="30" s="1"/>
  <c r="CG145" i="30"/>
  <c r="CH145" i="30"/>
  <c r="CA145" i="30"/>
  <c r="CD145" i="30"/>
  <c r="BZ145" i="30"/>
  <c r="CC145" i="30" s="1"/>
  <c r="CB145" i="30"/>
  <c r="BW145" i="30"/>
  <c r="BX145" i="30"/>
  <c r="BY145" i="30" s="1"/>
  <c r="AL145" i="30"/>
  <c r="BC145" i="30"/>
  <c r="H145" i="30"/>
  <c r="CO145" i="30" s="1"/>
  <c r="Z145" i="30"/>
  <c r="CJ145" i="30"/>
  <c r="L145" i="30"/>
  <c r="DJ144" i="30"/>
  <c r="DD144" i="30"/>
  <c r="AJ144" i="30"/>
  <c r="AK144" i="30"/>
  <c r="CY144" i="30"/>
  <c r="CX144" i="30"/>
  <c r="CG144" i="30"/>
  <c r="BM144" i="30"/>
  <c r="BT144" i="30"/>
  <c r="BZ144" i="30" s="1"/>
  <c r="BU144" i="30"/>
  <c r="BS144" i="30"/>
  <c r="BN144" i="30"/>
  <c r="CA144" i="30"/>
  <c r="CD144" i="30" s="1"/>
  <c r="BL144" i="30"/>
  <c r="BK144" i="30"/>
  <c r="BJ144" i="30"/>
  <c r="BJ147" i="30"/>
  <c r="BI144" i="30"/>
  <c r="BB144" i="30"/>
  <c r="AU144" i="30"/>
  <c r="AI144" i="30"/>
  <c r="DL143" i="30"/>
  <c r="DM143" i="30"/>
  <c r="DN143" i="30"/>
  <c r="DJ143" i="30"/>
  <c r="BW143" i="30"/>
  <c r="BP143" i="30"/>
  <c r="W143" i="30"/>
  <c r="BO143" i="30"/>
  <c r="BL143" i="30"/>
  <c r="BI143" i="30"/>
  <c r="AI143" i="30"/>
  <c r="AS143" i="30"/>
  <c r="AM143" i="30"/>
  <c r="AD143" i="30"/>
  <c r="AL143" i="30"/>
  <c r="AV143" i="30" s="1"/>
  <c r="AB143" i="30"/>
  <c r="AE144" i="30" s="1"/>
  <c r="AC143" i="30"/>
  <c r="U143" i="30"/>
  <c r="Z143" i="30" s="1"/>
  <c r="N143" i="30"/>
  <c r="DM142" i="30"/>
  <c r="DL142" i="30"/>
  <c r="DN142" i="30"/>
  <c r="DJ142" i="30"/>
  <c r="DD142" i="30"/>
  <c r="AJ142" i="30"/>
  <c r="AK142" i="30"/>
  <c r="CU142" i="30"/>
  <c r="CR142" i="30"/>
  <c r="AI142" i="30"/>
  <c r="AL142" i="30"/>
  <c r="Z142" i="30"/>
  <c r="CO142" i="30" s="1"/>
  <c r="AG142" i="30"/>
  <c r="CG142" i="30"/>
  <c r="BW142" i="30"/>
  <c r="BV142" i="30"/>
  <c r="BU142" i="30"/>
  <c r="BN142" i="30"/>
  <c r="CA142" i="30" s="1"/>
  <c r="CD142" i="30" s="1"/>
  <c r="BT142" i="30"/>
  <c r="BS142" i="30"/>
  <c r="BX142" i="30"/>
  <c r="BY142" i="30" s="1"/>
  <c r="BP142" i="30"/>
  <c r="BO142" i="30"/>
  <c r="BM142" i="30"/>
  <c r="BL142" i="30"/>
  <c r="BB142" i="30"/>
  <c r="AZ142" i="30"/>
  <c r="AM142" i="30"/>
  <c r="AU142" i="30"/>
  <c r="CK142" i="30"/>
  <c r="AL141" i="30"/>
  <c r="AC141" i="30"/>
  <c r="AK141" i="30" s="1"/>
  <c r="BB141" i="30" s="1"/>
  <c r="U141" i="30"/>
  <c r="R141" i="30"/>
  <c r="BC141" i="30" s="1"/>
  <c r="DM140" i="30"/>
  <c r="DL140" i="30"/>
  <c r="DJ140" i="30"/>
  <c r="DD140" i="30"/>
  <c r="AJ140" i="30"/>
  <c r="AT140" i="30" s="1"/>
  <c r="AK140" i="30"/>
  <c r="BB140" i="30" s="1"/>
  <c r="CU140" i="30"/>
  <c r="CR140" i="30"/>
  <c r="Z140" i="30"/>
  <c r="CJ140" i="30" s="1"/>
  <c r="AG140" i="30"/>
  <c r="CK140" i="30" s="1"/>
  <c r="CG140" i="30"/>
  <c r="BM140" i="30"/>
  <c r="BT140" i="30"/>
  <c r="BZ140" i="30"/>
  <c r="BN140" i="30"/>
  <c r="BU140" i="30"/>
  <c r="CA140" i="30"/>
  <c r="CD140" i="30" s="1"/>
  <c r="CB140" i="30"/>
  <c r="BS140" i="30"/>
  <c r="BV140" i="30"/>
  <c r="BW140" i="30"/>
  <c r="BL140" i="30"/>
  <c r="BQ140" i="30" s="1"/>
  <c r="BR140" i="30" s="1"/>
  <c r="BO140" i="30"/>
  <c r="BP140" i="30"/>
  <c r="CC140" i="30"/>
  <c r="AI140" i="30"/>
  <c r="AS140" i="30" s="1"/>
  <c r="AL140" i="30"/>
  <c r="AV140" i="30"/>
  <c r="AN140" i="30"/>
  <c r="AM140" i="30"/>
  <c r="BC140" i="30"/>
  <c r="AU140" i="30"/>
  <c r="X139" i="30"/>
  <c r="DL139" i="30"/>
  <c r="DJ139" i="30"/>
  <c r="AJ139" i="30"/>
  <c r="AK139" i="30"/>
  <c r="CX139" i="30" s="1"/>
  <c r="W139" i="30"/>
  <c r="CR139" i="30"/>
  <c r="BU139" i="30"/>
  <c r="BN139" i="30"/>
  <c r="CA139" i="30"/>
  <c r="CD139" i="30"/>
  <c r="BT139" i="30"/>
  <c r="BO139" i="30"/>
  <c r="BM139" i="30"/>
  <c r="BZ139" i="30" s="1"/>
  <c r="BL139" i="30"/>
  <c r="BI139" i="30"/>
  <c r="AU139" i="30"/>
  <c r="AT139" i="30"/>
  <c r="AM139" i="30"/>
  <c r="AW139" i="30"/>
  <c r="CY139" i="30"/>
  <c r="AI139" i="30"/>
  <c r="AD139" i="30"/>
  <c r="AG139" i="30" s="1"/>
  <c r="DM138" i="30"/>
  <c r="DL138" i="30"/>
  <c r="DN138" i="30" s="1"/>
  <c r="DJ138" i="30"/>
  <c r="N138" i="30"/>
  <c r="AI138" i="30"/>
  <c r="AJ138" i="30"/>
  <c r="AK138" i="30"/>
  <c r="AL138" i="30"/>
  <c r="AV138" i="30" s="1"/>
  <c r="CR138" i="30"/>
  <c r="BW138" i="30"/>
  <c r="BU138" i="30"/>
  <c r="BT138" i="30"/>
  <c r="BP138" i="30"/>
  <c r="BO138" i="30"/>
  <c r="BN138" i="30"/>
  <c r="CA138" i="30" s="1"/>
  <c r="BM138" i="30"/>
  <c r="BZ138" i="30" s="1"/>
  <c r="BL138" i="30"/>
  <c r="BQ138" i="30"/>
  <c r="BR138" i="30"/>
  <c r="BK138" i="30"/>
  <c r="AM138" i="30"/>
  <c r="AW138" i="30"/>
  <c r="BD138" i="30"/>
  <c r="Z138" i="30"/>
  <c r="AG138" i="30"/>
  <c r="AH138" i="30" s="1"/>
  <c r="DL137" i="30"/>
  <c r="DJ137" i="30"/>
  <c r="DD137" i="30"/>
  <c r="CR137" i="30"/>
  <c r="Z137" i="30"/>
  <c r="AG137" i="30"/>
  <c r="CO137" i="30"/>
  <c r="AH137" i="30"/>
  <c r="CM137" i="30" s="1"/>
  <c r="CK137" i="30"/>
  <c r="BL137" i="30"/>
  <c r="BQ137" i="30" s="1"/>
  <c r="BR137" i="30" s="1"/>
  <c r="BM137" i="30"/>
  <c r="BN137" i="30"/>
  <c r="BO137" i="30"/>
  <c r="BP137" i="30"/>
  <c r="AM137" i="30"/>
  <c r="AW137" i="30"/>
  <c r="AI137" i="30"/>
  <c r="AS137" i="30"/>
  <c r="AL137" i="30"/>
  <c r="AV137" i="30" s="1"/>
  <c r="AK137" i="30"/>
  <c r="AU137" i="30"/>
  <c r="AJ137" i="30"/>
  <c r="DA137" i="30"/>
  <c r="CJ137" i="30"/>
  <c r="CL137" i="30" s="1"/>
  <c r="CN137" i="30" s="1"/>
  <c r="O137" i="30"/>
  <c r="P137" i="30" s="1"/>
  <c r="BS137" i="30"/>
  <c r="DM136" i="30"/>
  <c r="DL136" i="30"/>
  <c r="DN136" i="30"/>
  <c r="DJ136" i="30"/>
  <c r="DD136" i="30"/>
  <c r="I136" i="30"/>
  <c r="O136" i="30"/>
  <c r="AJ136" i="30"/>
  <c r="BA136" i="30" s="1"/>
  <c r="AK136" i="30"/>
  <c r="AU136" i="30" s="1"/>
  <c r="BN136" i="30"/>
  <c r="CA136" i="30" s="1"/>
  <c r="CD136" i="30" s="1"/>
  <c r="BU136" i="30"/>
  <c r="BW136" i="30"/>
  <c r="BT136" i="30"/>
  <c r="BP136" i="30"/>
  <c r="BM136" i="30"/>
  <c r="BI136" i="30"/>
  <c r="BB136" i="30"/>
  <c r="AI136" i="30"/>
  <c r="AT136" i="30"/>
  <c r="AM136" i="30"/>
  <c r="AL136" i="30"/>
  <c r="CY136" i="30"/>
  <c r="AG136" i="30"/>
  <c r="CK136" i="30"/>
  <c r="Z136" i="30"/>
  <c r="DL135" i="30"/>
  <c r="DM135" i="30"/>
  <c r="DN135" i="30" s="1"/>
  <c r="DJ135" i="30"/>
  <c r="DD135" i="30"/>
  <c r="AI135" i="30"/>
  <c r="AJ135" i="30"/>
  <c r="AK135" i="30"/>
  <c r="AL135" i="30"/>
  <c r="O135" i="30"/>
  <c r="AZ135" i="30" s="1"/>
  <c r="CR135" i="30"/>
  <c r="AG135" i="30"/>
  <c r="CK135" i="30" s="1"/>
  <c r="CG135" i="30"/>
  <c r="CH135" i="30"/>
  <c r="BN135" i="30"/>
  <c r="BU135" i="30"/>
  <c r="CA135" i="30" s="1"/>
  <c r="CD135" i="30" s="1"/>
  <c r="BM135" i="30"/>
  <c r="BT135" i="30"/>
  <c r="BZ135" i="30" s="1"/>
  <c r="CC135" i="30" s="1"/>
  <c r="BW135" i="30"/>
  <c r="BP135" i="30"/>
  <c r="BL135" i="30"/>
  <c r="BO135" i="30"/>
  <c r="BQ135" i="30"/>
  <c r="BR135" i="30" s="1"/>
  <c r="BI135" i="30"/>
  <c r="BA135" i="30"/>
  <c r="AT135" i="30"/>
  <c r="AM135" i="30"/>
  <c r="AW135" i="30"/>
  <c r="AV135" i="30"/>
  <c r="Z135" i="30"/>
  <c r="CJ135" i="30"/>
  <c r="CL135" i="30" s="1"/>
  <c r="BS135" i="30"/>
  <c r="DM134" i="30"/>
  <c r="DL134" i="30"/>
  <c r="DN134" i="30"/>
  <c r="DJ134" i="30"/>
  <c r="DD134" i="30"/>
  <c r="CU134" i="30"/>
  <c r="CR134" i="30"/>
  <c r="Z134" i="30"/>
  <c r="AG134" i="30"/>
  <c r="CK134" i="30" s="1"/>
  <c r="CO134" i="30"/>
  <c r="CG134" i="30"/>
  <c r="CH134" i="30" s="1"/>
  <c r="AJ134" i="30"/>
  <c r="AK134" i="30"/>
  <c r="BV134" i="30"/>
  <c r="BU134" i="30"/>
  <c r="BT134" i="30"/>
  <c r="BS134" i="30"/>
  <c r="BX134" i="30" s="1"/>
  <c r="BY134" i="30" s="1"/>
  <c r="BO134" i="30"/>
  <c r="BN134" i="30"/>
  <c r="BM134" i="30"/>
  <c r="BL134" i="30"/>
  <c r="BI134" i="30"/>
  <c r="AM134" i="30"/>
  <c r="BD134" i="30" s="1"/>
  <c r="AL134" i="30"/>
  <c r="AV134" i="30" s="1"/>
  <c r="AI134" i="30"/>
  <c r="DB134" i="30" s="1"/>
  <c r="AQ134" i="30"/>
  <c r="DL133" i="30"/>
  <c r="DM133" i="30"/>
  <c r="DN133" i="30" s="1"/>
  <c r="DJ133" i="30"/>
  <c r="DD133" i="30"/>
  <c r="R133" i="30"/>
  <c r="AI133" i="30"/>
  <c r="AZ133" i="30" s="1"/>
  <c r="AJ133" i="30"/>
  <c r="AT133" i="30" s="1"/>
  <c r="AK133" i="30"/>
  <c r="AL133" i="30"/>
  <c r="CR133" i="30"/>
  <c r="CG133" i="30"/>
  <c r="CH133" i="30" s="1"/>
  <c r="BM133" i="30"/>
  <c r="BT133" i="30"/>
  <c r="BZ133" i="30"/>
  <c r="BN133" i="30"/>
  <c r="BU133" i="30"/>
  <c r="CA133" i="30" s="1"/>
  <c r="CD133" i="30" s="1"/>
  <c r="BW133" i="30"/>
  <c r="BS133" i="30"/>
  <c r="BP133" i="30"/>
  <c r="BO133" i="30"/>
  <c r="BL133" i="30"/>
  <c r="BI133" i="30"/>
  <c r="BA133" i="30"/>
  <c r="AM133" i="30"/>
  <c r="CY133" i="30"/>
  <c r="CX133" i="30"/>
  <c r="AG133" i="30"/>
  <c r="CK133" i="30"/>
  <c r="Z133" i="30"/>
  <c r="DM132" i="30"/>
  <c r="DL132" i="30"/>
  <c r="DN132" i="30"/>
  <c r="DJ132" i="30"/>
  <c r="CR132" i="30"/>
  <c r="N132" i="30"/>
  <c r="N160" i="30" s="1"/>
  <c r="AG132" i="30"/>
  <c r="BN132" i="30"/>
  <c r="BU132" i="30"/>
  <c r="AK132" i="30"/>
  <c r="BW132" i="30"/>
  <c r="BV132" i="30"/>
  <c r="BT132" i="30"/>
  <c r="O132" i="30"/>
  <c r="BS132" i="30"/>
  <c r="BP132" i="30"/>
  <c r="BO132" i="30"/>
  <c r="BM132" i="30"/>
  <c r="BZ132" i="30"/>
  <c r="BL132" i="30"/>
  <c r="AM132" i="30"/>
  <c r="BD132" i="30"/>
  <c r="AI132" i="30"/>
  <c r="AS132" i="30" s="1"/>
  <c r="AW132" i="30"/>
  <c r="AL132" i="30"/>
  <c r="AJ132" i="30"/>
  <c r="AP132" i="30"/>
  <c r="Z132" i="30"/>
  <c r="S131" i="30"/>
  <c r="DM131" i="30" s="1"/>
  <c r="DN131" i="30" s="1"/>
  <c r="DL131" i="30"/>
  <c r="DJ131" i="30"/>
  <c r="AJ131" i="30"/>
  <c r="AK131" i="30"/>
  <c r="AU131" i="30" s="1"/>
  <c r="CR131" i="30"/>
  <c r="N131" i="30"/>
  <c r="AG131" i="30"/>
  <c r="BW131" i="30"/>
  <c r="BU131" i="30"/>
  <c r="BP131" i="30"/>
  <c r="BO131" i="30"/>
  <c r="BN131" i="30"/>
  <c r="CA131" i="30" s="1"/>
  <c r="CD131" i="30" s="1"/>
  <c r="BM131" i="30"/>
  <c r="BL131" i="30"/>
  <c r="BB131" i="30"/>
  <c r="AL131" i="30"/>
  <c r="AV131" i="30" s="1"/>
  <c r="AM131" i="30"/>
  <c r="AW131" i="30" s="1"/>
  <c r="AX131" i="30" s="1"/>
  <c r="AT131" i="30"/>
  <c r="AI131" i="30"/>
  <c r="AO131" i="30" s="1"/>
  <c r="Z131" i="30"/>
  <c r="BD131" i="30"/>
  <c r="P131" i="30"/>
  <c r="DM130" i="30"/>
  <c r="DL130" i="30"/>
  <c r="DN130" i="30" s="1"/>
  <c r="DJ130" i="30"/>
  <c r="DD130" i="30"/>
  <c r="CR130" i="30"/>
  <c r="AI130" i="30"/>
  <c r="AJ130" i="30"/>
  <c r="CQ130" i="30" s="1"/>
  <c r="AK130" i="30"/>
  <c r="AU130" i="30" s="1"/>
  <c r="AL130" i="30"/>
  <c r="AG130" i="30"/>
  <c r="CK130" i="30" s="1"/>
  <c r="Z130" i="30"/>
  <c r="CJ130" i="30" s="1"/>
  <c r="CL130" i="30" s="1"/>
  <c r="BW130" i="30"/>
  <c r="BV130" i="30"/>
  <c r="BP130" i="30"/>
  <c r="BO130" i="30"/>
  <c r="BN130" i="30"/>
  <c r="BM130" i="30"/>
  <c r="BL130" i="30"/>
  <c r="BI130" i="30"/>
  <c r="AM130" i="30"/>
  <c r="AW130" i="30" s="1"/>
  <c r="BD130" i="30"/>
  <c r="BC130" i="30"/>
  <c r="AV130" i="30"/>
  <c r="AT130" i="30"/>
  <c r="AH130" i="30"/>
  <c r="CM130" i="30" s="1"/>
  <c r="CO130" i="30"/>
  <c r="O130" i="30"/>
  <c r="P130" i="30" s="1"/>
  <c r="DM129" i="30"/>
  <c r="DL129" i="30"/>
  <c r="DN129" i="30" s="1"/>
  <c r="DJ129" i="30"/>
  <c r="DD129" i="30"/>
  <c r="CU129" i="30"/>
  <c r="CR129" i="30"/>
  <c r="AI129" i="30"/>
  <c r="CP129" i="30" s="1"/>
  <c r="AJ129" i="30"/>
  <c r="AK129" i="30"/>
  <c r="BB129" i="30" s="1"/>
  <c r="AL129" i="30"/>
  <c r="AG129" i="30"/>
  <c r="AH129" i="30" s="1"/>
  <c r="CM129" i="30" s="1"/>
  <c r="Z129" i="30"/>
  <c r="CJ129" i="30"/>
  <c r="CG129" i="30"/>
  <c r="BN129" i="30"/>
  <c r="BU129" i="30"/>
  <c r="CA129" i="30"/>
  <c r="CD129" i="30" s="1"/>
  <c r="BS129" i="30"/>
  <c r="BX129" i="30" s="1"/>
  <c r="BY129" i="30" s="1"/>
  <c r="BT129" i="30"/>
  <c r="BV129" i="30"/>
  <c r="BW129" i="30"/>
  <c r="BP129" i="30"/>
  <c r="BO129" i="30"/>
  <c r="BM129" i="30"/>
  <c r="BZ129" i="30"/>
  <c r="BL129" i="30"/>
  <c r="BQ129" i="30" s="1"/>
  <c r="BR129" i="30" s="1"/>
  <c r="BI129" i="30"/>
  <c r="BC129" i="30"/>
  <c r="BA129" i="30"/>
  <c r="AV129" i="30"/>
  <c r="AU129" i="30"/>
  <c r="AM129" i="30"/>
  <c r="BD129" i="30" s="1"/>
  <c r="CH129" i="30"/>
  <c r="AO129" i="30"/>
  <c r="DM128" i="30"/>
  <c r="DL128" i="30"/>
  <c r="DN128" i="30" s="1"/>
  <c r="DJ128" i="30"/>
  <c r="DD128" i="30"/>
  <c r="CU128" i="30"/>
  <c r="CR128" i="30"/>
  <c r="CG128" i="30"/>
  <c r="AJ128" i="30"/>
  <c r="CS128" i="30" s="1"/>
  <c r="AK128" i="30"/>
  <c r="BW128" i="30"/>
  <c r="BV128" i="30"/>
  <c r="BU128" i="30"/>
  <c r="BT128" i="30"/>
  <c r="BS128" i="30"/>
  <c r="BP128" i="30"/>
  <c r="BO128" i="30"/>
  <c r="BN128" i="30"/>
  <c r="CA128" i="30"/>
  <c r="CD128" i="30"/>
  <c r="BM128" i="30"/>
  <c r="BL128" i="30"/>
  <c r="BQ128" i="30" s="1"/>
  <c r="BR128" i="30" s="1"/>
  <c r="BK128" i="30"/>
  <c r="BI128" i="30"/>
  <c r="AM128" i="30"/>
  <c r="BD128" i="30"/>
  <c r="AI128" i="30"/>
  <c r="AZ128" i="30" s="1"/>
  <c r="AS128" i="30"/>
  <c r="AW128" i="30"/>
  <c r="AL128" i="30"/>
  <c r="AG128" i="30"/>
  <c r="CK128" i="30" s="1"/>
  <c r="Z128" i="30"/>
  <c r="DL127" i="30"/>
  <c r="DM127" i="30"/>
  <c r="DN127" i="30"/>
  <c r="DJ127" i="30"/>
  <c r="DD127" i="30"/>
  <c r="AI127" i="30"/>
  <c r="AJ127" i="30"/>
  <c r="AK127" i="30"/>
  <c r="AL127" i="30"/>
  <c r="BC127" i="30" s="1"/>
  <c r="CU127" i="30"/>
  <c r="CR127" i="30"/>
  <c r="Z127" i="30"/>
  <c r="CJ127" i="30" s="1"/>
  <c r="AG127" i="30"/>
  <c r="AH127" i="30" s="1"/>
  <c r="CM127" i="30" s="1"/>
  <c r="CG127" i="30"/>
  <c r="BW127" i="30"/>
  <c r="BV127" i="30"/>
  <c r="BU127" i="30"/>
  <c r="BN127" i="30"/>
  <c r="CA127" i="30"/>
  <c r="CD127" i="30" s="1"/>
  <c r="BT127" i="30"/>
  <c r="BS127" i="30"/>
  <c r="BP127" i="30"/>
  <c r="BL127" i="30"/>
  <c r="BQ127" i="30" s="1"/>
  <c r="BR127" i="30" s="1"/>
  <c r="BM127" i="30"/>
  <c r="BZ127" i="30" s="1"/>
  <c r="CC127" i="30" s="1"/>
  <c r="BO127" i="30"/>
  <c r="BI127" i="30"/>
  <c r="BB127" i="30"/>
  <c r="AU127" i="30"/>
  <c r="AM127" i="30"/>
  <c r="DM126" i="30"/>
  <c r="DL126" i="30"/>
  <c r="DN126" i="30" s="1"/>
  <c r="DJ126" i="30"/>
  <c r="DD126" i="30"/>
  <c r="CU126" i="30"/>
  <c r="CR126" i="30"/>
  <c r="Z126" i="30"/>
  <c r="CJ126" i="30"/>
  <c r="AG126" i="30"/>
  <c r="CO126" i="30" s="1"/>
  <c r="CG126" i="30"/>
  <c r="BW126" i="30"/>
  <c r="BV126" i="30"/>
  <c r="BU126" i="30"/>
  <c r="BT126" i="30"/>
  <c r="BX126" i="30" s="1"/>
  <c r="BY126" i="30" s="1"/>
  <c r="BS126" i="30"/>
  <c r="BP126" i="30"/>
  <c r="BO126" i="30"/>
  <c r="BN126" i="30"/>
  <c r="CA126" i="30" s="1"/>
  <c r="BM126" i="30"/>
  <c r="BZ126" i="30" s="1"/>
  <c r="BL126" i="30"/>
  <c r="BQ126" i="30"/>
  <c r="BR126" i="30"/>
  <c r="BI126" i="30"/>
  <c r="AM126" i="30"/>
  <c r="BD126" i="30" s="1"/>
  <c r="AL126" i="30"/>
  <c r="AV126" i="30" s="1"/>
  <c r="BC126" i="30"/>
  <c r="AK126" i="30"/>
  <c r="AJ126" i="30"/>
  <c r="AI126" i="30"/>
  <c r="AH126" i="30"/>
  <c r="CM126" i="30"/>
  <c r="DM125" i="30"/>
  <c r="DL125" i="30"/>
  <c r="DN125" i="30" s="1"/>
  <c r="DJ125" i="30"/>
  <c r="DD125" i="30"/>
  <c r="AJ125" i="30"/>
  <c r="AK125" i="30"/>
  <c r="CY125" i="30" s="1"/>
  <c r="CU125" i="30"/>
  <c r="AI125" i="30"/>
  <c r="AL125" i="30"/>
  <c r="CR125" i="30"/>
  <c r="CG125" i="30"/>
  <c r="CH125" i="30" s="1"/>
  <c r="BM125" i="30"/>
  <c r="BZ125" i="30" s="1"/>
  <c r="BT125" i="30"/>
  <c r="BW125" i="30"/>
  <c r="BV125" i="30"/>
  <c r="BU125" i="30"/>
  <c r="BS125" i="30"/>
  <c r="BX125" i="30"/>
  <c r="BY125" i="30" s="1"/>
  <c r="BP125" i="30"/>
  <c r="BO125" i="30"/>
  <c r="BN125" i="30"/>
  <c r="CA125" i="30"/>
  <c r="CD125" i="30" s="1"/>
  <c r="BL125" i="30"/>
  <c r="BI125" i="30"/>
  <c r="AM125" i="30"/>
  <c r="AW125" i="30"/>
  <c r="AT125" i="30"/>
  <c r="BD125" i="30"/>
  <c r="AG125" i="30"/>
  <c r="Z125" i="30"/>
  <c r="DL124" i="30"/>
  <c r="DN124" i="30" s="1"/>
  <c r="DM124" i="30"/>
  <c r="DJ124" i="30"/>
  <c r="DD124" i="30"/>
  <c r="CU124" i="30"/>
  <c r="CR124" i="30"/>
  <c r="AG124" i="30"/>
  <c r="CK124" i="30" s="1"/>
  <c r="CG124" i="30"/>
  <c r="AJ124" i="30"/>
  <c r="AK124" i="30"/>
  <c r="CH124" i="30"/>
  <c r="BM124" i="30"/>
  <c r="BT124" i="30"/>
  <c r="BZ124" i="30"/>
  <c r="CC124" i="30"/>
  <c r="BW124" i="30"/>
  <c r="BV124" i="30"/>
  <c r="BX124" i="30" s="1"/>
  <c r="BY124" i="30" s="1"/>
  <c r="BU124" i="30"/>
  <c r="BS124" i="30"/>
  <c r="BP124" i="30"/>
  <c r="BO124" i="30"/>
  <c r="BN124" i="30"/>
  <c r="BL124" i="30"/>
  <c r="BI124" i="30"/>
  <c r="BB124" i="30"/>
  <c r="BA124" i="30"/>
  <c r="AU124" i="30"/>
  <c r="AT124" i="30"/>
  <c r="AI124" i="30"/>
  <c r="AS124" i="30"/>
  <c r="AM124" i="30"/>
  <c r="AL124" i="30"/>
  <c r="CY124" i="30"/>
  <c r="Z124" i="30"/>
  <c r="DM123" i="30"/>
  <c r="DL123" i="30"/>
  <c r="DN123" i="30"/>
  <c r="DJ123" i="30"/>
  <c r="DD123" i="30"/>
  <c r="CU123" i="30"/>
  <c r="CR123" i="30"/>
  <c r="Z123" i="30"/>
  <c r="CO123" i="30" s="1"/>
  <c r="AG123" i="30"/>
  <c r="CK123" i="30" s="1"/>
  <c r="CG123" i="30"/>
  <c r="BW123" i="30"/>
  <c r="BV123" i="30"/>
  <c r="BU123" i="30"/>
  <c r="BT123" i="30"/>
  <c r="BS123" i="30"/>
  <c r="BP123" i="30"/>
  <c r="BO123" i="30"/>
  <c r="BN123" i="30"/>
  <c r="CA123" i="30" s="1"/>
  <c r="BM123" i="30"/>
  <c r="BZ123" i="30"/>
  <c r="BL123" i="30"/>
  <c r="BI123" i="30"/>
  <c r="AM123" i="30"/>
  <c r="BD123" i="30" s="1"/>
  <c r="AJ123" i="30"/>
  <c r="BA123" i="30"/>
  <c r="AL123" i="30"/>
  <c r="AV123" i="30"/>
  <c r="BC123" i="30"/>
  <c r="AK123" i="30"/>
  <c r="AT123" i="30"/>
  <c r="AI123" i="30"/>
  <c r="DM122" i="30"/>
  <c r="DL122" i="30"/>
  <c r="DN122" i="30" s="1"/>
  <c r="DJ122" i="30"/>
  <c r="DD122" i="30"/>
  <c r="DB122" i="30"/>
  <c r="DA122" i="30"/>
  <c r="CY122" i="30"/>
  <c r="CX122" i="30"/>
  <c r="CU122" i="30"/>
  <c r="CT122" i="30"/>
  <c r="CS122" i="30"/>
  <c r="CR122" i="30"/>
  <c r="CQ122" i="30"/>
  <c r="CP122" i="30"/>
  <c r="CV122" i="30"/>
  <c r="CW122" i="30" s="1"/>
  <c r="CO122" i="30"/>
  <c r="CM122" i="30"/>
  <c r="CJ122" i="30"/>
  <c r="CK122" i="30"/>
  <c r="CL122" i="30"/>
  <c r="CL173" i="30"/>
  <c r="CG122" i="30"/>
  <c r="CH122" i="30"/>
  <c r="CF122" i="30"/>
  <c r="CE122" i="30"/>
  <c r="CD122" i="30"/>
  <c r="BK122" i="30"/>
  <c r="BH122" i="30"/>
  <c r="BG122" i="30"/>
  <c r="DL121" i="30"/>
  <c r="DM121" i="30"/>
  <c r="DN121" i="30"/>
  <c r="DJ121" i="30"/>
  <c r="CR121" i="30"/>
  <c r="BM121" i="30"/>
  <c r="BZ121" i="30" s="1"/>
  <c r="BT121" i="30"/>
  <c r="BN121" i="30"/>
  <c r="CA121" i="30" s="1"/>
  <c r="CD121" i="30" s="1"/>
  <c r="BU121" i="30"/>
  <c r="BW121" i="30"/>
  <c r="AK121" i="30"/>
  <c r="BB121" i="30" s="1"/>
  <c r="BP121" i="30"/>
  <c r="BO121" i="30"/>
  <c r="AJ121" i="30"/>
  <c r="CY121" i="30" s="1"/>
  <c r="BL121" i="30"/>
  <c r="BI121" i="30"/>
  <c r="AL121" i="30"/>
  <c r="AV121" i="30" s="1"/>
  <c r="AU121" i="30"/>
  <c r="AT121" i="30"/>
  <c r="AI121" i="30"/>
  <c r="AP121" i="30" s="1"/>
  <c r="AM121" i="30"/>
  <c r="AG121" i="30"/>
  <c r="Z121" i="30"/>
  <c r="N121" i="30"/>
  <c r="DL120" i="30"/>
  <c r="DN120" i="30" s="1"/>
  <c r="DM120" i="30"/>
  <c r="DJ120" i="30"/>
  <c r="N120" i="30"/>
  <c r="DD120" i="30"/>
  <c r="CR120" i="30"/>
  <c r="BM120" i="30"/>
  <c r="BZ120" i="30" s="1"/>
  <c r="BT120" i="30"/>
  <c r="AJ120" i="30"/>
  <c r="AT120" i="30" s="1"/>
  <c r="BN120" i="30"/>
  <c r="CA120" i="30" s="1"/>
  <c r="CD120" i="30" s="1"/>
  <c r="BU120" i="30"/>
  <c r="AK120" i="30"/>
  <c r="BW120" i="30"/>
  <c r="BP120" i="30"/>
  <c r="BO120" i="30"/>
  <c r="BL120" i="30"/>
  <c r="BI120" i="30"/>
  <c r="BA120" i="30"/>
  <c r="AU120" i="30"/>
  <c r="AI120" i="30"/>
  <c r="AS120" i="30"/>
  <c r="AM120" i="30"/>
  <c r="BD120" i="30"/>
  <c r="AL120" i="30"/>
  <c r="BB120" i="30"/>
  <c r="CY120" i="30"/>
  <c r="AG120" i="30"/>
  <c r="Z120" i="30"/>
  <c r="DM119" i="30"/>
  <c r="DL119" i="30"/>
  <c r="DN119" i="30" s="1"/>
  <c r="DJ119" i="30"/>
  <c r="CR119" i="30"/>
  <c r="Z119" i="30"/>
  <c r="CO119" i="30" s="1"/>
  <c r="N119" i="30"/>
  <c r="O119" i="30" s="1"/>
  <c r="AG119" i="30"/>
  <c r="AH119" i="30"/>
  <c r="BM119" i="30"/>
  <c r="BZ119" i="30" s="1"/>
  <c r="CC119" i="30" s="1"/>
  <c r="BT119" i="30"/>
  <c r="AJ119" i="30"/>
  <c r="BW119" i="30"/>
  <c r="BU119" i="30"/>
  <c r="BP119" i="30"/>
  <c r="BO119" i="30"/>
  <c r="BN119" i="30"/>
  <c r="CA119" i="30"/>
  <c r="BL119" i="30"/>
  <c r="BI119" i="30"/>
  <c r="AI119" i="30"/>
  <c r="AS119" i="30" s="1"/>
  <c r="AZ119" i="30"/>
  <c r="AT119" i="30"/>
  <c r="AM119" i="30"/>
  <c r="AW119" i="30" s="1"/>
  <c r="AL119" i="30"/>
  <c r="AV119" i="30" s="1"/>
  <c r="AK119" i="30"/>
  <c r="DM118" i="30"/>
  <c r="DL118" i="30"/>
  <c r="DN118" i="30" s="1"/>
  <c r="DJ118" i="30"/>
  <c r="CR118" i="30"/>
  <c r="N118" i="30"/>
  <c r="O118" i="30" s="1"/>
  <c r="CG118" i="30" s="1"/>
  <c r="CH118" i="30" s="1"/>
  <c r="AJ118" i="30"/>
  <c r="AK118" i="30"/>
  <c r="BW118" i="30"/>
  <c r="BU118" i="30"/>
  <c r="BN118" i="30"/>
  <c r="CA118" i="30" s="1"/>
  <c r="CD118" i="30" s="1"/>
  <c r="BT118" i="30"/>
  <c r="BP118" i="30"/>
  <c r="BO118" i="30"/>
  <c r="BM118" i="30"/>
  <c r="BZ118" i="30" s="1"/>
  <c r="BL118" i="30"/>
  <c r="BQ118" i="30"/>
  <c r="BR118" i="30"/>
  <c r="BI118" i="30"/>
  <c r="AM118" i="30"/>
  <c r="BD118" i="30" s="1"/>
  <c r="AI118" i="30"/>
  <c r="AS118" i="30" s="1"/>
  <c r="AL118" i="30"/>
  <c r="AV118" i="30"/>
  <c r="BB118" i="30"/>
  <c r="AG118" i="30"/>
  <c r="Z118" i="30"/>
  <c r="CK118" i="30"/>
  <c r="DM117" i="30"/>
  <c r="DL117" i="30"/>
  <c r="DJ117" i="30"/>
  <c r="CR117" i="30"/>
  <c r="BM117" i="30"/>
  <c r="BZ117" i="30" s="1"/>
  <c r="BT117" i="30"/>
  <c r="BW117" i="30"/>
  <c r="BU117" i="30"/>
  <c r="BP117" i="30"/>
  <c r="BO117" i="30"/>
  <c r="BN117" i="30"/>
  <c r="CA117" i="30" s="1"/>
  <c r="CD117" i="30" s="1"/>
  <c r="AK117" i="30"/>
  <c r="AU117" i="30" s="1"/>
  <c r="BL117" i="30"/>
  <c r="BI117" i="30"/>
  <c r="AM117" i="30"/>
  <c r="BD117" i="30" s="1"/>
  <c r="AL117" i="30"/>
  <c r="AV117" i="30"/>
  <c r="AI117" i="30"/>
  <c r="AP117" i="30" s="1"/>
  <c r="AJ117" i="30"/>
  <c r="BA117" i="30" s="1"/>
  <c r="Z117" i="30"/>
  <c r="AG117" i="30"/>
  <c r="AH117" i="30"/>
  <c r="N117" i="30"/>
  <c r="DM116" i="30"/>
  <c r="DL116" i="30"/>
  <c r="DN116" i="30"/>
  <c r="DJ116" i="30"/>
  <c r="N116" i="30"/>
  <c r="DD116" i="30" s="1"/>
  <c r="CR116" i="30"/>
  <c r="AI116" i="30"/>
  <c r="AJ116" i="30"/>
  <c r="CP116" i="30" s="1"/>
  <c r="AK116" i="30"/>
  <c r="AL116" i="30"/>
  <c r="AV116" i="30" s="1"/>
  <c r="Z116" i="30"/>
  <c r="CJ116" i="30"/>
  <c r="BW116" i="30"/>
  <c r="BU116" i="30"/>
  <c r="BT116" i="30"/>
  <c r="BL116" i="30"/>
  <c r="BM116" i="30"/>
  <c r="BN116" i="30"/>
  <c r="BO116" i="30"/>
  <c r="BP116" i="30"/>
  <c r="BQ116" i="30"/>
  <c r="BR116" i="30" s="1"/>
  <c r="CA116" i="30"/>
  <c r="CD116" i="30"/>
  <c r="BZ116" i="30"/>
  <c r="CB116" i="30" s="1"/>
  <c r="CF116" i="30" s="1"/>
  <c r="BI116" i="30"/>
  <c r="BB116" i="30"/>
  <c r="AM116" i="30"/>
  <c r="AW116" i="30"/>
  <c r="AU116" i="30"/>
  <c r="BD116" i="30"/>
  <c r="AQ116" i="30"/>
  <c r="AG116" i="30"/>
  <c r="DL115" i="30"/>
  <c r="DN115" i="30" s="1"/>
  <c r="DM115" i="30"/>
  <c r="DJ115" i="30"/>
  <c r="N115" i="30"/>
  <c r="AI115" i="30"/>
  <c r="AJ115" i="30"/>
  <c r="AT115" i="30" s="1"/>
  <c r="AK115" i="30"/>
  <c r="BB115" i="30" s="1"/>
  <c r="AL115" i="30"/>
  <c r="CR115" i="30"/>
  <c r="AG115" i="30"/>
  <c r="CK115" i="30" s="1"/>
  <c r="BN115" i="30"/>
  <c r="BU115" i="30"/>
  <c r="CA115" i="30"/>
  <c r="CD115" i="30" s="1"/>
  <c r="BW115" i="30"/>
  <c r="BT115" i="30"/>
  <c r="BP115" i="30"/>
  <c r="BO115" i="30"/>
  <c r="BM115" i="30"/>
  <c r="BZ115" i="30" s="1"/>
  <c r="CC115" i="30" s="1"/>
  <c r="BL115" i="30"/>
  <c r="BI115" i="30"/>
  <c r="AV115" i="30"/>
  <c r="AU115" i="30"/>
  <c r="AM115" i="30"/>
  <c r="Z115" i="30"/>
  <c r="AH115" i="30"/>
  <c r="DL114" i="30"/>
  <c r="DM114" i="30"/>
  <c r="DN114" i="30" s="1"/>
  <c r="DJ114" i="30"/>
  <c r="N114" i="30"/>
  <c r="O114" i="30" s="1"/>
  <c r="DD114" i="30"/>
  <c r="CR114" i="30"/>
  <c r="AJ114" i="30"/>
  <c r="AK114" i="30"/>
  <c r="BW114" i="30"/>
  <c r="BU114" i="30"/>
  <c r="BN114" i="30"/>
  <c r="CA114" i="30" s="1"/>
  <c r="CD114" i="30" s="1"/>
  <c r="BT114" i="30"/>
  <c r="BZ114" i="30" s="1"/>
  <c r="BM114" i="30"/>
  <c r="BL114" i="30"/>
  <c r="BQ114" i="30" s="1"/>
  <c r="BR114" i="30" s="1"/>
  <c r="BO114" i="30"/>
  <c r="BP114" i="30"/>
  <c r="BI114" i="30"/>
  <c r="AM114" i="30"/>
  <c r="BD114" i="30" s="1"/>
  <c r="BA114" i="30"/>
  <c r="AU114" i="30"/>
  <c r="AT114" i="30"/>
  <c r="AI114" i="30"/>
  <c r="AS114" i="30" s="1"/>
  <c r="AY114" i="30" s="1"/>
  <c r="AW114" i="30"/>
  <c r="AL114" i="30"/>
  <c r="AV114" i="30" s="1"/>
  <c r="BB114" i="30"/>
  <c r="CY114" i="30"/>
  <c r="AG114" i="30"/>
  <c r="Z114" i="30"/>
  <c r="CO114" i="30"/>
  <c r="DM113" i="30"/>
  <c r="DL113" i="30"/>
  <c r="DN113" i="30" s="1"/>
  <c r="DJ113" i="30"/>
  <c r="N113" i="30"/>
  <c r="AI113" i="30"/>
  <c r="AP113" i="30" s="1"/>
  <c r="AJ113" i="30"/>
  <c r="AK113" i="30"/>
  <c r="AL113" i="30"/>
  <c r="AV113" i="30" s="1"/>
  <c r="DB113" i="30"/>
  <c r="CY113" i="30"/>
  <c r="CR113" i="30"/>
  <c r="BM113" i="30"/>
  <c r="BT113" i="30"/>
  <c r="BZ113" i="30"/>
  <c r="CC113" i="30" s="1"/>
  <c r="BW113" i="30"/>
  <c r="BU113" i="30"/>
  <c r="BP113" i="30"/>
  <c r="BO113" i="30"/>
  <c r="BN113" i="30"/>
  <c r="CA113" i="30"/>
  <c r="CD113" i="30" s="1"/>
  <c r="BL113" i="30"/>
  <c r="BB113" i="30"/>
  <c r="BA113" i="30"/>
  <c r="AU113" i="30"/>
  <c r="AT113" i="30"/>
  <c r="AM113" i="30"/>
  <c r="CX113" i="30"/>
  <c r="AG113" i="30"/>
  <c r="Z113" i="30"/>
  <c r="DL112" i="30"/>
  <c r="DN112" i="30" s="1"/>
  <c r="DM112" i="30"/>
  <c r="DJ112" i="30"/>
  <c r="N112" i="30"/>
  <c r="DD112" i="30" s="1"/>
  <c r="AI112" i="30"/>
  <c r="AJ112" i="30"/>
  <c r="CP112" i="30" s="1"/>
  <c r="AK112" i="30"/>
  <c r="AL112" i="30"/>
  <c r="DA112" i="30"/>
  <c r="CR112" i="30"/>
  <c r="Z112" i="30"/>
  <c r="CJ112" i="30" s="1"/>
  <c r="AG112" i="30"/>
  <c r="CK112" i="30" s="1"/>
  <c r="O112" i="30"/>
  <c r="CG112" i="30"/>
  <c r="CH112" i="30" s="1"/>
  <c r="BW112" i="30"/>
  <c r="BU112" i="30"/>
  <c r="BN112" i="30"/>
  <c r="CA112" i="30" s="1"/>
  <c r="CD112" i="30" s="1"/>
  <c r="BT112" i="30"/>
  <c r="BM112" i="30"/>
  <c r="BZ112" i="30" s="1"/>
  <c r="BL112" i="30"/>
  <c r="BO112" i="30"/>
  <c r="BP112" i="30"/>
  <c r="BI112" i="30"/>
  <c r="AM112" i="30"/>
  <c r="AU112" i="30"/>
  <c r="AS112" i="30"/>
  <c r="AV112" i="30"/>
  <c r="CQ112" i="30"/>
  <c r="CO112" i="30"/>
  <c r="R112" i="30"/>
  <c r="BC112" i="30"/>
  <c r="BS112" i="30"/>
  <c r="DM111" i="30"/>
  <c r="DL111" i="30"/>
  <c r="DJ111" i="30"/>
  <c r="AJ111" i="30"/>
  <c r="AK111" i="30"/>
  <c r="AU111" i="30" s="1"/>
  <c r="CR111" i="30"/>
  <c r="BM111" i="30"/>
  <c r="BZ111" i="30" s="1"/>
  <c r="BT111" i="30"/>
  <c r="BW111" i="30"/>
  <c r="BU111" i="30"/>
  <c r="BP111" i="30"/>
  <c r="BO111" i="30"/>
  <c r="BN111" i="30"/>
  <c r="CA111" i="30"/>
  <c r="CD111" i="30" s="1"/>
  <c r="BL111" i="30"/>
  <c r="BB111" i="30"/>
  <c r="BA111" i="30"/>
  <c r="AL111" i="30"/>
  <c r="AV111" i="30"/>
  <c r="AT111" i="30"/>
  <c r="AI111" i="30"/>
  <c r="AP111" i="30" s="1"/>
  <c r="AM111" i="30"/>
  <c r="AG111" i="30"/>
  <c r="Z111" i="30"/>
  <c r="N111" i="30"/>
  <c r="DL110" i="30"/>
  <c r="DM110" i="30"/>
  <c r="DJ110" i="30"/>
  <c r="N110" i="30"/>
  <c r="DD110" i="30"/>
  <c r="AI110" i="30"/>
  <c r="AJ110" i="30"/>
  <c r="AK110" i="30"/>
  <c r="AL110" i="30"/>
  <c r="CP110" i="30" s="1"/>
  <c r="O110" i="30"/>
  <c r="R110" i="30"/>
  <c r="BC110" i="30" s="1"/>
  <c r="CT110" i="30"/>
  <c r="CR110" i="30"/>
  <c r="Z110" i="30"/>
  <c r="CJ110" i="30"/>
  <c r="CG110" i="30"/>
  <c r="CH110" i="30" s="1"/>
  <c r="BM110" i="30"/>
  <c r="BT110" i="30"/>
  <c r="BZ110" i="30" s="1"/>
  <c r="BN110" i="30"/>
  <c r="BU110" i="30"/>
  <c r="BW110" i="30"/>
  <c r="BP110" i="30"/>
  <c r="BO110" i="30"/>
  <c r="BL110" i="30"/>
  <c r="BI110" i="30"/>
  <c r="AM110" i="30"/>
  <c r="AW110" i="30" s="1"/>
  <c r="BD110" i="30"/>
  <c r="BA110" i="30"/>
  <c r="AU110" i="30"/>
  <c r="AT110" i="30"/>
  <c r="AS110" i="30"/>
  <c r="CY110" i="30"/>
  <c r="CX110" i="30"/>
  <c r="AG110" i="30"/>
  <c r="CO110" i="30" s="1"/>
  <c r="AH110" i="30"/>
  <c r="CM110" i="30" s="1"/>
  <c r="BS110" i="30"/>
  <c r="DM109" i="30"/>
  <c r="DL109" i="30"/>
  <c r="DJ109" i="30"/>
  <c r="AJ109" i="30"/>
  <c r="AK109" i="30"/>
  <c r="CY109" i="30"/>
  <c r="N109" i="30"/>
  <c r="AI109" i="30"/>
  <c r="AS109" i="30" s="1"/>
  <c r="AL109" i="30"/>
  <c r="CR109" i="30"/>
  <c r="BW109" i="30"/>
  <c r="BU109" i="30"/>
  <c r="BT109" i="30"/>
  <c r="BM109" i="30"/>
  <c r="BZ109" i="30"/>
  <c r="BP109" i="30"/>
  <c r="BO109" i="30"/>
  <c r="BN109" i="30"/>
  <c r="CA109" i="30" s="1"/>
  <c r="CD109" i="30" s="1"/>
  <c r="BL109" i="30"/>
  <c r="BI109" i="30"/>
  <c r="AT109" i="30"/>
  <c r="AM109" i="30"/>
  <c r="AW109" i="30"/>
  <c r="AV109" i="30"/>
  <c r="CX109" i="30"/>
  <c r="CQ109" i="30"/>
  <c r="AG109" i="30"/>
  <c r="Z109" i="30"/>
  <c r="DL108" i="30"/>
  <c r="DN108" i="30" s="1"/>
  <c r="DM108" i="30"/>
  <c r="DJ108" i="30"/>
  <c r="DD108" i="30"/>
  <c r="CU108" i="30"/>
  <c r="CR108" i="30"/>
  <c r="AG108" i="30"/>
  <c r="CK108" i="30"/>
  <c r="CG108" i="30"/>
  <c r="AJ108" i="30"/>
  <c r="AK108" i="30"/>
  <c r="CH108" i="30"/>
  <c r="BW108" i="30"/>
  <c r="BV108" i="30"/>
  <c r="BU108" i="30"/>
  <c r="BN108" i="30"/>
  <c r="CA108" i="30" s="1"/>
  <c r="CD108" i="30" s="1"/>
  <c r="BT108" i="30"/>
  <c r="BS108" i="30"/>
  <c r="BP108" i="30"/>
  <c r="BO108" i="30"/>
  <c r="BM108" i="30"/>
  <c r="BZ108" i="30"/>
  <c r="BL108" i="30"/>
  <c r="BI108" i="30"/>
  <c r="AM108" i="30"/>
  <c r="AW108" i="30" s="1"/>
  <c r="BD108" i="30"/>
  <c r="BB108" i="30"/>
  <c r="AI108" i="30"/>
  <c r="AS108" i="30" s="1"/>
  <c r="AL108" i="30"/>
  <c r="AU108" i="30"/>
  <c r="CX108" i="30"/>
  <c r="Z108" i="30"/>
  <c r="CJ107" i="30"/>
  <c r="CK107" i="30"/>
  <c r="CL107" i="30"/>
  <c r="BI107" i="30"/>
  <c r="AL107" i="30"/>
  <c r="BC107" i="30"/>
  <c r="AI107" i="30"/>
  <c r="AZ107" i="30" s="1"/>
  <c r="AJ107" i="30"/>
  <c r="AT107" i="30" s="1"/>
  <c r="AS107" i="30"/>
  <c r="AM107" i="30"/>
  <c r="AV107" i="30"/>
  <c r="AK107" i="30"/>
  <c r="AH107" i="30"/>
  <c r="DL106" i="30"/>
  <c r="DN106" i="30" s="1"/>
  <c r="DM106" i="30"/>
  <c r="DJ106" i="30"/>
  <c r="DD106" i="30"/>
  <c r="AJ106" i="30"/>
  <c r="CX106" i="30" s="1"/>
  <c r="AK106" i="30"/>
  <c r="CU106" i="30"/>
  <c r="CR106" i="30"/>
  <c r="AG106" i="30"/>
  <c r="CK106" i="30"/>
  <c r="CG106" i="30"/>
  <c r="BW106" i="30"/>
  <c r="BV106" i="30"/>
  <c r="BU106" i="30"/>
  <c r="BN106" i="30"/>
  <c r="CA106" i="30" s="1"/>
  <c r="BT106" i="30"/>
  <c r="BS106" i="30"/>
  <c r="BX106" i="30"/>
  <c r="BY106" i="30" s="1"/>
  <c r="BP106" i="30"/>
  <c r="BO106" i="30"/>
  <c r="BM106" i="30"/>
  <c r="BZ106" i="30" s="1"/>
  <c r="BL106" i="30"/>
  <c r="AM106" i="30"/>
  <c r="BD106" i="30" s="1"/>
  <c r="AL106" i="30"/>
  <c r="BC106" i="30"/>
  <c r="BA106" i="30"/>
  <c r="AW106" i="30"/>
  <c r="AV106" i="30"/>
  <c r="AU106" i="30"/>
  <c r="BB106" i="30"/>
  <c r="AT106" i="30"/>
  <c r="AI106" i="30"/>
  <c r="Z106" i="30"/>
  <c r="CJ106" i="30" s="1"/>
  <c r="CL106" i="30" s="1"/>
  <c r="AH106" i="30"/>
  <c r="CM106" i="30" s="1"/>
  <c r="DM105" i="30"/>
  <c r="DL105" i="30"/>
  <c r="DN105" i="30"/>
  <c r="DJ105" i="30"/>
  <c r="DD105" i="30"/>
  <c r="O105" i="30"/>
  <c r="P105" i="30" s="1"/>
  <c r="AJ105" i="30"/>
  <c r="AK105" i="30"/>
  <c r="CR105" i="30"/>
  <c r="BW105" i="30"/>
  <c r="BU105" i="30"/>
  <c r="BS105" i="30"/>
  <c r="BP105" i="30"/>
  <c r="BO105" i="30"/>
  <c r="BN105" i="30"/>
  <c r="CA105" i="30" s="1"/>
  <c r="BM105" i="30"/>
  <c r="BL105" i="30"/>
  <c r="AM105" i="30"/>
  <c r="BD105" i="30" s="1"/>
  <c r="AW105" i="30"/>
  <c r="AL105" i="30"/>
  <c r="AV105" i="30"/>
  <c r="AU105" i="30"/>
  <c r="AT105" i="30"/>
  <c r="AI105" i="30"/>
  <c r="DB105" i="30"/>
  <c r="AG105" i="30"/>
  <c r="CK105" i="30" s="1"/>
  <c r="Z105" i="30"/>
  <c r="DM104" i="30"/>
  <c r="DL104" i="30"/>
  <c r="DJ104" i="30"/>
  <c r="DD104" i="30"/>
  <c r="AJ104" i="30"/>
  <c r="AK104" i="30"/>
  <c r="CD104" i="30" s="1"/>
  <c r="CR104" i="30"/>
  <c r="AI104" i="30"/>
  <c r="AL104" i="30"/>
  <c r="Z104" i="30"/>
  <c r="CJ104" i="30" s="1"/>
  <c r="BW104" i="30"/>
  <c r="BU104" i="30"/>
  <c r="BN104" i="30"/>
  <c r="CA104" i="30"/>
  <c r="BL104" i="30"/>
  <c r="BM104" i="30"/>
  <c r="BQ104" i="30" s="1"/>
  <c r="BR104" i="30" s="1"/>
  <c r="BO104" i="30"/>
  <c r="BP104" i="30"/>
  <c r="O104" i="30"/>
  <c r="AZ104" i="30" s="1"/>
  <c r="AV104" i="30"/>
  <c r="AT104" i="30"/>
  <c r="AM104" i="30"/>
  <c r="AG104" i="30"/>
  <c r="DM103" i="30"/>
  <c r="DL103" i="30"/>
  <c r="DN103" i="30" s="1"/>
  <c r="DJ103" i="30"/>
  <c r="AJ103" i="30"/>
  <c r="CY103" i="30" s="1"/>
  <c r="AK103" i="30"/>
  <c r="CR103" i="30"/>
  <c r="N103" i="30"/>
  <c r="Z103" i="30"/>
  <c r="AH103" i="30" s="1"/>
  <c r="AG103" i="30"/>
  <c r="BW103" i="30"/>
  <c r="BU103" i="30"/>
  <c r="BT103" i="30"/>
  <c r="BM103" i="30"/>
  <c r="BZ103" i="30" s="1"/>
  <c r="BP103" i="30"/>
  <c r="BO103" i="30"/>
  <c r="BN103" i="30"/>
  <c r="CA103" i="30" s="1"/>
  <c r="CD103" i="30" s="1"/>
  <c r="BL103" i="30"/>
  <c r="AM103" i="30"/>
  <c r="BD103" i="30" s="1"/>
  <c r="AW103" i="30"/>
  <c r="AI103" i="30"/>
  <c r="AS103" i="30"/>
  <c r="AL103" i="30"/>
  <c r="AV103" i="30" s="1"/>
  <c r="AQ103" i="30"/>
  <c r="BB103" i="30"/>
  <c r="DM102" i="30"/>
  <c r="DL102" i="30"/>
  <c r="DN102" i="30"/>
  <c r="DJ102" i="30"/>
  <c r="CR102" i="30"/>
  <c r="AI102" i="30"/>
  <c r="CQ102" i="30" s="1"/>
  <c r="AJ102" i="30"/>
  <c r="AK102" i="30"/>
  <c r="AL102" i="30"/>
  <c r="N102" i="30"/>
  <c r="CK102" i="30" s="1"/>
  <c r="AG102" i="30"/>
  <c r="BW102" i="30"/>
  <c r="BU102" i="30"/>
  <c r="CA102" i="30" s="1"/>
  <c r="CD102" i="30" s="1"/>
  <c r="BT102" i="30"/>
  <c r="BM102" i="30"/>
  <c r="BZ102" i="30"/>
  <c r="BL102" i="30"/>
  <c r="BQ102" i="30" s="1"/>
  <c r="BR102" i="30" s="1"/>
  <c r="BN102" i="30"/>
  <c r="BO102" i="30"/>
  <c r="BP102" i="30"/>
  <c r="AM102" i="30"/>
  <c r="AW102" i="30" s="1"/>
  <c r="O102" i="30"/>
  <c r="R102" i="30" s="1"/>
  <c r="AZ102" i="30"/>
  <c r="AT102" i="30"/>
  <c r="AV102" i="30"/>
  <c r="Z102" i="30"/>
  <c r="CO102" i="30" s="1"/>
  <c r="DD102" i="30"/>
  <c r="DJ101" i="30"/>
  <c r="Z101" i="30"/>
  <c r="AH101" i="30" s="1"/>
  <c r="CM101" i="30" s="1"/>
  <c r="CJ101" i="30"/>
  <c r="CL101" i="30" s="1"/>
  <c r="AG101" i="30"/>
  <c r="CK101" i="30" s="1"/>
  <c r="AI101" i="30"/>
  <c r="AJ101" i="30"/>
  <c r="AK101" i="30"/>
  <c r="AL101" i="30"/>
  <c r="AM101" i="30"/>
  <c r="AP101" i="30"/>
  <c r="DJ100" i="30"/>
  <c r="Z100" i="30"/>
  <c r="CJ100" i="30"/>
  <c r="CL100" i="30" s="1"/>
  <c r="AG100" i="30"/>
  <c r="CK100" i="30"/>
  <c r="BS100" i="30"/>
  <c r="BL100" i="30"/>
  <c r="AM100" i="30"/>
  <c r="AL100" i="30"/>
  <c r="AK100" i="30"/>
  <c r="AJ100" i="30"/>
  <c r="AI100" i="30"/>
  <c r="AZ100" i="30" s="1"/>
  <c r="AH100" i="30"/>
  <c r="DM99" i="30"/>
  <c r="DL99" i="30"/>
  <c r="DN99" i="30" s="1"/>
  <c r="DJ99" i="30"/>
  <c r="DD99" i="30"/>
  <c r="T99" i="30"/>
  <c r="BL99" i="30" s="1"/>
  <c r="BQ99" i="30" s="1"/>
  <c r="BR99" i="30" s="1"/>
  <c r="CO99" i="30"/>
  <c r="CK99" i="30"/>
  <c r="CJ99" i="30"/>
  <c r="CL99" i="30" s="1"/>
  <c r="CG99" i="30"/>
  <c r="BM99" i="30"/>
  <c r="BT99" i="30"/>
  <c r="BZ99" i="30"/>
  <c r="CC99" i="30" s="1"/>
  <c r="AJ99" i="30"/>
  <c r="AA99" i="30"/>
  <c r="CU99" i="30" s="1"/>
  <c r="BU99" i="30"/>
  <c r="BV99" i="30"/>
  <c r="BW99" i="30"/>
  <c r="BN99" i="30"/>
  <c r="CA99" i="30" s="1"/>
  <c r="CD99" i="30" s="1"/>
  <c r="AK99" i="30"/>
  <c r="BO99" i="30"/>
  <c r="BP99" i="30"/>
  <c r="CB99" i="30"/>
  <c r="CF99" i="30" s="1"/>
  <c r="BI99" i="30"/>
  <c r="AL99" i="30"/>
  <c r="BC99" i="30" s="1"/>
  <c r="BB99" i="30"/>
  <c r="BA99" i="30"/>
  <c r="AM99" i="30"/>
  <c r="AW99" i="30"/>
  <c r="AU99" i="30"/>
  <c r="BD99" i="30"/>
  <c r="AV99" i="30"/>
  <c r="CX99" i="30"/>
  <c r="AH99" i="30"/>
  <c r="CM99" i="30"/>
  <c r="DL98" i="30"/>
  <c r="DN98" i="30" s="1"/>
  <c r="DM98" i="30"/>
  <c r="DJ98" i="30"/>
  <c r="DD98" i="30"/>
  <c r="AJ98" i="30"/>
  <c r="AK98" i="30"/>
  <c r="CX98" i="30"/>
  <c r="CU98" i="30"/>
  <c r="CR98" i="30"/>
  <c r="AG98" i="30"/>
  <c r="CK98" i="30" s="1"/>
  <c r="CG98" i="30"/>
  <c r="BN98" i="30"/>
  <c r="BU98" i="30"/>
  <c r="CA98" i="30" s="1"/>
  <c r="CD98" i="30" s="1"/>
  <c r="BW98" i="30"/>
  <c r="BV98" i="30"/>
  <c r="BT98" i="30"/>
  <c r="BZ98" i="30" s="1"/>
  <c r="BS98" i="30"/>
  <c r="BX98" i="30" s="1"/>
  <c r="BY98" i="30" s="1"/>
  <c r="BP98" i="30"/>
  <c r="BO98" i="30"/>
  <c r="BM98" i="30"/>
  <c r="BL98" i="30"/>
  <c r="BQ98" i="30"/>
  <c r="BR98" i="30" s="1"/>
  <c r="BI98" i="30"/>
  <c r="AM98" i="30"/>
  <c r="AW98" i="30" s="1"/>
  <c r="BD98" i="30"/>
  <c r="AL98" i="30"/>
  <c r="BC98" i="30"/>
  <c r="BB98" i="30"/>
  <c r="AI98" i="30"/>
  <c r="AS98" i="30"/>
  <c r="AV98" i="30"/>
  <c r="AU98" i="30"/>
  <c r="CQ98" i="30"/>
  <c r="Z98" i="30"/>
  <c r="DL97" i="30"/>
  <c r="DM97" i="30"/>
  <c r="DJ97" i="30"/>
  <c r="N97" i="30"/>
  <c r="DD97" i="30"/>
  <c r="CR97" i="30"/>
  <c r="O97" i="30"/>
  <c r="CG97" i="30" s="1"/>
  <c r="CH97" i="30" s="1"/>
  <c r="AJ97" i="30"/>
  <c r="BA97" i="30" s="1"/>
  <c r="AK97" i="30"/>
  <c r="BN97" i="30"/>
  <c r="CA97" i="30" s="1"/>
  <c r="CD97" i="30" s="1"/>
  <c r="BU97" i="30"/>
  <c r="BW97" i="30"/>
  <c r="BT97" i="30"/>
  <c r="BM97" i="30"/>
  <c r="BZ97" i="30" s="1"/>
  <c r="BP97" i="30"/>
  <c r="BO97" i="30"/>
  <c r="BL97" i="30"/>
  <c r="BQ97" i="30" s="1"/>
  <c r="BR97" i="30" s="1"/>
  <c r="BI97" i="30"/>
  <c r="AM97" i="30"/>
  <c r="BD97" i="30"/>
  <c r="AU97" i="30"/>
  <c r="AI97" i="30"/>
  <c r="AS97" i="30" s="1"/>
  <c r="AW97" i="30"/>
  <c r="AL97" i="30"/>
  <c r="AG97" i="30"/>
  <c r="CK97" i="30" s="1"/>
  <c r="Z97" i="30"/>
  <c r="CJ97" i="30" s="1"/>
  <c r="CL97" i="30" s="1"/>
  <c r="R97" i="30"/>
  <c r="BS97" i="30"/>
  <c r="DM96" i="30"/>
  <c r="DL96" i="30"/>
  <c r="DJ96" i="30"/>
  <c r="N96" i="30"/>
  <c r="AI96" i="30"/>
  <c r="AJ96" i="30"/>
  <c r="DB96" i="30" s="1"/>
  <c r="AK96" i="30"/>
  <c r="AL96" i="30"/>
  <c r="O96" i="30"/>
  <c r="R96" i="30" s="1"/>
  <c r="BV96" i="30" s="1"/>
  <c r="CR96" i="30"/>
  <c r="BM96" i="30"/>
  <c r="BZ96" i="30" s="1"/>
  <c r="CC96" i="30" s="1"/>
  <c r="BT96" i="30"/>
  <c r="BW96" i="30"/>
  <c r="BU96" i="30"/>
  <c r="BP96" i="30"/>
  <c r="BO96" i="30"/>
  <c r="BN96" i="30"/>
  <c r="CA96" i="30" s="1"/>
  <c r="BL96" i="30"/>
  <c r="BI96" i="30"/>
  <c r="AM96" i="30"/>
  <c r="AW96" i="30" s="1"/>
  <c r="AZ96" i="30"/>
  <c r="AT96" i="30"/>
  <c r="AV96" i="30"/>
  <c r="AG96" i="30"/>
  <c r="Z96" i="30"/>
  <c r="CO96" i="30" s="1"/>
  <c r="AH96" i="30"/>
  <c r="CM96" i="30" s="1"/>
  <c r="BS96" i="30"/>
  <c r="CK96" i="30"/>
  <c r="DM95" i="30"/>
  <c r="DN95" i="30" s="1"/>
  <c r="DL95" i="30"/>
  <c r="DJ95" i="30"/>
  <c r="AJ95" i="30"/>
  <c r="AK95" i="30"/>
  <c r="CX95" i="30"/>
  <c r="CR95" i="30"/>
  <c r="BW95" i="30"/>
  <c r="BU95" i="30"/>
  <c r="BN95" i="30"/>
  <c r="CA95" i="30"/>
  <c r="CD95" i="30"/>
  <c r="BT95" i="30"/>
  <c r="BP95" i="30"/>
  <c r="BO95" i="30"/>
  <c r="BM95" i="30"/>
  <c r="BZ95" i="30" s="1"/>
  <c r="BL95" i="30"/>
  <c r="BI95" i="30"/>
  <c r="BB95" i="30"/>
  <c r="AM95" i="30"/>
  <c r="BD95" i="30" s="1"/>
  <c r="AI95" i="30"/>
  <c r="AS95" i="30"/>
  <c r="AL95" i="30"/>
  <c r="AU95" i="30"/>
  <c r="AG95" i="30"/>
  <c r="Z95" i="30"/>
  <c r="N95" i="30"/>
  <c r="O95" i="30"/>
  <c r="CK95" i="30"/>
  <c r="DM94" i="30"/>
  <c r="DL94" i="30"/>
  <c r="DN94" i="30"/>
  <c r="DJ94" i="30"/>
  <c r="CR94" i="30"/>
  <c r="AI94" i="30"/>
  <c r="AP94" i="30" s="1"/>
  <c r="AJ94" i="30"/>
  <c r="AK94" i="30"/>
  <c r="AL94" i="30"/>
  <c r="BN94" i="30"/>
  <c r="CA94" i="30" s="1"/>
  <c r="CD94" i="30" s="1"/>
  <c r="BU94" i="30"/>
  <c r="BW94" i="30"/>
  <c r="BT94" i="30"/>
  <c r="BZ94" i="30" s="1"/>
  <c r="BM94" i="30"/>
  <c r="BQ94" i="30" s="1"/>
  <c r="BR94" i="30" s="1"/>
  <c r="BP94" i="30"/>
  <c r="BO94" i="30"/>
  <c r="BL94" i="30"/>
  <c r="BI94" i="30"/>
  <c r="AM94" i="30"/>
  <c r="BD94" i="30" s="1"/>
  <c r="BB94" i="30"/>
  <c r="BA94" i="30"/>
  <c r="AW94" i="30"/>
  <c r="AV94" i="30"/>
  <c r="AT94" i="30"/>
  <c r="Z94" i="30"/>
  <c r="AG94" i="30"/>
  <c r="AH94" i="30" s="1"/>
  <c r="N94" i="30"/>
  <c r="DM93" i="30"/>
  <c r="DL93" i="30"/>
  <c r="DN93" i="30"/>
  <c r="DJ93" i="30"/>
  <c r="N93" i="30"/>
  <c r="DD93" i="30"/>
  <c r="CR93" i="30"/>
  <c r="BM93" i="30"/>
  <c r="BZ93" i="30" s="1"/>
  <c r="BT93" i="30"/>
  <c r="BN93" i="30"/>
  <c r="CA93" i="30" s="1"/>
  <c r="CD93" i="30" s="1"/>
  <c r="BU93" i="30"/>
  <c r="AJ93" i="30"/>
  <c r="AP93" i="30" s="1"/>
  <c r="AK93" i="30"/>
  <c r="BW93" i="30"/>
  <c r="O93" i="30"/>
  <c r="BS93" i="30" s="1"/>
  <c r="BL93" i="30"/>
  <c r="BQ93" i="30" s="1"/>
  <c r="BR93" i="30" s="1"/>
  <c r="BO93" i="30"/>
  <c r="BP93" i="30"/>
  <c r="AM93" i="30"/>
  <c r="AW93" i="30" s="1"/>
  <c r="AI93" i="30"/>
  <c r="AS93" i="30" s="1"/>
  <c r="AL93" i="30"/>
  <c r="AV93" i="30"/>
  <c r="AG93" i="30"/>
  <c r="Z93" i="30"/>
  <c r="DM92" i="30"/>
  <c r="DL92" i="30"/>
  <c r="DN92" i="30" s="1"/>
  <c r="DJ92" i="30"/>
  <c r="DD92" i="30"/>
  <c r="CU92" i="30"/>
  <c r="CR92" i="30"/>
  <c r="AI92" i="30"/>
  <c r="AJ92" i="30"/>
  <c r="AK92" i="30"/>
  <c r="AL92" i="30"/>
  <c r="CQ92" i="30" s="1"/>
  <c r="Z92" i="30"/>
  <c r="AG92" i="30"/>
  <c r="AH92" i="30" s="1"/>
  <c r="CM92" i="30" s="1"/>
  <c r="CJ92" i="30"/>
  <c r="CG92" i="30"/>
  <c r="CH92" i="30" s="1"/>
  <c r="BN92" i="30"/>
  <c r="BU92" i="30"/>
  <c r="CA92" i="30"/>
  <c r="CD92" i="30" s="1"/>
  <c r="BW92" i="30"/>
  <c r="BV92" i="30"/>
  <c r="BT92" i="30"/>
  <c r="BS92" i="30"/>
  <c r="BL92" i="30"/>
  <c r="BQ92" i="30" s="1"/>
  <c r="BM92" i="30"/>
  <c r="BO92" i="30"/>
  <c r="BP92" i="30"/>
  <c r="BR92" i="30"/>
  <c r="BI92" i="30"/>
  <c r="AM92" i="30"/>
  <c r="BD92" i="30"/>
  <c r="BB92" i="30"/>
  <c r="BA92" i="30"/>
  <c r="AW92" i="30"/>
  <c r="AU92" i="30"/>
  <c r="AT92" i="30"/>
  <c r="CO92" i="30"/>
  <c r="DM91" i="30"/>
  <c r="DL91" i="30"/>
  <c r="DN91" i="30" s="1"/>
  <c r="DJ91" i="30"/>
  <c r="AJ91" i="30"/>
  <c r="CY91" i="30" s="1"/>
  <c r="AK91" i="30"/>
  <c r="CX91" i="30"/>
  <c r="CR91" i="30"/>
  <c r="BM91" i="30"/>
  <c r="BZ91" i="30" s="1"/>
  <c r="BT91" i="30"/>
  <c r="BN91" i="30"/>
  <c r="CA91" i="30" s="1"/>
  <c r="CD91" i="30" s="1"/>
  <c r="BU91" i="30"/>
  <c r="BW91" i="30"/>
  <c r="BP91" i="30"/>
  <c r="BO91" i="30"/>
  <c r="BL91" i="30"/>
  <c r="BG91" i="30"/>
  <c r="BB91" i="30"/>
  <c r="AL91" i="30"/>
  <c r="AP91" i="30" s="1"/>
  <c r="AU91" i="30"/>
  <c r="AT91" i="30"/>
  <c r="AI91" i="30"/>
  <c r="AM91" i="30"/>
  <c r="BA91" i="30"/>
  <c r="AG91" i="30"/>
  <c r="Z91" i="30"/>
  <c r="N91" i="30"/>
  <c r="DL90" i="30"/>
  <c r="DM90" i="30"/>
  <c r="DN90" i="30"/>
  <c r="DJ90" i="30"/>
  <c r="DD90" i="30"/>
  <c r="CR90" i="30"/>
  <c r="AI90" i="30"/>
  <c r="AJ90" i="30"/>
  <c r="AK90" i="30"/>
  <c r="AU90" i="30" s="1"/>
  <c r="AL90" i="30"/>
  <c r="CP90" i="30"/>
  <c r="Z90" i="30"/>
  <c r="CJ90" i="30" s="1"/>
  <c r="BN90" i="30"/>
  <c r="CA90" i="30" s="1"/>
  <c r="CD90" i="30" s="1"/>
  <c r="BU90" i="30"/>
  <c r="BW90" i="30"/>
  <c r="BT90" i="30"/>
  <c r="BM90" i="30"/>
  <c r="BZ90" i="30"/>
  <c r="BP90" i="30"/>
  <c r="BO90" i="30"/>
  <c r="BL90" i="30"/>
  <c r="BQ90" i="30" s="1"/>
  <c r="BR90" i="30" s="1"/>
  <c r="BB90" i="30"/>
  <c r="AM90" i="30"/>
  <c r="AQ90" i="30"/>
  <c r="AG90" i="30"/>
  <c r="AH90" i="30" s="1"/>
  <c r="CQ90" i="30"/>
  <c r="CK90" i="30"/>
  <c r="CO90" i="30"/>
  <c r="O90" i="30"/>
  <c r="AG89" i="30"/>
  <c r="CK89" i="30" s="1"/>
  <c r="Z89" i="30"/>
  <c r="CJ89" i="30"/>
  <c r="CL89" i="30" s="1"/>
  <c r="AI89" i="30"/>
  <c r="AJ89" i="30"/>
  <c r="AP89" i="30" s="1"/>
  <c r="AK89" i="30"/>
  <c r="AL89" i="30"/>
  <c r="AM89" i="30"/>
  <c r="AH89" i="30"/>
  <c r="CM89" i="30" s="1"/>
  <c r="CN89" i="30" s="1"/>
  <c r="O89" i="30"/>
  <c r="K89" i="30"/>
  <c r="J89" i="30"/>
  <c r="I89" i="30"/>
  <c r="H89" i="30"/>
  <c r="DM88" i="30"/>
  <c r="DL88" i="30"/>
  <c r="DN88" i="30" s="1"/>
  <c r="DJ88" i="30"/>
  <c r="N88" i="30"/>
  <c r="DD88" i="30" s="1"/>
  <c r="AJ88" i="30"/>
  <c r="AK88" i="30"/>
  <c r="CY88" i="30"/>
  <c r="CR88" i="30"/>
  <c r="Z88" i="30"/>
  <c r="BM88" i="30"/>
  <c r="BT88" i="30"/>
  <c r="BZ88" i="30" s="1"/>
  <c r="BW88" i="30"/>
  <c r="BU88" i="30"/>
  <c r="CA88" i="30" s="1"/>
  <c r="CD88" i="30" s="1"/>
  <c r="BP88" i="30"/>
  <c r="BO88" i="30"/>
  <c r="BN88" i="30"/>
  <c r="BL88" i="30"/>
  <c r="AI88" i="30"/>
  <c r="AT88" i="30"/>
  <c r="AS88" i="30"/>
  <c r="AM88" i="30"/>
  <c r="AW88" i="30" s="1"/>
  <c r="AL88" i="30"/>
  <c r="AV88" i="30"/>
  <c r="CQ88" i="30"/>
  <c r="AG88" i="30"/>
  <c r="AH88" i="30" s="1"/>
  <c r="DM87" i="30"/>
  <c r="DL87" i="30"/>
  <c r="DN87" i="30"/>
  <c r="DJ87" i="30"/>
  <c r="AI87" i="30"/>
  <c r="AJ87" i="30"/>
  <c r="AK87" i="30"/>
  <c r="DA87" i="30" s="1"/>
  <c r="AL87" i="30"/>
  <c r="CR87" i="30"/>
  <c r="N87" i="30"/>
  <c r="AG87" i="30"/>
  <c r="CK87" i="30" s="1"/>
  <c r="O87" i="30"/>
  <c r="BS87" i="30" s="1"/>
  <c r="CG87" i="30"/>
  <c r="BW87" i="30"/>
  <c r="BP87" i="30"/>
  <c r="BO87" i="30"/>
  <c r="BN87" i="30"/>
  <c r="BM87" i="30"/>
  <c r="BL87" i="30"/>
  <c r="AM87" i="30"/>
  <c r="BD87" i="30"/>
  <c r="AW87" i="30"/>
  <c r="AV87" i="30"/>
  <c r="AT87" i="30"/>
  <c r="Z87" i="30"/>
  <c r="R87" i="30"/>
  <c r="P87" i="30"/>
  <c r="AZ87" i="30"/>
  <c r="DD87" i="30"/>
  <c r="DM86" i="30"/>
  <c r="DL86" i="30"/>
  <c r="DN86" i="30" s="1"/>
  <c r="DJ86" i="30"/>
  <c r="DD86" i="30"/>
  <c r="AJ86" i="30"/>
  <c r="AK86" i="30"/>
  <c r="O86" i="30"/>
  <c r="R86" i="30" s="1"/>
  <c r="AI86" i="30"/>
  <c r="AL86" i="30"/>
  <c r="CR86" i="30"/>
  <c r="Z86" i="30"/>
  <c r="CJ86" i="30" s="1"/>
  <c r="AG86" i="30"/>
  <c r="AH86" i="30" s="1"/>
  <c r="CM86" i="30" s="1"/>
  <c r="CK86" i="30"/>
  <c r="CG86" i="30"/>
  <c r="CH86" i="30" s="1"/>
  <c r="BN86" i="30"/>
  <c r="BU86" i="30"/>
  <c r="CA86" i="30"/>
  <c r="CD86" i="30" s="1"/>
  <c r="BW86" i="30"/>
  <c r="BT86" i="30"/>
  <c r="BS86" i="30"/>
  <c r="BP86" i="30"/>
  <c r="BO86" i="30"/>
  <c r="BM86" i="30"/>
  <c r="BZ86" i="30"/>
  <c r="BL86" i="30"/>
  <c r="BQ86" i="30" s="1"/>
  <c r="BR86" i="30" s="1"/>
  <c r="AM86" i="30"/>
  <c r="BD86" i="30" s="1"/>
  <c r="BB86" i="30"/>
  <c r="AW86" i="30"/>
  <c r="AV86" i="30"/>
  <c r="AP86" i="30"/>
  <c r="AU86" i="30"/>
  <c r="DL85" i="30"/>
  <c r="DN85" i="30" s="1"/>
  <c r="DM85" i="30"/>
  <c r="DJ85" i="30"/>
  <c r="CR85" i="30"/>
  <c r="AI85" i="30"/>
  <c r="AJ85" i="30"/>
  <c r="BA85" i="30" s="1"/>
  <c r="AK85" i="30"/>
  <c r="AL85" i="30"/>
  <c r="BW85" i="30"/>
  <c r="BU85" i="30"/>
  <c r="BN85" i="30"/>
  <c r="CA85" i="30" s="1"/>
  <c r="CD85" i="30" s="1"/>
  <c r="BT85" i="30"/>
  <c r="BP85" i="30"/>
  <c r="BO85" i="30"/>
  <c r="BM85" i="30"/>
  <c r="BZ85" i="30" s="1"/>
  <c r="BL85" i="30"/>
  <c r="AM85" i="30"/>
  <c r="BD85" i="30"/>
  <c r="AV85" i="30"/>
  <c r="AW85" i="30"/>
  <c r="CY85" i="30"/>
  <c r="Z85" i="30"/>
  <c r="AH85" i="30" s="1"/>
  <c r="AG85" i="30"/>
  <c r="N85" i="30"/>
  <c r="DM84" i="30"/>
  <c r="DL84" i="30"/>
  <c r="DN84" i="30" s="1"/>
  <c r="DJ84" i="30"/>
  <c r="N84" i="30"/>
  <c r="DD84" i="30"/>
  <c r="CR84" i="30"/>
  <c r="Z84" i="30"/>
  <c r="CJ84" i="30" s="1"/>
  <c r="BW84" i="30"/>
  <c r="BU84" i="30"/>
  <c r="BT84" i="30"/>
  <c r="O84" i="30"/>
  <c r="BS84" i="30"/>
  <c r="BL84" i="30"/>
  <c r="BM84" i="30"/>
  <c r="BZ84" i="30" s="1"/>
  <c r="CB84" i="30" s="1"/>
  <c r="CF84" i="30" s="1"/>
  <c r="BN84" i="30"/>
  <c r="CA84" i="30" s="1"/>
  <c r="CD84" i="30" s="1"/>
  <c r="BO84" i="30"/>
  <c r="BP84" i="30"/>
  <c r="BQ84" i="30"/>
  <c r="BR84" i="30" s="1"/>
  <c r="AK84" i="30"/>
  <c r="BG84" i="30"/>
  <c r="BB84" i="30"/>
  <c r="AM84" i="30"/>
  <c r="BD84" i="30" s="1"/>
  <c r="AW84" i="30"/>
  <c r="AI84" i="30"/>
  <c r="AS84" i="30"/>
  <c r="AL84" i="30"/>
  <c r="AV84" i="30" s="1"/>
  <c r="AU84" i="30"/>
  <c r="AJ84" i="30"/>
  <c r="AG84" i="30"/>
  <c r="DM83" i="30"/>
  <c r="DL83" i="30"/>
  <c r="DN83" i="30"/>
  <c r="DJ83" i="30"/>
  <c r="DD83" i="30"/>
  <c r="AJ83" i="30"/>
  <c r="AK83" i="30"/>
  <c r="CU83" i="30"/>
  <c r="CR83" i="30"/>
  <c r="Z83" i="30"/>
  <c r="AH83" i="30" s="1"/>
  <c r="CM83" i="30" s="1"/>
  <c r="AG83" i="30"/>
  <c r="CK83" i="30"/>
  <c r="CJ83" i="30"/>
  <c r="CL83" i="30"/>
  <c r="CG83" i="30"/>
  <c r="BM83" i="30"/>
  <c r="BT83" i="30"/>
  <c r="BZ83" i="30"/>
  <c r="BS83" i="30"/>
  <c r="BX83" i="30" s="1"/>
  <c r="BY83" i="30" s="1"/>
  <c r="BU83" i="30"/>
  <c r="BV83" i="30"/>
  <c r="BW83" i="30"/>
  <c r="BP83" i="30"/>
  <c r="BO83" i="30"/>
  <c r="BN83" i="30"/>
  <c r="CA83" i="30" s="1"/>
  <c r="CD83" i="30" s="1"/>
  <c r="BL83" i="30"/>
  <c r="BI83" i="30"/>
  <c r="AM83" i="30"/>
  <c r="BD83" i="30"/>
  <c r="AL83" i="30"/>
  <c r="AV83" i="30"/>
  <c r="AW83" i="30"/>
  <c r="BC83" i="30"/>
  <c r="AU83" i="30"/>
  <c r="AI83" i="30"/>
  <c r="CO83" i="30"/>
  <c r="DM82" i="30"/>
  <c r="DN82" i="30" s="1"/>
  <c r="DL82" i="30"/>
  <c r="DJ82" i="30"/>
  <c r="AJ82" i="30"/>
  <c r="AK82" i="30"/>
  <c r="BB82" i="30" s="1"/>
  <c r="CY82" i="30"/>
  <c r="CX82" i="30"/>
  <c r="CR82" i="30"/>
  <c r="BM82" i="30"/>
  <c r="BT82" i="30"/>
  <c r="BZ82" i="30"/>
  <c r="CB82" i="30" s="1"/>
  <c r="BN82" i="30"/>
  <c r="CA82" i="30" s="1"/>
  <c r="CD82" i="30" s="1"/>
  <c r="BU82" i="30"/>
  <c r="BW82" i="30"/>
  <c r="BP82" i="30"/>
  <c r="BO82" i="30"/>
  <c r="BL82" i="30"/>
  <c r="AL82" i="30"/>
  <c r="AV82" i="30" s="1"/>
  <c r="AT82" i="30"/>
  <c r="AM82" i="30"/>
  <c r="AU82" i="30"/>
  <c r="BA82" i="30"/>
  <c r="AI82" i="30"/>
  <c r="AG82" i="30"/>
  <c r="Z82" i="30"/>
  <c r="AH82" i="30" s="1"/>
  <c r="CM82" i="30" s="1"/>
  <c r="N82" i="30"/>
  <c r="DL81" i="30"/>
  <c r="DN81" i="30" s="1"/>
  <c r="DM81" i="30"/>
  <c r="DJ81" i="30"/>
  <c r="N81" i="30"/>
  <c r="DD81" i="30"/>
  <c r="AI81" i="30"/>
  <c r="DA81" i="30" s="1"/>
  <c r="AJ81" i="30"/>
  <c r="AK81" i="30"/>
  <c r="AL81" i="30"/>
  <c r="AV81" i="30" s="1"/>
  <c r="CR81" i="30"/>
  <c r="Z81" i="30"/>
  <c r="CJ81" i="30" s="1"/>
  <c r="CL81" i="30" s="1"/>
  <c r="AG81" i="30"/>
  <c r="CK81" i="30"/>
  <c r="BW81" i="30"/>
  <c r="BU81" i="30"/>
  <c r="BN81" i="30"/>
  <c r="CA81" i="30"/>
  <c r="CD81" i="30"/>
  <c r="BT81" i="30"/>
  <c r="BM81" i="30"/>
  <c r="BZ81" i="30" s="1"/>
  <c r="BP81" i="30"/>
  <c r="BO81" i="30"/>
  <c r="BL81" i="30"/>
  <c r="BQ81" i="30" s="1"/>
  <c r="BR81" i="30" s="1"/>
  <c r="BG81" i="30"/>
  <c r="AM81" i="30"/>
  <c r="BD81" i="30" s="1"/>
  <c r="AW81" i="30"/>
  <c r="AS81" i="30"/>
  <c r="AH81" i="30"/>
  <c r="CM81" i="30" s="1"/>
  <c r="CN81" i="30" s="1"/>
  <c r="CO81" i="30"/>
  <c r="O81" i="30"/>
  <c r="DB81" i="30"/>
  <c r="DL80" i="30"/>
  <c r="DN80" i="30" s="1"/>
  <c r="DM80" i="30"/>
  <c r="DJ80" i="30"/>
  <c r="DD80" i="30"/>
  <c r="CU80" i="30"/>
  <c r="CR80" i="30"/>
  <c r="AI80" i="30"/>
  <c r="AJ80" i="30"/>
  <c r="AK80" i="30"/>
  <c r="AL80" i="30"/>
  <c r="CQ80" i="30"/>
  <c r="Z80" i="30"/>
  <c r="AG80" i="30"/>
  <c r="CG80" i="30"/>
  <c r="CH80" i="30" s="1"/>
  <c r="BN80" i="30"/>
  <c r="CA80" i="30" s="1"/>
  <c r="CD80" i="30" s="1"/>
  <c r="BU80" i="30"/>
  <c r="BM80" i="30"/>
  <c r="BT80" i="30"/>
  <c r="BZ80" i="30"/>
  <c r="CB80" i="30"/>
  <c r="BW80" i="30"/>
  <c r="BV80" i="30"/>
  <c r="BS80" i="30"/>
  <c r="BX80" i="30"/>
  <c r="BY80" i="30" s="1"/>
  <c r="BL80" i="30"/>
  <c r="BQ80" i="30" s="1"/>
  <c r="BR80" i="30" s="1"/>
  <c r="BO80" i="30"/>
  <c r="BP80" i="30"/>
  <c r="CC80" i="30"/>
  <c r="BI80" i="30"/>
  <c r="BB80" i="30"/>
  <c r="AV80" i="30"/>
  <c r="AT80" i="30"/>
  <c r="AM80" i="30"/>
  <c r="AP80" i="30" s="1"/>
  <c r="BC80" i="30"/>
  <c r="AU80" i="30"/>
  <c r="CY80" i="30"/>
  <c r="CK80" i="30"/>
  <c r="DM79" i="30"/>
  <c r="DL79" i="30"/>
  <c r="DJ79" i="30"/>
  <c r="DD79" i="30"/>
  <c r="AJ79" i="30"/>
  <c r="AK79" i="30"/>
  <c r="CY79" i="30"/>
  <c r="T79" i="30"/>
  <c r="AA79" i="30"/>
  <c r="AI79" i="30" s="1"/>
  <c r="AP79" i="30" s="1"/>
  <c r="AL79" i="30"/>
  <c r="CG79" i="30"/>
  <c r="CH79" i="30" s="1"/>
  <c r="BN79" i="30"/>
  <c r="BU79" i="30"/>
  <c r="CA79" i="30"/>
  <c r="CD79" i="30" s="1"/>
  <c r="BW79" i="30"/>
  <c r="BV79" i="30"/>
  <c r="BT79" i="30"/>
  <c r="BM79" i="30"/>
  <c r="BZ79" i="30" s="1"/>
  <c r="BP79" i="30"/>
  <c r="BO79" i="30"/>
  <c r="BQ79" i="30" s="1"/>
  <c r="BR79" i="30" s="1"/>
  <c r="BL79" i="30"/>
  <c r="BI79" i="30"/>
  <c r="AM79" i="30"/>
  <c r="BD79" i="30"/>
  <c r="BB79" i="30"/>
  <c r="BA79" i="30"/>
  <c r="AV79" i="30"/>
  <c r="AW79" i="30"/>
  <c r="BC79" i="30"/>
  <c r="AU79" i="30"/>
  <c r="AT79" i="30"/>
  <c r="CU79" i="30"/>
  <c r="Z79" i="30"/>
  <c r="CR79" i="30"/>
  <c r="DL78" i="30"/>
  <c r="DN78" i="30" s="1"/>
  <c r="DM78" i="30"/>
  <c r="DJ78" i="30"/>
  <c r="DD78" i="30"/>
  <c r="AA78" i="30"/>
  <c r="CU78" i="30"/>
  <c r="T78" i="30"/>
  <c r="AJ78" i="30"/>
  <c r="AK78" i="30"/>
  <c r="AL78" i="30"/>
  <c r="CG78" i="30"/>
  <c r="CH78" i="30" s="1"/>
  <c r="BS78" i="30"/>
  <c r="BX78" i="30" s="1"/>
  <c r="BY78" i="30" s="1"/>
  <c r="BT78" i="30"/>
  <c r="BU78" i="30"/>
  <c r="BV78" i="30"/>
  <c r="BW78" i="30"/>
  <c r="BN78" i="30"/>
  <c r="CA78" i="30" s="1"/>
  <c r="CD78" i="30" s="1"/>
  <c r="BP78" i="30"/>
  <c r="BO78" i="30"/>
  <c r="BM78" i="30"/>
  <c r="BZ78" i="30" s="1"/>
  <c r="BL78" i="30"/>
  <c r="BI78" i="30"/>
  <c r="BB78" i="30"/>
  <c r="AV78" i="30"/>
  <c r="AT78" i="30"/>
  <c r="AM78" i="30"/>
  <c r="BC78" i="30"/>
  <c r="AU78" i="30"/>
  <c r="CY78" i="30"/>
  <c r="Z78" i="30"/>
  <c r="DM77" i="30"/>
  <c r="DL77" i="30"/>
  <c r="DJ77" i="30"/>
  <c r="DD77" i="30"/>
  <c r="AA77" i="30"/>
  <c r="BS77" i="30" s="1"/>
  <c r="CU77" i="30"/>
  <c r="CG77" i="30"/>
  <c r="BW77" i="30"/>
  <c r="BV77" i="30"/>
  <c r="BU77" i="30"/>
  <c r="BT77" i="30"/>
  <c r="BM77" i="30"/>
  <c r="BZ77" i="30"/>
  <c r="BP77" i="30"/>
  <c r="BO77" i="30"/>
  <c r="BN77" i="30"/>
  <c r="CA77" i="30"/>
  <c r="BI77" i="30"/>
  <c r="AL77" i="30"/>
  <c r="BC77" i="30"/>
  <c r="AJ77" i="30"/>
  <c r="AT77" i="30" s="1"/>
  <c r="AM77" i="30"/>
  <c r="AW77" i="30"/>
  <c r="AV77" i="30"/>
  <c r="AK77" i="30"/>
  <c r="CH77" i="30"/>
  <c r="AG77" i="30"/>
  <c r="CK77" i="30"/>
  <c r="T77" i="30"/>
  <c r="DM76" i="30"/>
  <c r="DL76" i="30"/>
  <c r="DN76" i="30"/>
  <c r="DJ76" i="30"/>
  <c r="DD76" i="30"/>
  <c r="CG76" i="30"/>
  <c r="BM76" i="30"/>
  <c r="BT76" i="30"/>
  <c r="BZ76" i="30"/>
  <c r="BW76" i="30"/>
  <c r="BV76" i="30"/>
  <c r="BU76" i="30"/>
  <c r="BP76" i="30"/>
  <c r="BO76" i="30"/>
  <c r="BN76" i="30"/>
  <c r="CA76" i="30" s="1"/>
  <c r="T76" i="30"/>
  <c r="BL76" i="30" s="1"/>
  <c r="BQ76" i="30" s="1"/>
  <c r="BR76" i="30" s="1"/>
  <c r="BI76" i="30"/>
  <c r="AM76" i="30"/>
  <c r="BD76" i="30"/>
  <c r="AK76" i="30"/>
  <c r="BB76" i="30" s="1"/>
  <c r="AJ76" i="30"/>
  <c r="BA76" i="30" s="1"/>
  <c r="AL76" i="30"/>
  <c r="BC76" i="30" s="1"/>
  <c r="AV76" i="30"/>
  <c r="AU76" i="30"/>
  <c r="AW76" i="30"/>
  <c r="CY76" i="30"/>
  <c r="AT76" i="30"/>
  <c r="AA76" i="30"/>
  <c r="CU76" i="30" s="1"/>
  <c r="DL75" i="30"/>
  <c r="DN75" i="30" s="1"/>
  <c r="DM75" i="30"/>
  <c r="DJ75" i="30"/>
  <c r="DD75" i="30"/>
  <c r="CG75" i="30"/>
  <c r="CH75" i="30" s="1"/>
  <c r="AJ75" i="30"/>
  <c r="AK75" i="30"/>
  <c r="BW75" i="30"/>
  <c r="BV75" i="30"/>
  <c r="BU75" i="30"/>
  <c r="BN75" i="30"/>
  <c r="CA75" i="30" s="1"/>
  <c r="CD75" i="30" s="1"/>
  <c r="BT75" i="30"/>
  <c r="BP75" i="30"/>
  <c r="BO75" i="30"/>
  <c r="BM75" i="30"/>
  <c r="BZ75" i="30" s="1"/>
  <c r="T75" i="30"/>
  <c r="BL75" i="30"/>
  <c r="BI75" i="30"/>
  <c r="BB75" i="30"/>
  <c r="AL75" i="30"/>
  <c r="AT75" i="30"/>
  <c r="AM75" i="30"/>
  <c r="AU75" i="30"/>
  <c r="CY75" i="30"/>
  <c r="AA75" i="30"/>
  <c r="AG75" i="30" s="1"/>
  <c r="CK75" i="30" s="1"/>
  <c r="Z75" i="30"/>
  <c r="DM74" i="30"/>
  <c r="DL74" i="30"/>
  <c r="DN74" i="30" s="1"/>
  <c r="DJ74" i="30"/>
  <c r="DD74" i="30"/>
  <c r="AJ74" i="30"/>
  <c r="CY74" i="30" s="1"/>
  <c r="AK74" i="30"/>
  <c r="AA74" i="30"/>
  <c r="CU74" i="30" s="1"/>
  <c r="T74" i="30"/>
  <c r="CR74" i="30"/>
  <c r="CG74" i="30"/>
  <c r="BW74" i="30"/>
  <c r="BV74" i="30"/>
  <c r="BU74" i="30"/>
  <c r="BT74" i="30"/>
  <c r="BS74" i="30"/>
  <c r="BP74" i="30"/>
  <c r="BO74" i="30"/>
  <c r="BN74" i="30"/>
  <c r="CA74" i="30" s="1"/>
  <c r="BM74" i="30"/>
  <c r="BZ74" i="30"/>
  <c r="CC74" i="30" s="1"/>
  <c r="BI74" i="30"/>
  <c r="AM74" i="30"/>
  <c r="AL74" i="30"/>
  <c r="BC74" i="30" s="1"/>
  <c r="AU74" i="30"/>
  <c r="AT74" i="30"/>
  <c r="BA74" i="30"/>
  <c r="Z74" i="30"/>
  <c r="AG74" i="30"/>
  <c r="CK74" i="30" s="1"/>
  <c r="AH74" i="30"/>
  <c r="CM74" i="30"/>
  <c r="DM73" i="30"/>
  <c r="DL73" i="30"/>
  <c r="DN73" i="30" s="1"/>
  <c r="DJ73" i="30"/>
  <c r="DD73" i="30"/>
  <c r="T73" i="30"/>
  <c r="AA73" i="30"/>
  <c r="AI73" i="30"/>
  <c r="AJ73" i="30"/>
  <c r="AK73" i="30"/>
  <c r="AL73" i="30"/>
  <c r="AO73" i="30" s="1"/>
  <c r="Z73" i="30"/>
  <c r="CJ73" i="30" s="1"/>
  <c r="CG73" i="30"/>
  <c r="CH73" i="30" s="1"/>
  <c r="BN73" i="30"/>
  <c r="BU73" i="30"/>
  <c r="CA73" i="30"/>
  <c r="CD73" i="30"/>
  <c r="BM73" i="30"/>
  <c r="BZ73" i="30" s="1"/>
  <c r="BT73" i="30"/>
  <c r="BW73" i="30"/>
  <c r="BV73" i="30"/>
  <c r="BP73" i="30"/>
  <c r="BO73" i="30"/>
  <c r="BQ73" i="30" s="1"/>
  <c r="BR73" i="30" s="1"/>
  <c r="BL73" i="30"/>
  <c r="BI73" i="30"/>
  <c r="AM73" i="30"/>
  <c r="BD73" i="30"/>
  <c r="BA73" i="30"/>
  <c r="AU73" i="30"/>
  <c r="AW73" i="30"/>
  <c r="BB73" i="30"/>
  <c r="AT73" i="30"/>
  <c r="CR73" i="30"/>
  <c r="DL72" i="30"/>
  <c r="DN72" i="30" s="1"/>
  <c r="DM72" i="30"/>
  <c r="DJ72" i="30"/>
  <c r="CR72" i="30"/>
  <c r="AI72" i="30"/>
  <c r="CQ72" i="30" s="1"/>
  <c r="AJ72" i="30"/>
  <c r="AP72" i="30" s="1"/>
  <c r="AK72" i="30"/>
  <c r="AQ72" i="30" s="1"/>
  <c r="AR72" i="30" s="1"/>
  <c r="AL72" i="30"/>
  <c r="AV72" i="30" s="1"/>
  <c r="N72" i="30"/>
  <c r="AG72" i="30"/>
  <c r="Z72" i="30"/>
  <c r="BN72" i="30"/>
  <c r="BU72" i="30"/>
  <c r="CA72" i="30"/>
  <c r="CD72" i="30"/>
  <c r="BW72" i="30"/>
  <c r="BT72" i="30"/>
  <c r="BP72" i="30"/>
  <c r="BO72" i="30"/>
  <c r="BM72" i="30"/>
  <c r="BZ72" i="30" s="1"/>
  <c r="BL72" i="30"/>
  <c r="BQ72" i="30" s="1"/>
  <c r="BR72" i="30" s="1"/>
  <c r="AM72" i="30"/>
  <c r="BD72" i="30" s="1"/>
  <c r="AW72" i="30"/>
  <c r="AS72" i="30"/>
  <c r="AH72" i="30"/>
  <c r="DM71" i="30"/>
  <c r="DN71" i="30" s="1"/>
  <c r="DL71" i="30"/>
  <c r="DJ71" i="30"/>
  <c r="DD71" i="30"/>
  <c r="AI71" i="30"/>
  <c r="DB71" i="30" s="1"/>
  <c r="AJ71" i="30"/>
  <c r="AP71" i="30" s="1"/>
  <c r="AK71" i="30"/>
  <c r="AU71" i="30" s="1"/>
  <c r="AL71" i="30"/>
  <c r="CU71" i="30"/>
  <c r="CR71" i="30"/>
  <c r="Z71" i="30"/>
  <c r="CO71" i="30" s="1"/>
  <c r="AG71" i="30"/>
  <c r="CG71" i="30"/>
  <c r="BS71" i="30"/>
  <c r="BX71" i="30" s="1"/>
  <c r="BT71" i="30"/>
  <c r="BU71" i="30"/>
  <c r="CA71" i="30" s="1"/>
  <c r="CD71" i="30" s="1"/>
  <c r="BV71" i="30"/>
  <c r="BW71" i="30"/>
  <c r="BY71" i="30"/>
  <c r="BP71" i="30"/>
  <c r="BO71" i="30"/>
  <c r="BN71" i="30"/>
  <c r="BM71" i="30"/>
  <c r="BZ71" i="30" s="1"/>
  <c r="BL71" i="30"/>
  <c r="BI71" i="30"/>
  <c r="BC71" i="30"/>
  <c r="AZ71" i="30"/>
  <c r="AV71" i="30"/>
  <c r="AM71" i="30"/>
  <c r="BD71" i="30" s="1"/>
  <c r="CK71" i="30"/>
  <c r="DM70" i="30"/>
  <c r="DL70" i="30"/>
  <c r="DN70" i="30" s="1"/>
  <c r="DJ70" i="30"/>
  <c r="AI70" i="30"/>
  <c r="AJ70" i="30"/>
  <c r="AK70" i="30"/>
  <c r="AU70" i="30" s="1"/>
  <c r="AL70" i="30"/>
  <c r="CR70" i="30"/>
  <c r="BW70" i="30"/>
  <c r="BU70" i="30"/>
  <c r="BT70" i="30"/>
  <c r="BM70" i="30"/>
  <c r="BZ70" i="30" s="1"/>
  <c r="BP70" i="30"/>
  <c r="BO70" i="30"/>
  <c r="BN70" i="30"/>
  <c r="CA70" i="30" s="1"/>
  <c r="CD70" i="30" s="1"/>
  <c r="BL70" i="30"/>
  <c r="BI70" i="30"/>
  <c r="BB70" i="30"/>
  <c r="BA70" i="30"/>
  <c r="AT70" i="30"/>
  <c r="AV70" i="30"/>
  <c r="AM70" i="30"/>
  <c r="AW70" i="30" s="1"/>
  <c r="CX70" i="30"/>
  <c r="AG70" i="30"/>
  <c r="Z70" i="30"/>
  <c r="N70" i="30"/>
  <c r="DM69" i="30"/>
  <c r="DN69" i="30" s="1"/>
  <c r="DL69" i="30"/>
  <c r="DJ69" i="30"/>
  <c r="N69" i="30"/>
  <c r="DD69" i="30" s="1"/>
  <c r="CR69" i="30"/>
  <c r="BN69" i="30"/>
  <c r="BU69" i="30"/>
  <c r="CA69" i="30"/>
  <c r="CD69" i="30" s="1"/>
  <c r="AK69" i="30"/>
  <c r="BW69" i="30"/>
  <c r="BT69" i="30"/>
  <c r="BP69" i="30"/>
  <c r="BO69" i="30"/>
  <c r="BM69" i="30"/>
  <c r="BL69" i="30"/>
  <c r="BI69" i="30"/>
  <c r="AM69" i="30"/>
  <c r="BD69" i="30"/>
  <c r="AW69" i="30"/>
  <c r="AU69" i="30"/>
  <c r="AI69" i="30"/>
  <c r="AS69" i="30"/>
  <c r="AL69" i="30"/>
  <c r="AV69" i="30"/>
  <c r="BB69" i="30"/>
  <c r="AJ69" i="30"/>
  <c r="AG69" i="30"/>
  <c r="Z69" i="30"/>
  <c r="CO69" i="30" s="1"/>
  <c r="O69" i="30"/>
  <c r="CK69" i="30"/>
  <c r="DM68" i="30"/>
  <c r="DL68" i="30"/>
  <c r="DN68" i="30"/>
  <c r="DJ68" i="30"/>
  <c r="DD68" i="30"/>
  <c r="CU68" i="30"/>
  <c r="CR68" i="30"/>
  <c r="AG68" i="30"/>
  <c r="CK68" i="30"/>
  <c r="CG68" i="30"/>
  <c r="BW68" i="30"/>
  <c r="BV68" i="30"/>
  <c r="BS68" i="30"/>
  <c r="BT68" i="30"/>
  <c r="BU68" i="30"/>
  <c r="CA68" i="30" s="1"/>
  <c r="CD68" i="30" s="1"/>
  <c r="BP68" i="30"/>
  <c r="BO68" i="30"/>
  <c r="BN68" i="30"/>
  <c r="AK68" i="30"/>
  <c r="BM68" i="30"/>
  <c r="BZ68" i="30" s="1"/>
  <c r="BL68" i="30"/>
  <c r="BI68" i="30"/>
  <c r="AM68" i="30"/>
  <c r="BD68" i="30"/>
  <c r="AW68" i="30"/>
  <c r="AJ68" i="30"/>
  <c r="AT68" i="30" s="1"/>
  <c r="AL68" i="30"/>
  <c r="BC68" i="30" s="1"/>
  <c r="AU68" i="30"/>
  <c r="BA68" i="30"/>
  <c r="AI68" i="30"/>
  <c r="Z68" i="30"/>
  <c r="CO68" i="30"/>
  <c r="DL67" i="30"/>
  <c r="DM67" i="30"/>
  <c r="DN67" i="30" s="1"/>
  <c r="DJ67" i="30"/>
  <c r="AI67" i="30"/>
  <c r="AJ67" i="30"/>
  <c r="AO67" i="30" s="1"/>
  <c r="AK67" i="30"/>
  <c r="AL67" i="30"/>
  <c r="AV67" i="30" s="1"/>
  <c r="DA67" i="30"/>
  <c r="CR67" i="30"/>
  <c r="N67" i="30"/>
  <c r="Z67" i="30"/>
  <c r="AH67" i="30" s="1"/>
  <c r="BW67" i="30"/>
  <c r="BU67" i="30"/>
  <c r="BT67" i="30"/>
  <c r="BM67" i="30"/>
  <c r="BZ67" i="30" s="1"/>
  <c r="CC67" i="30" s="1"/>
  <c r="BP67" i="30"/>
  <c r="BO67" i="30"/>
  <c r="BN67" i="30"/>
  <c r="BL67" i="30"/>
  <c r="BI67" i="30"/>
  <c r="AM67" i="30"/>
  <c r="BD67" i="30" s="1"/>
  <c r="BB67" i="30"/>
  <c r="AS67" i="30"/>
  <c r="AT67" i="30"/>
  <c r="AU67" i="30"/>
  <c r="CP67" i="30"/>
  <c r="AG67" i="30"/>
  <c r="DL66" i="30"/>
  <c r="DN66" i="30" s="1"/>
  <c r="DM66" i="30"/>
  <c r="DJ66" i="30"/>
  <c r="N66" i="30"/>
  <c r="DD66" i="30"/>
  <c r="AI66" i="30"/>
  <c r="DA66" i="30" s="1"/>
  <c r="AJ66" i="30"/>
  <c r="CQ66" i="30" s="1"/>
  <c r="AK66" i="30"/>
  <c r="AL66" i="30"/>
  <c r="AV66" i="30" s="1"/>
  <c r="O66" i="30"/>
  <c r="CG66" i="30" s="1"/>
  <c r="CH66" i="30" s="1"/>
  <c r="R66" i="30"/>
  <c r="BC66" i="30" s="1"/>
  <c r="CR66" i="30"/>
  <c r="Z66" i="30"/>
  <c r="AG66" i="30"/>
  <c r="CK66" i="30" s="1"/>
  <c r="BM66" i="30"/>
  <c r="BT66" i="30"/>
  <c r="BZ66" i="30"/>
  <c r="CC66" i="30" s="1"/>
  <c r="BW66" i="30"/>
  <c r="BV66" i="30"/>
  <c r="BU66" i="30"/>
  <c r="BS66" i="30"/>
  <c r="BP66" i="30"/>
  <c r="BO66" i="30"/>
  <c r="BL66" i="30"/>
  <c r="BN66" i="30"/>
  <c r="BQ66" i="30" s="1"/>
  <c r="BR66" i="30" s="1"/>
  <c r="CA66" i="30"/>
  <c r="BI66" i="30"/>
  <c r="BA66" i="30"/>
  <c r="BB66" i="30"/>
  <c r="AM66" i="30"/>
  <c r="AW66" i="30" s="1"/>
  <c r="BD66" i="30"/>
  <c r="AT66" i="30"/>
  <c r="AS66" i="30"/>
  <c r="CX66" i="30"/>
  <c r="DM65" i="30"/>
  <c r="DL65" i="30"/>
  <c r="DN65" i="30"/>
  <c r="DJ65" i="30"/>
  <c r="CR65" i="30"/>
  <c r="BW65" i="30"/>
  <c r="BU65" i="30"/>
  <c r="BT65" i="30"/>
  <c r="BP65" i="30"/>
  <c r="BO65" i="30"/>
  <c r="BN65" i="30"/>
  <c r="AK65" i="30"/>
  <c r="BM65" i="30"/>
  <c r="BZ65" i="30"/>
  <c r="BL65" i="30"/>
  <c r="AM65" i="30"/>
  <c r="BD65" i="30"/>
  <c r="AJ65" i="30"/>
  <c r="BA65" i="30"/>
  <c r="AT65" i="30"/>
  <c r="AI65" i="30"/>
  <c r="AS65" i="30" s="1"/>
  <c r="AW65" i="30"/>
  <c r="AL65" i="30"/>
  <c r="CY65" i="30"/>
  <c r="AG65" i="30"/>
  <c r="Z65" i="30"/>
  <c r="N65" i="30"/>
  <c r="DM64" i="30"/>
  <c r="DN64" i="30" s="1"/>
  <c r="DL64" i="30"/>
  <c r="DJ64" i="30"/>
  <c r="N64" i="30"/>
  <c r="O64" i="30" s="1"/>
  <c r="CG64" i="30" s="1"/>
  <c r="CH64" i="30" s="1"/>
  <c r="AI64" i="30"/>
  <c r="CP64" i="30" s="1"/>
  <c r="AJ64" i="30"/>
  <c r="CX64" i="30" s="1"/>
  <c r="AK64" i="30"/>
  <c r="AL64" i="30"/>
  <c r="AV64" i="30" s="1"/>
  <c r="CR64" i="30"/>
  <c r="BN64" i="30"/>
  <c r="CA64" i="30" s="1"/>
  <c r="CD64" i="30" s="1"/>
  <c r="BU64" i="30"/>
  <c r="BW64" i="30"/>
  <c r="BT64" i="30"/>
  <c r="BP64" i="30"/>
  <c r="BO64" i="30"/>
  <c r="BM64" i="30"/>
  <c r="BL64" i="30"/>
  <c r="BI64" i="30"/>
  <c r="BA64" i="30"/>
  <c r="AU64" i="30"/>
  <c r="AT64" i="30"/>
  <c r="AS64" i="30"/>
  <c r="AM64" i="30"/>
  <c r="BB64" i="30"/>
  <c r="DB64" i="30"/>
  <c r="AG64" i="30"/>
  <c r="Z64" i="30"/>
  <c r="DL63" i="30"/>
  <c r="DN63" i="30" s="1"/>
  <c r="DM63" i="30"/>
  <c r="DJ63" i="30"/>
  <c r="AJ63" i="30"/>
  <c r="BA63" i="30" s="1"/>
  <c r="AK63" i="30"/>
  <c r="BB63" i="30" s="1"/>
  <c r="CR63" i="30"/>
  <c r="BM63" i="30"/>
  <c r="BT63" i="30"/>
  <c r="BZ63" i="30" s="1"/>
  <c r="CB63" i="30" s="1"/>
  <c r="BN63" i="30"/>
  <c r="BU63" i="30"/>
  <c r="CA63" i="30"/>
  <c r="CD63" i="30" s="1"/>
  <c r="BW63" i="30"/>
  <c r="BP63" i="30"/>
  <c r="BO63" i="30"/>
  <c r="BL63" i="30"/>
  <c r="AM63" i="30"/>
  <c r="AW63" i="30" s="1"/>
  <c r="AL63" i="30"/>
  <c r="AV63" i="30"/>
  <c r="AI63" i="30"/>
  <c r="AO63" i="30" s="1"/>
  <c r="AG63" i="30"/>
  <c r="Z63" i="30"/>
  <c r="N63" i="30"/>
  <c r="DM62" i="30"/>
  <c r="DL62" i="30"/>
  <c r="DN62" i="30" s="1"/>
  <c r="DJ62" i="30"/>
  <c r="N62" i="30"/>
  <c r="DD62" i="30"/>
  <c r="AJ62" i="30"/>
  <c r="BA62" i="30" s="1"/>
  <c r="AK62" i="30"/>
  <c r="CR62" i="30"/>
  <c r="BN62" i="30"/>
  <c r="BU62" i="30"/>
  <c r="CA62" i="30" s="1"/>
  <c r="CD62" i="30" s="1"/>
  <c r="BW62" i="30"/>
  <c r="BT62" i="30"/>
  <c r="BL62" i="30"/>
  <c r="BQ62" i="30" s="1"/>
  <c r="BM62" i="30"/>
  <c r="BZ62" i="30" s="1"/>
  <c r="BO62" i="30"/>
  <c r="BP62" i="30"/>
  <c r="BR62" i="30"/>
  <c r="BB62" i="30"/>
  <c r="AU62" i="30"/>
  <c r="AM62" i="30"/>
  <c r="AL62" i="30"/>
  <c r="AV62" i="30"/>
  <c r="CY62" i="30"/>
  <c r="AI62" i="30"/>
  <c r="CQ62" i="30" s="1"/>
  <c r="AG62" i="30"/>
  <c r="Z62" i="30"/>
  <c r="DM61" i="30"/>
  <c r="DN61" i="30" s="1"/>
  <c r="DL61" i="30"/>
  <c r="DJ61" i="30"/>
  <c r="N61" i="30"/>
  <c r="O61" i="30" s="1"/>
  <c r="CR61" i="30"/>
  <c r="AG61" i="30"/>
  <c r="CO61" i="30" s="1"/>
  <c r="Z61" i="30"/>
  <c r="CJ61" i="30"/>
  <c r="BM61" i="30"/>
  <c r="BT61" i="30"/>
  <c r="BZ61" i="30" s="1"/>
  <c r="CC61" i="30" s="1"/>
  <c r="AJ61" i="30"/>
  <c r="BW61" i="30"/>
  <c r="BU61" i="30"/>
  <c r="BP61" i="30"/>
  <c r="BO61" i="30"/>
  <c r="BL61" i="30"/>
  <c r="BN61" i="30"/>
  <c r="BQ61" i="30"/>
  <c r="BR61" i="30" s="1"/>
  <c r="CA61" i="30"/>
  <c r="AI61" i="30"/>
  <c r="AL61" i="30"/>
  <c r="AV61" i="30"/>
  <c r="AM61" i="30"/>
  <c r="BD61" i="30" s="1"/>
  <c r="AK61" i="30"/>
  <c r="AO61" i="30"/>
  <c r="AS61" i="30"/>
  <c r="DM60" i="30"/>
  <c r="DL60" i="30"/>
  <c r="DN60" i="30"/>
  <c r="DJ60" i="30"/>
  <c r="CR60" i="30"/>
  <c r="AI60" i="30"/>
  <c r="AJ60" i="30"/>
  <c r="AK60" i="30"/>
  <c r="AU60" i="30" s="1"/>
  <c r="AL60" i="30"/>
  <c r="N60" i="30"/>
  <c r="DD60" i="30" s="1"/>
  <c r="AG60" i="30"/>
  <c r="CK60" i="30"/>
  <c r="BN60" i="30"/>
  <c r="BU60" i="30"/>
  <c r="CA60" i="30"/>
  <c r="CD60" i="30" s="1"/>
  <c r="BW60" i="30"/>
  <c r="BT60" i="30"/>
  <c r="BZ60" i="30" s="1"/>
  <c r="CB60" i="30" s="1"/>
  <c r="BP60" i="30"/>
  <c r="BO60" i="30"/>
  <c r="BM60" i="30"/>
  <c r="BL60" i="30"/>
  <c r="AM60" i="30"/>
  <c r="BD60" i="30"/>
  <c r="BB60" i="30"/>
  <c r="AW60" i="30"/>
  <c r="AS60" i="30"/>
  <c r="AV60" i="30"/>
  <c r="Z60" i="30"/>
  <c r="CO60" i="30" s="1"/>
  <c r="O60" i="30"/>
  <c r="DM59" i="30"/>
  <c r="DL59" i="30"/>
  <c r="DN59" i="30" s="1"/>
  <c r="DJ59" i="30"/>
  <c r="N59" i="30"/>
  <c r="AI59" i="30"/>
  <c r="AJ59" i="30"/>
  <c r="DA59" i="30" s="1"/>
  <c r="AK59" i="30"/>
  <c r="AL59" i="30"/>
  <c r="CR59" i="30"/>
  <c r="BI59" i="30"/>
  <c r="AQ59" i="30"/>
  <c r="AM59" i="30"/>
  <c r="AG59" i="30"/>
  <c r="Z59" i="30"/>
  <c r="DL58" i="30"/>
  <c r="DM58" i="30"/>
  <c r="DN58" i="30"/>
  <c r="DJ58" i="30"/>
  <c r="DD58" i="30"/>
  <c r="AI58" i="30"/>
  <c r="DB58" i="30" s="1"/>
  <c r="AJ58" i="30"/>
  <c r="AT58" i="30" s="1"/>
  <c r="AK58" i="30"/>
  <c r="AL58" i="30"/>
  <c r="CU58" i="30"/>
  <c r="CR58" i="30"/>
  <c r="CG58" i="30"/>
  <c r="CH58" i="30"/>
  <c r="BS58" i="30"/>
  <c r="BT58" i="30"/>
  <c r="BU58" i="30"/>
  <c r="BV58" i="30"/>
  <c r="BW58" i="30"/>
  <c r="BX58" i="30"/>
  <c r="BY58" i="30" s="1"/>
  <c r="BM58" i="30"/>
  <c r="BZ58" i="30" s="1"/>
  <c r="BP58" i="30"/>
  <c r="BO58" i="30"/>
  <c r="BN58" i="30"/>
  <c r="CA58" i="30" s="1"/>
  <c r="CD58" i="30" s="1"/>
  <c r="BL58" i="30"/>
  <c r="BQ58" i="30" s="1"/>
  <c r="BR58" i="30" s="1"/>
  <c r="BK58" i="30"/>
  <c r="BI58" i="30"/>
  <c r="BB58" i="30"/>
  <c r="BA58" i="30"/>
  <c r="AU58" i="30"/>
  <c r="AM58" i="30"/>
  <c r="CX58" i="30"/>
  <c r="AG58" i="30"/>
  <c r="CK58" i="30" s="1"/>
  <c r="Z58" i="30"/>
  <c r="CJ58" i="30" s="1"/>
  <c r="DM57" i="30"/>
  <c r="DN57" i="30" s="1"/>
  <c r="DL57" i="30"/>
  <c r="DJ57" i="30"/>
  <c r="CU57" i="30"/>
  <c r="CR57" i="30"/>
  <c r="AI57" i="30"/>
  <c r="AO57" i="30" s="1"/>
  <c r="AJ57" i="30"/>
  <c r="DA57" i="30" s="1"/>
  <c r="AK57" i="30"/>
  <c r="AL57" i="30"/>
  <c r="CQ57" i="30"/>
  <c r="CG57" i="30"/>
  <c r="BS57" i="30"/>
  <c r="BX57" i="30" s="1"/>
  <c r="BY57" i="30" s="1"/>
  <c r="BT57" i="30"/>
  <c r="BU57" i="30"/>
  <c r="BV57" i="30"/>
  <c r="BW57" i="30"/>
  <c r="BN57" i="30"/>
  <c r="CA57" i="30" s="1"/>
  <c r="CD57" i="30" s="1"/>
  <c r="BP57" i="30"/>
  <c r="BO57" i="30"/>
  <c r="BM57" i="30"/>
  <c r="BZ57" i="30" s="1"/>
  <c r="BL57" i="30"/>
  <c r="AM57" i="30"/>
  <c r="BD57" i="30"/>
  <c r="BC57" i="30"/>
  <c r="AZ57" i="30"/>
  <c r="AW57" i="30"/>
  <c r="AV57" i="30"/>
  <c r="AT57" i="30"/>
  <c r="Z57" i="30"/>
  <c r="AG57" i="30"/>
  <c r="AH57" i="30" s="1"/>
  <c r="DM56" i="30"/>
  <c r="DL56" i="30"/>
  <c r="DN56" i="30" s="1"/>
  <c r="DJ56" i="30"/>
  <c r="N56" i="30"/>
  <c r="AJ56" i="30"/>
  <c r="BA56" i="30" s="1"/>
  <c r="AK56" i="30"/>
  <c r="CR56" i="30"/>
  <c r="Z56" i="30"/>
  <c r="AG56" i="30"/>
  <c r="BM56" i="30"/>
  <c r="BZ56" i="30" s="1"/>
  <c r="BT56" i="30"/>
  <c r="BW56" i="30"/>
  <c r="BU56" i="30"/>
  <c r="BP56" i="30"/>
  <c r="BO56" i="30"/>
  <c r="BN56" i="30"/>
  <c r="BL56" i="30"/>
  <c r="BQ56" i="30" s="1"/>
  <c r="BR56" i="30" s="1"/>
  <c r="BI56" i="30"/>
  <c r="AM56" i="30"/>
  <c r="BD56" i="30"/>
  <c r="AI56" i="30"/>
  <c r="AW56" i="30"/>
  <c r="AS56" i="30"/>
  <c r="AL56" i="30"/>
  <c r="BB56" i="30"/>
  <c r="DM55" i="30"/>
  <c r="DN55" i="30" s="1"/>
  <c r="DL55" i="30"/>
  <c r="DJ55" i="30"/>
  <c r="AJ55" i="30"/>
  <c r="AK55" i="30"/>
  <c r="CX55" i="30"/>
  <c r="CR55" i="30"/>
  <c r="AI55" i="30"/>
  <c r="AL55" i="30"/>
  <c r="CQ55" i="30"/>
  <c r="BW55" i="30"/>
  <c r="BU55" i="30"/>
  <c r="BT55" i="30"/>
  <c r="BP55" i="30"/>
  <c r="BO55" i="30"/>
  <c r="BN55" i="30"/>
  <c r="CA55" i="30" s="1"/>
  <c r="CD55" i="30" s="1"/>
  <c r="BM55" i="30"/>
  <c r="BZ55" i="30" s="1"/>
  <c r="BL55" i="30"/>
  <c r="BI55" i="30"/>
  <c r="AM55" i="30"/>
  <c r="BD55" i="30"/>
  <c r="AW55" i="30"/>
  <c r="AV55" i="30"/>
  <c r="AS55" i="30"/>
  <c r="AP55" i="30"/>
  <c r="AU55" i="30"/>
  <c r="BA55" i="30"/>
  <c r="AG55" i="30"/>
  <c r="Z55" i="30"/>
  <c r="N55" i="30"/>
  <c r="DM54" i="30"/>
  <c r="DL54" i="30"/>
  <c r="DJ54" i="30"/>
  <c r="AJ54" i="30"/>
  <c r="CX54" i="30" s="1"/>
  <c r="AK54" i="30"/>
  <c r="CY54" i="30" s="1"/>
  <c r="CU54" i="30"/>
  <c r="CR54" i="30"/>
  <c r="N54" i="30"/>
  <c r="CK54" i="30" s="1"/>
  <c r="AG54" i="30"/>
  <c r="CG54" i="30"/>
  <c r="BS54" i="30"/>
  <c r="BX54" i="30" s="1"/>
  <c r="BY54" i="30" s="1"/>
  <c r="BT54" i="30"/>
  <c r="BU54" i="30"/>
  <c r="BV54" i="30"/>
  <c r="BW54" i="30"/>
  <c r="BN54" i="30"/>
  <c r="CA54" i="30"/>
  <c r="CD54" i="30"/>
  <c r="BP54" i="30"/>
  <c r="BO54" i="30"/>
  <c r="BM54" i="30"/>
  <c r="BL54" i="30"/>
  <c r="AM54" i="30"/>
  <c r="BD54" i="30" s="1"/>
  <c r="AL54" i="30"/>
  <c r="BC54" i="30"/>
  <c r="BA54" i="30"/>
  <c r="AV54" i="30"/>
  <c r="AT54" i="30"/>
  <c r="BB54" i="30"/>
  <c r="AI54" i="30"/>
  <c r="AP54" i="30" s="1"/>
  <c r="Z54" i="30"/>
  <c r="AH54" i="30" s="1"/>
  <c r="DL53" i="30"/>
  <c r="DN53" i="30" s="1"/>
  <c r="DM53" i="30"/>
  <c r="DJ53" i="30"/>
  <c r="N53" i="30"/>
  <c r="CJ53" i="30" s="1"/>
  <c r="AI53" i="30"/>
  <c r="AS53" i="30" s="1"/>
  <c r="AJ53" i="30"/>
  <c r="AK53" i="30"/>
  <c r="CX53" i="30" s="1"/>
  <c r="AL53" i="30"/>
  <c r="CR53" i="30"/>
  <c r="Z53" i="30"/>
  <c r="BM53" i="30"/>
  <c r="BZ53" i="30" s="1"/>
  <c r="CC53" i="30" s="1"/>
  <c r="BT53" i="30"/>
  <c r="BW53" i="30"/>
  <c r="BU53" i="30"/>
  <c r="BP53" i="30"/>
  <c r="BO53" i="30"/>
  <c r="BL53" i="30"/>
  <c r="BN53" i="30"/>
  <c r="BQ53" i="30" s="1"/>
  <c r="BR53" i="30" s="1"/>
  <c r="BI53" i="30"/>
  <c r="BA53" i="30"/>
  <c r="BB53" i="30"/>
  <c r="AM53" i="30"/>
  <c r="BD53" i="30"/>
  <c r="AW53" i="30"/>
  <c r="AT53" i="30"/>
  <c r="AG53" i="30"/>
  <c r="AH53" i="30"/>
  <c r="AV53" i="30"/>
  <c r="CQ53" i="30"/>
  <c r="DM52" i="30"/>
  <c r="DL52" i="30"/>
  <c r="DN52" i="30"/>
  <c r="DJ52" i="30"/>
  <c r="DD52" i="30"/>
  <c r="CU52" i="30"/>
  <c r="CR52" i="30"/>
  <c r="Z52" i="30"/>
  <c r="AG52" i="30"/>
  <c r="AH52" i="30" s="1"/>
  <c r="CM52" i="30" s="1"/>
  <c r="CG52" i="30"/>
  <c r="BW52" i="30"/>
  <c r="BV52" i="30"/>
  <c r="BU52" i="30"/>
  <c r="BT52" i="30"/>
  <c r="BS52" i="30"/>
  <c r="BX52" i="30"/>
  <c r="BY52" i="30" s="1"/>
  <c r="BP52" i="30"/>
  <c r="BO52" i="30"/>
  <c r="BN52" i="30"/>
  <c r="CA52" i="30" s="1"/>
  <c r="CD52" i="30" s="1"/>
  <c r="AK52" i="30"/>
  <c r="BM52" i="30"/>
  <c r="BQ52" i="30" s="1"/>
  <c r="BR52" i="30" s="1"/>
  <c r="BZ52" i="30"/>
  <c r="BL52" i="30"/>
  <c r="AM52" i="30"/>
  <c r="BD52" i="30"/>
  <c r="AL52" i="30"/>
  <c r="BC52" i="30"/>
  <c r="AW52" i="30"/>
  <c r="AV52" i="30"/>
  <c r="AJ52" i="30"/>
  <c r="AT52" i="30"/>
  <c r="AI52" i="30"/>
  <c r="AS52" i="30" s="1"/>
  <c r="CJ52" i="30"/>
  <c r="DL51" i="30"/>
  <c r="DN51" i="30" s="1"/>
  <c r="DM51" i="30"/>
  <c r="DJ51" i="30"/>
  <c r="AJ51" i="30"/>
  <c r="AT51" i="30" s="1"/>
  <c r="AK51" i="30"/>
  <c r="CX51" i="30"/>
  <c r="N51" i="30"/>
  <c r="CK51" i="30" s="1"/>
  <c r="AI51" i="30"/>
  <c r="AL51" i="30"/>
  <c r="CR51" i="30"/>
  <c r="BN51" i="30"/>
  <c r="BU51" i="30"/>
  <c r="CA51" i="30"/>
  <c r="CD51" i="30"/>
  <c r="BM51" i="30"/>
  <c r="BT51" i="30"/>
  <c r="BZ51" i="30"/>
  <c r="CC51" i="30" s="1"/>
  <c r="BW51" i="30"/>
  <c r="BP51" i="30"/>
  <c r="BO51" i="30"/>
  <c r="BL51" i="30"/>
  <c r="BB51" i="30"/>
  <c r="BA51" i="30"/>
  <c r="AM51" i="30"/>
  <c r="AW51" i="30" s="1"/>
  <c r="AU51" i="30"/>
  <c r="AS51" i="30"/>
  <c r="BD51" i="30"/>
  <c r="CY51" i="30"/>
  <c r="AG51" i="30"/>
  <c r="Z51" i="30"/>
  <c r="DL50" i="30"/>
  <c r="DN50" i="30" s="1"/>
  <c r="DM50" i="30"/>
  <c r="DJ50" i="30"/>
  <c r="AI50" i="30"/>
  <c r="AJ50" i="30"/>
  <c r="DA50" i="30" s="1"/>
  <c r="AK50" i="30"/>
  <c r="AL50" i="30"/>
  <c r="CR50" i="30"/>
  <c r="N47" i="30"/>
  <c r="DD47" i="30" s="1"/>
  <c r="N50" i="30"/>
  <c r="N139" i="30" s="1"/>
  <c r="Z50" i="30"/>
  <c r="BW50" i="30"/>
  <c r="BU50" i="30"/>
  <c r="BT50" i="30"/>
  <c r="BZ50" i="30" s="1"/>
  <c r="CC50" i="30" s="1"/>
  <c r="BM50" i="30"/>
  <c r="BP50" i="30"/>
  <c r="BO50" i="30"/>
  <c r="BN50" i="30"/>
  <c r="BL50" i="30"/>
  <c r="AU50" i="30"/>
  <c r="AT50" i="30"/>
  <c r="AS50" i="30"/>
  <c r="AQ50" i="30"/>
  <c r="AM50" i="30"/>
  <c r="AV50" i="30"/>
  <c r="BB50" i="30"/>
  <c r="AG50" i="30"/>
  <c r="DM49" i="30"/>
  <c r="DL49" i="30"/>
  <c r="DN49" i="30" s="1"/>
  <c r="DJ49" i="30"/>
  <c r="AJ49" i="30"/>
  <c r="AK49" i="30"/>
  <c r="T49" i="30"/>
  <c r="CR49" i="30"/>
  <c r="BW49" i="30"/>
  <c r="BV49" i="30"/>
  <c r="BU49" i="30"/>
  <c r="BN49" i="30"/>
  <c r="CA49" i="30"/>
  <c r="CD49" i="30" s="1"/>
  <c r="BT49" i="30"/>
  <c r="BP49" i="30"/>
  <c r="BO49" i="30"/>
  <c r="BM49" i="30"/>
  <c r="BZ49" i="30" s="1"/>
  <c r="BL49" i="30"/>
  <c r="AM49" i="30"/>
  <c r="BD49" i="30"/>
  <c r="AL49" i="30"/>
  <c r="AV49" i="30"/>
  <c r="AW49" i="30"/>
  <c r="BC49" i="30"/>
  <c r="BB49" i="30"/>
  <c r="AA49" i="30"/>
  <c r="AI49" i="30" s="1"/>
  <c r="DB49" i="30" s="1"/>
  <c r="Z49" i="30"/>
  <c r="O49" i="30"/>
  <c r="N49" i="30"/>
  <c r="DM48" i="30"/>
  <c r="DL48" i="30"/>
  <c r="DN48" i="30" s="1"/>
  <c r="DJ48" i="30"/>
  <c r="N48" i="30"/>
  <c r="CK48" i="30" s="1"/>
  <c r="DD48" i="30"/>
  <c r="CR48" i="30"/>
  <c r="Z48" i="30"/>
  <c r="CO48" i="30" s="1"/>
  <c r="AG48" i="30"/>
  <c r="BN48" i="30"/>
  <c r="CA48" i="30" s="1"/>
  <c r="BU48" i="30"/>
  <c r="BW48" i="30"/>
  <c r="BV48" i="30"/>
  <c r="BT48" i="30"/>
  <c r="BM48" i="30"/>
  <c r="BZ48" i="30" s="1"/>
  <c r="BP48" i="30"/>
  <c r="BO48" i="30"/>
  <c r="BL48" i="30"/>
  <c r="BQ48" i="30" s="1"/>
  <c r="BR48" i="30" s="1"/>
  <c r="AM48" i="30"/>
  <c r="AW48" i="30" s="1"/>
  <c r="AL48" i="30"/>
  <c r="BC48" i="30"/>
  <c r="AJ48" i="30"/>
  <c r="BA48" i="30"/>
  <c r="AV48" i="30"/>
  <c r="AT48" i="30"/>
  <c r="AK48" i="30"/>
  <c r="AI48" i="30"/>
  <c r="AH48" i="30"/>
  <c r="CM48" i="30"/>
  <c r="O48" i="30"/>
  <c r="DL47" i="30"/>
  <c r="DM47" i="30"/>
  <c r="DN47" i="30" s="1"/>
  <c r="DJ47" i="30"/>
  <c r="CR47" i="30"/>
  <c r="AI47" i="30"/>
  <c r="AJ47" i="30"/>
  <c r="CP47" i="30" s="1"/>
  <c r="AK47" i="30"/>
  <c r="AU47" i="30" s="1"/>
  <c r="AL47" i="30"/>
  <c r="BN47" i="30"/>
  <c r="CA47" i="30" s="1"/>
  <c r="CD47" i="30" s="1"/>
  <c r="BU47" i="30"/>
  <c r="BW47" i="30"/>
  <c r="BT47" i="30"/>
  <c r="BM47" i="30"/>
  <c r="BZ47" i="30" s="1"/>
  <c r="BL47" i="30"/>
  <c r="BQ47" i="30" s="1"/>
  <c r="BR47" i="30" s="1"/>
  <c r="BO47" i="30"/>
  <c r="BP47" i="30"/>
  <c r="AS47" i="30"/>
  <c r="AM47" i="30"/>
  <c r="AG47" i="30"/>
  <c r="Z47" i="30"/>
  <c r="DM46" i="30"/>
  <c r="DL46" i="30"/>
  <c r="DN46" i="30" s="1"/>
  <c r="DJ46" i="30"/>
  <c r="CR46" i="30"/>
  <c r="BN46" i="30"/>
  <c r="CA46" i="30" s="1"/>
  <c r="CD46" i="30" s="1"/>
  <c r="P46" i="30"/>
  <c r="Q46" i="30"/>
  <c r="BU46" i="30" s="1"/>
  <c r="AK46" i="30"/>
  <c r="BW46" i="30"/>
  <c r="BT46" i="30"/>
  <c r="BM46" i="30"/>
  <c r="BZ46" i="30"/>
  <c r="CC46" i="30" s="1"/>
  <c r="AJ46" i="30"/>
  <c r="BP46" i="30"/>
  <c r="BO46" i="30"/>
  <c r="BL46" i="30"/>
  <c r="AL46" i="30"/>
  <c r="AV46" i="30"/>
  <c r="AT46" i="30"/>
  <c r="AM46" i="30"/>
  <c r="AW46" i="30"/>
  <c r="AU46" i="30"/>
  <c r="AI46" i="30"/>
  <c r="AS46" i="30" s="1"/>
  <c r="AX46" i="30" s="1"/>
  <c r="AG46" i="30"/>
  <c r="Z46" i="30"/>
  <c r="AH46" i="30" s="1"/>
  <c r="N46" i="30"/>
  <c r="R46" i="30"/>
  <c r="DL45" i="30"/>
  <c r="DN45" i="30" s="1"/>
  <c r="DM45" i="30"/>
  <c r="DJ45" i="30"/>
  <c r="DD45" i="30"/>
  <c r="CU45" i="30"/>
  <c r="AI45" i="30"/>
  <c r="AJ45" i="30"/>
  <c r="AK45" i="30"/>
  <c r="AL45" i="30"/>
  <c r="CT45" i="30"/>
  <c r="CR45" i="30"/>
  <c r="CO45" i="30"/>
  <c r="CK45" i="30"/>
  <c r="CL45" i="30" s="1"/>
  <c r="CJ45" i="30"/>
  <c r="AH45" i="30"/>
  <c r="CM45" i="30"/>
  <c r="CG45" i="30"/>
  <c r="CH45" i="30" s="1"/>
  <c r="BW45" i="30"/>
  <c r="BV45" i="30"/>
  <c r="BU45" i="30"/>
  <c r="BN45" i="30"/>
  <c r="CA45" i="30"/>
  <c r="CD45" i="30" s="1"/>
  <c r="BT45" i="30"/>
  <c r="BZ45" i="30" s="1"/>
  <c r="BM45" i="30"/>
  <c r="BS45" i="30"/>
  <c r="BL45" i="30"/>
  <c r="BO45" i="30"/>
  <c r="BP45" i="30"/>
  <c r="BQ45" i="30"/>
  <c r="BR45" i="30" s="1"/>
  <c r="BI45" i="30"/>
  <c r="AM45" i="30"/>
  <c r="BA45" i="30"/>
  <c r="AU45" i="30"/>
  <c r="AS45" i="30"/>
  <c r="CY45" i="30"/>
  <c r="CX45" i="30"/>
  <c r="DL44" i="30"/>
  <c r="DN44" i="30" s="1"/>
  <c r="DM44" i="30"/>
  <c r="DJ44" i="30"/>
  <c r="N44" i="30"/>
  <c r="CR44" i="30"/>
  <c r="Z44" i="30"/>
  <c r="BW44" i="30"/>
  <c r="BU44" i="30"/>
  <c r="BN44" i="30"/>
  <c r="CA44" i="30" s="1"/>
  <c r="AK44" i="30"/>
  <c r="CD44" i="30"/>
  <c r="BT44" i="30"/>
  <c r="BM44" i="30"/>
  <c r="BZ44" i="30" s="1"/>
  <c r="BL44" i="30"/>
  <c r="BQ44" i="30" s="1"/>
  <c r="BR44" i="30" s="1"/>
  <c r="BO44" i="30"/>
  <c r="BP44" i="30"/>
  <c r="AM44" i="30"/>
  <c r="BD44" i="30" s="1"/>
  <c r="AU44" i="30"/>
  <c r="AI44" i="30"/>
  <c r="AS44" i="30"/>
  <c r="AL44" i="30"/>
  <c r="AV44" i="30" s="1"/>
  <c r="BB44" i="30"/>
  <c r="AJ44" i="30"/>
  <c r="AG44" i="30"/>
  <c r="AH44" i="30"/>
  <c r="CO44" i="30"/>
  <c r="DL43" i="30"/>
  <c r="DN43" i="30" s="1"/>
  <c r="DM43" i="30"/>
  <c r="DJ43" i="30"/>
  <c r="DD43" i="30"/>
  <c r="CU43" i="30"/>
  <c r="AG43" i="30"/>
  <c r="CK43" i="30"/>
  <c r="I43" i="30"/>
  <c r="CG43" i="30"/>
  <c r="AJ43" i="30"/>
  <c r="AK43" i="30"/>
  <c r="BW43" i="30"/>
  <c r="BV43" i="30"/>
  <c r="BS43" i="30"/>
  <c r="BT43" i="30"/>
  <c r="BZ43" i="30" s="1"/>
  <c r="CC43" i="30" s="1"/>
  <c r="BU43" i="30"/>
  <c r="BX43" i="30"/>
  <c r="BY43" i="30"/>
  <c r="BN43" i="30"/>
  <c r="CA43" i="30"/>
  <c r="CD43" i="30"/>
  <c r="BP43" i="30"/>
  <c r="BO43" i="30"/>
  <c r="BM43" i="30"/>
  <c r="BL43" i="30"/>
  <c r="BQ43" i="30" s="1"/>
  <c r="BR43" i="30" s="1"/>
  <c r="AM43" i="30"/>
  <c r="BD43" i="30" s="1"/>
  <c r="AW43" i="30"/>
  <c r="AU43" i="30"/>
  <c r="AI43" i="30"/>
  <c r="AS43" i="30" s="1"/>
  <c r="AL43" i="30"/>
  <c r="Z43" i="30"/>
  <c r="CJ43" i="30"/>
  <c r="H43" i="30"/>
  <c r="DM42" i="30"/>
  <c r="DL42" i="30"/>
  <c r="DN42" i="30"/>
  <c r="DJ42" i="30"/>
  <c r="CR42" i="30"/>
  <c r="BW42" i="30"/>
  <c r="BU42" i="30"/>
  <c r="BN42" i="30"/>
  <c r="CA42" i="30"/>
  <c r="AK42" i="30"/>
  <c r="CD42" i="30"/>
  <c r="BT42" i="30"/>
  <c r="BP42" i="30"/>
  <c r="BO42" i="30"/>
  <c r="BM42" i="30"/>
  <c r="BZ42" i="30" s="1"/>
  <c r="BL42" i="30"/>
  <c r="BI42" i="30"/>
  <c r="BB42" i="30"/>
  <c r="AM42" i="30"/>
  <c r="BD42" i="30" s="1"/>
  <c r="AW42" i="30"/>
  <c r="AU42" i="30"/>
  <c r="AI42" i="30"/>
  <c r="AQ42" i="30" s="1"/>
  <c r="AS42" i="30"/>
  <c r="AL42" i="30"/>
  <c r="AV42" i="30"/>
  <c r="AJ42" i="30"/>
  <c r="AG42" i="30"/>
  <c r="Z42" i="30"/>
  <c r="N42" i="30"/>
  <c r="O42" i="30"/>
  <c r="CK42" i="30"/>
  <c r="DM41" i="30"/>
  <c r="DL41" i="30"/>
  <c r="DN41" i="30" s="1"/>
  <c r="DJ41" i="30"/>
  <c r="N41" i="30"/>
  <c r="CR41" i="30"/>
  <c r="Z41" i="30"/>
  <c r="AH41" i="30" s="1"/>
  <c r="AG41" i="30"/>
  <c r="BW41" i="30"/>
  <c r="BU41" i="30"/>
  <c r="BT41" i="30"/>
  <c r="BM41" i="30"/>
  <c r="BZ41" i="30" s="1"/>
  <c r="BP41" i="30"/>
  <c r="BO41" i="30"/>
  <c r="BN41" i="30"/>
  <c r="CA41" i="30" s="1"/>
  <c r="CD41" i="30" s="1"/>
  <c r="AK41" i="30"/>
  <c r="BL41" i="30"/>
  <c r="AI41" i="30"/>
  <c r="AL41" i="30"/>
  <c r="AV41" i="30" s="1"/>
  <c r="AJ41" i="30"/>
  <c r="AT41" i="30" s="1"/>
  <c r="AM41" i="30"/>
  <c r="AW41" i="30" s="1"/>
  <c r="DL40" i="30"/>
  <c r="DM40" i="30"/>
  <c r="DN40" i="30"/>
  <c r="DJ40" i="30"/>
  <c r="AJ40" i="30"/>
  <c r="AK40" i="30"/>
  <c r="CR40" i="30"/>
  <c r="N40" i="30"/>
  <c r="AG40" i="30"/>
  <c r="CK40" i="30" s="1"/>
  <c r="BW40" i="30"/>
  <c r="BU40" i="30"/>
  <c r="BN40" i="30"/>
  <c r="CA40" i="30"/>
  <c r="BT40" i="30"/>
  <c r="BP40" i="30"/>
  <c r="BO40" i="30"/>
  <c r="BM40" i="30"/>
  <c r="BZ40" i="30" s="1"/>
  <c r="BL40" i="30"/>
  <c r="AM40" i="30"/>
  <c r="BD40" i="30"/>
  <c r="BA40" i="30"/>
  <c r="AW40" i="30"/>
  <c r="AI40" i="30"/>
  <c r="AS40" i="30"/>
  <c r="AL40" i="30"/>
  <c r="AV40" i="30" s="1"/>
  <c r="Z40" i="30"/>
  <c r="CO40" i="30" s="1"/>
  <c r="DD40" i="30"/>
  <c r="DM39" i="30"/>
  <c r="DL39" i="30"/>
  <c r="DJ39" i="30"/>
  <c r="AJ39" i="30"/>
  <c r="AT39" i="30" s="1"/>
  <c r="AK39" i="30"/>
  <c r="CX39" i="30"/>
  <c r="CR39" i="30"/>
  <c r="BM39" i="30"/>
  <c r="BZ39" i="30" s="1"/>
  <c r="BT39" i="30"/>
  <c r="BW39" i="30"/>
  <c r="BU39" i="30"/>
  <c r="BP39" i="30"/>
  <c r="BO39" i="30"/>
  <c r="BN39" i="30"/>
  <c r="CA39" i="30" s="1"/>
  <c r="CD39" i="30" s="1"/>
  <c r="BL39" i="30"/>
  <c r="BG39" i="30"/>
  <c r="BB39" i="30"/>
  <c r="AL39" i="30"/>
  <c r="AV39" i="30"/>
  <c r="AM39" i="30"/>
  <c r="AU39" i="30"/>
  <c r="AI39" i="30"/>
  <c r="AG39" i="30"/>
  <c r="Z39" i="30"/>
  <c r="AH39" i="30"/>
  <c r="N39" i="30"/>
  <c r="DL38" i="30"/>
  <c r="DN38" i="30" s="1"/>
  <c r="DM38" i="30"/>
  <c r="DJ38" i="30"/>
  <c r="N38" i="30"/>
  <c r="DD38" i="30"/>
  <c r="AI38" i="30"/>
  <c r="AQ38" i="30" s="1"/>
  <c r="AJ38" i="30"/>
  <c r="CP38" i="30" s="1"/>
  <c r="AK38" i="30"/>
  <c r="AL38" i="30"/>
  <c r="DA38" i="30"/>
  <c r="CR38" i="30"/>
  <c r="Z38" i="30"/>
  <c r="AH38" i="30" s="1"/>
  <c r="CM38" i="30" s="1"/>
  <c r="AG38" i="30"/>
  <c r="CK38" i="30"/>
  <c r="BW38" i="30"/>
  <c r="BU38" i="30"/>
  <c r="BN38" i="30"/>
  <c r="BT38" i="30"/>
  <c r="BM38" i="30"/>
  <c r="BZ38" i="30" s="1"/>
  <c r="BP38" i="30"/>
  <c r="BO38" i="30"/>
  <c r="BL38" i="30"/>
  <c r="AM38" i="30"/>
  <c r="AW38" i="30"/>
  <c r="AU38" i="30"/>
  <c r="AS38" i="30"/>
  <c r="BD38" i="30"/>
  <c r="AV38" i="30"/>
  <c r="BB38" i="30"/>
  <c r="AP38" i="30"/>
  <c r="O38" i="30"/>
  <c r="DB38" i="30"/>
  <c r="DL37" i="30"/>
  <c r="DN37" i="30" s="1"/>
  <c r="DM37" i="30"/>
  <c r="DJ37" i="30"/>
  <c r="CR37" i="30"/>
  <c r="Z37" i="30"/>
  <c r="N37" i="30"/>
  <c r="AG37" i="30"/>
  <c r="CO37" i="30"/>
  <c r="BW37" i="30"/>
  <c r="BU37" i="30"/>
  <c r="BN37" i="30"/>
  <c r="CA37" i="30" s="1"/>
  <c r="CD37" i="30" s="1"/>
  <c r="AK37" i="30"/>
  <c r="BT37" i="30"/>
  <c r="BP37" i="30"/>
  <c r="BO37" i="30"/>
  <c r="BM37" i="30"/>
  <c r="BZ37" i="30"/>
  <c r="CC37" i="30" s="1"/>
  <c r="AJ37" i="30"/>
  <c r="BA37" i="30" s="1"/>
  <c r="BL37" i="30"/>
  <c r="AM37" i="30"/>
  <c r="BB37" i="30"/>
  <c r="AL37" i="30"/>
  <c r="AV37" i="30"/>
  <c r="AI37" i="30"/>
  <c r="AH37" i="30"/>
  <c r="DM36" i="30"/>
  <c r="DL36" i="30"/>
  <c r="DN36" i="30"/>
  <c r="DJ36" i="30"/>
  <c r="DD36" i="30"/>
  <c r="AJ36" i="30"/>
  <c r="AK36" i="30"/>
  <c r="CX36" i="30"/>
  <c r="CU36" i="30"/>
  <c r="CR36" i="30"/>
  <c r="CO36" i="30"/>
  <c r="AH36" i="30"/>
  <c r="CM36" i="30" s="1"/>
  <c r="CJ36" i="30"/>
  <c r="CL36" i="30" s="1"/>
  <c r="CK36" i="30"/>
  <c r="CG36" i="30"/>
  <c r="CH36" i="30" s="1"/>
  <c r="BW36" i="30"/>
  <c r="BV36" i="30"/>
  <c r="BU36" i="30"/>
  <c r="BT36" i="30"/>
  <c r="BS36" i="30"/>
  <c r="BP36" i="30"/>
  <c r="BO36" i="30"/>
  <c r="BN36" i="30"/>
  <c r="CA36" i="30" s="1"/>
  <c r="CD36" i="30" s="1"/>
  <c r="BM36" i="30"/>
  <c r="BZ36" i="30" s="1"/>
  <c r="BL36" i="30"/>
  <c r="BB36" i="30"/>
  <c r="AI36" i="30"/>
  <c r="AZ36" i="30"/>
  <c r="AT36" i="30"/>
  <c r="AM36" i="30"/>
  <c r="AL36" i="30"/>
  <c r="BC36" i="30"/>
  <c r="AU36" i="30"/>
  <c r="CY36" i="30"/>
  <c r="DB36" i="30"/>
  <c r="DL35" i="30"/>
  <c r="DM35" i="30"/>
  <c r="DN35" i="30"/>
  <c r="DJ35" i="30"/>
  <c r="DD35" i="30"/>
  <c r="AI35" i="30"/>
  <c r="DB35" i="30" s="1"/>
  <c r="AJ35" i="30"/>
  <c r="AK35" i="30"/>
  <c r="AL35" i="30"/>
  <c r="AV35" i="30" s="1"/>
  <c r="CU35" i="30"/>
  <c r="CR35" i="30"/>
  <c r="AG35" i="30"/>
  <c r="CK35" i="30"/>
  <c r="CG35" i="30"/>
  <c r="CH35" i="30"/>
  <c r="BW35" i="30"/>
  <c r="BV35" i="30"/>
  <c r="BU35" i="30"/>
  <c r="BT35" i="30"/>
  <c r="BZ35" i="30" s="1"/>
  <c r="CC35" i="30" s="1"/>
  <c r="BS35" i="30"/>
  <c r="BP35" i="30"/>
  <c r="BO35" i="30"/>
  <c r="BN35" i="30"/>
  <c r="BM35" i="30"/>
  <c r="BL35" i="30"/>
  <c r="BK35" i="30"/>
  <c r="BK147" i="30" s="1"/>
  <c r="BI35" i="30"/>
  <c r="AM35" i="30"/>
  <c r="BA35" i="30"/>
  <c r="AU35" i="30"/>
  <c r="AT35" i="30"/>
  <c r="AN35" i="30"/>
  <c r="CY35" i="30"/>
  <c r="Z35" i="30"/>
  <c r="CJ35" i="30" s="1"/>
  <c r="CL35" i="30" s="1"/>
  <c r="DM34" i="30"/>
  <c r="DN34" i="30" s="1"/>
  <c r="DL34" i="30"/>
  <c r="DJ34" i="30"/>
  <c r="CR34" i="30"/>
  <c r="BM34" i="30"/>
  <c r="BT34" i="30"/>
  <c r="BZ34" i="30" s="1"/>
  <c r="BW34" i="30"/>
  <c r="BU34" i="30"/>
  <c r="CA34" i="30" s="1"/>
  <c r="CD34" i="30" s="1"/>
  <c r="BL34" i="30"/>
  <c r="BN34" i="30"/>
  <c r="BO34" i="30"/>
  <c r="BQ34" i="30" s="1"/>
  <c r="BR34" i="30" s="1"/>
  <c r="BP34" i="30"/>
  <c r="AK34" i="30"/>
  <c r="BB34" i="30"/>
  <c r="AL34" i="30"/>
  <c r="AV34" i="30"/>
  <c r="AU34" i="30"/>
  <c r="AJ34" i="30"/>
  <c r="AT34" i="30"/>
  <c r="AI34" i="30"/>
  <c r="AS34" i="30"/>
  <c r="AM34" i="30"/>
  <c r="BD34" i="30" s="1"/>
  <c r="BA34" i="30"/>
  <c r="AG34" i="30"/>
  <c r="Z34" i="30"/>
  <c r="AH34" i="30"/>
  <c r="N34" i="30"/>
  <c r="DD34" i="30" s="1"/>
  <c r="DL33" i="30"/>
  <c r="DN33" i="30" s="1"/>
  <c r="DM33" i="30"/>
  <c r="DJ33" i="30"/>
  <c r="N33" i="30"/>
  <c r="DD33" i="30" s="1"/>
  <c r="AI33" i="30"/>
  <c r="AJ33" i="30"/>
  <c r="AK33" i="30"/>
  <c r="AL33" i="30"/>
  <c r="AV33" i="30" s="1"/>
  <c r="DA33" i="30"/>
  <c r="CR33" i="30"/>
  <c r="Z33" i="30"/>
  <c r="CJ33" i="30"/>
  <c r="BM33" i="30"/>
  <c r="BT33" i="30"/>
  <c r="BZ33" i="30" s="1"/>
  <c r="BW33" i="30"/>
  <c r="BU33" i="30"/>
  <c r="BL33" i="30"/>
  <c r="BN33" i="30"/>
  <c r="BO33" i="30"/>
  <c r="BQ33" i="30" s="1"/>
  <c r="BR33" i="30" s="1"/>
  <c r="BP33" i="30"/>
  <c r="CA33" i="30"/>
  <c r="CD33" i="30" s="1"/>
  <c r="O33" i="30"/>
  <c r="AZ33" i="30" s="1"/>
  <c r="AU33" i="30"/>
  <c r="AM33" i="30"/>
  <c r="AW33" i="30" s="1"/>
  <c r="BB33" i="30"/>
  <c r="AS33" i="30"/>
  <c r="AG33" i="30"/>
  <c r="CO33" i="30" s="1"/>
  <c r="DL32" i="30"/>
  <c r="DN32" i="30" s="1"/>
  <c r="DM32" i="30"/>
  <c r="DJ32" i="30"/>
  <c r="DD32" i="30"/>
  <c r="AJ32" i="30"/>
  <c r="AK32" i="30"/>
  <c r="AU32" i="30" s="1"/>
  <c r="CX32" i="30"/>
  <c r="CU32" i="30"/>
  <c r="CR32" i="30"/>
  <c r="Z32" i="30"/>
  <c r="CJ32" i="30" s="1"/>
  <c r="AG32" i="30"/>
  <c r="CK32" i="30" s="1"/>
  <c r="CG32" i="30"/>
  <c r="CH32" i="30" s="1"/>
  <c r="BW32" i="30"/>
  <c r="BV32" i="30"/>
  <c r="BU32" i="30"/>
  <c r="BT32" i="30"/>
  <c r="BS32" i="30"/>
  <c r="BP32" i="30"/>
  <c r="BO32" i="30"/>
  <c r="BN32" i="30"/>
  <c r="BM32" i="30"/>
  <c r="BZ32" i="30" s="1"/>
  <c r="CC32" i="30" s="1"/>
  <c r="BL32" i="30"/>
  <c r="BH32" i="30"/>
  <c r="BG32" i="30"/>
  <c r="BI32" i="30"/>
  <c r="AM32" i="30"/>
  <c r="BD32" i="30" s="1"/>
  <c r="BB32" i="30"/>
  <c r="BA32" i="30"/>
  <c r="AW32" i="30"/>
  <c r="AL32" i="30"/>
  <c r="AV32" i="30" s="1"/>
  <c r="AI32" i="30"/>
  <c r="AO32" i="30"/>
  <c r="DM31" i="30"/>
  <c r="DL31" i="30"/>
  <c r="DN31" i="30"/>
  <c r="DJ31" i="30"/>
  <c r="DD31" i="30"/>
  <c r="CU31" i="30"/>
  <c r="AI31" i="30"/>
  <c r="AJ31" i="30"/>
  <c r="AK31" i="30"/>
  <c r="AL31" i="30"/>
  <c r="CS31" i="30"/>
  <c r="CR31" i="30"/>
  <c r="Z31" i="30"/>
  <c r="CJ31" i="30" s="1"/>
  <c r="CL31" i="30" s="1"/>
  <c r="AG31" i="30"/>
  <c r="CK31" i="30" s="1"/>
  <c r="CG31" i="30"/>
  <c r="CH31" i="30" s="1"/>
  <c r="BW31" i="30"/>
  <c r="BV31" i="30"/>
  <c r="BU31" i="30"/>
  <c r="BT31" i="30"/>
  <c r="BS31" i="30"/>
  <c r="BP31" i="30"/>
  <c r="BO31" i="30"/>
  <c r="BN31" i="30"/>
  <c r="CA31" i="30" s="1"/>
  <c r="CD31" i="30" s="1"/>
  <c r="BM31" i="30"/>
  <c r="BL31" i="30"/>
  <c r="BH31" i="30"/>
  <c r="BG31" i="30"/>
  <c r="BI31" i="30" s="1"/>
  <c r="BB31" i="30"/>
  <c r="AZ31" i="30"/>
  <c r="AV31" i="30"/>
  <c r="AU31" i="30"/>
  <c r="AS31" i="30"/>
  <c r="AM31" i="30"/>
  <c r="DB31" i="30"/>
  <c r="BA31" i="30"/>
  <c r="DL30" i="30"/>
  <c r="DM30" i="30"/>
  <c r="DN30" i="30"/>
  <c r="DJ30" i="30"/>
  <c r="DD30" i="30"/>
  <c r="AI30" i="30"/>
  <c r="DA30" i="30" s="1"/>
  <c r="AJ30" i="30"/>
  <c r="AK30" i="30"/>
  <c r="AL30" i="30"/>
  <c r="CY30" i="30"/>
  <c r="CU30" i="30"/>
  <c r="CR30" i="30"/>
  <c r="Z30" i="30"/>
  <c r="CJ30" i="30" s="1"/>
  <c r="CG30" i="30"/>
  <c r="BN30" i="30"/>
  <c r="CA30" i="30" s="1"/>
  <c r="BU30" i="30"/>
  <c r="CD30" i="30"/>
  <c r="BW30" i="30"/>
  <c r="BV30" i="30"/>
  <c r="BT30" i="30"/>
  <c r="BS30" i="30"/>
  <c r="BP30" i="30"/>
  <c r="BO30" i="30"/>
  <c r="BL30" i="30"/>
  <c r="BM30" i="30"/>
  <c r="BQ30" i="30"/>
  <c r="BR30" i="30" s="1"/>
  <c r="BG30" i="30"/>
  <c r="BH30" i="30"/>
  <c r="AU30" i="30"/>
  <c r="AM30" i="30"/>
  <c r="BD30" i="30" s="1"/>
  <c r="BB30" i="30"/>
  <c r="CX30" i="30"/>
  <c r="AG30" i="30"/>
  <c r="DL29" i="30"/>
  <c r="DN29" i="30" s="1"/>
  <c r="DM29" i="30"/>
  <c r="DJ29" i="30"/>
  <c r="DD29" i="30"/>
  <c r="CU29" i="30"/>
  <c r="CR29" i="30"/>
  <c r="AG29" i="30"/>
  <c r="CK29" i="30" s="1"/>
  <c r="CG29" i="30"/>
  <c r="CH29" i="30" s="1"/>
  <c r="AJ29" i="30"/>
  <c r="BA29" i="30" s="1"/>
  <c r="AK29" i="30"/>
  <c r="BW29" i="30"/>
  <c r="BX29" i="30" s="1"/>
  <c r="BY29" i="30" s="1"/>
  <c r="BV29" i="30"/>
  <c r="BU29" i="30"/>
  <c r="BT29" i="30"/>
  <c r="BS29" i="30"/>
  <c r="BP29" i="30"/>
  <c r="BO29" i="30"/>
  <c r="BN29" i="30"/>
  <c r="BM29" i="30"/>
  <c r="BZ29" i="30"/>
  <c r="CC29" i="30" s="1"/>
  <c r="BL29" i="30"/>
  <c r="BH29" i="30"/>
  <c r="BG29" i="30"/>
  <c r="AM29" i="30"/>
  <c r="BD29" i="30" s="1"/>
  <c r="AU29" i="30"/>
  <c r="AI29" i="30"/>
  <c r="AS29" i="30" s="1"/>
  <c r="AW29" i="30"/>
  <c r="AL29" i="30"/>
  <c r="Z29" i="30"/>
  <c r="DM28" i="30"/>
  <c r="DN28" i="30" s="1"/>
  <c r="DL28" i="30"/>
  <c r="DJ28" i="30"/>
  <c r="AJ28" i="30"/>
  <c r="AK28" i="30"/>
  <c r="CY28" i="30" s="1"/>
  <c r="CR28" i="30"/>
  <c r="BW28" i="30"/>
  <c r="BU28" i="30"/>
  <c r="BT28" i="30"/>
  <c r="BL28" i="30"/>
  <c r="BQ28" i="30" s="1"/>
  <c r="BR28" i="30" s="1"/>
  <c r="BM28" i="30"/>
  <c r="BZ28" i="30" s="1"/>
  <c r="BN28" i="30"/>
  <c r="CA28" i="30" s="1"/>
  <c r="CD28" i="30" s="1"/>
  <c r="BO28" i="30"/>
  <c r="BP28" i="30"/>
  <c r="N28" i="30"/>
  <c r="O28" i="30" s="1"/>
  <c r="BH28" i="30" s="1"/>
  <c r="BB28" i="30"/>
  <c r="AT28" i="30"/>
  <c r="AM28" i="30"/>
  <c r="BD28" i="30" s="1"/>
  <c r="BE28" i="30" s="1"/>
  <c r="AL28" i="30"/>
  <c r="AV28" i="30" s="1"/>
  <c r="AU28" i="30"/>
  <c r="BA28" i="30"/>
  <c r="AI28" i="30"/>
  <c r="AQ28" i="30"/>
  <c r="AG28" i="30"/>
  <c r="Z28" i="30"/>
  <c r="DM27" i="30"/>
  <c r="DL27" i="30"/>
  <c r="DN27" i="30" s="1"/>
  <c r="DJ27" i="30"/>
  <c r="N27" i="30"/>
  <c r="DD27" i="30" s="1"/>
  <c r="CR27" i="30"/>
  <c r="AG27" i="30"/>
  <c r="CK27" i="30"/>
  <c r="BM27" i="30"/>
  <c r="BT27" i="30"/>
  <c r="BZ27" i="30"/>
  <c r="BW27" i="30"/>
  <c r="BU27" i="30"/>
  <c r="BP27" i="30"/>
  <c r="BO27" i="30"/>
  <c r="BN27" i="30"/>
  <c r="CA27" i="30" s="1"/>
  <c r="CD27" i="30" s="1"/>
  <c r="AK27" i="30"/>
  <c r="BL27" i="30"/>
  <c r="BQ27" i="30" s="1"/>
  <c r="BR27" i="30" s="1"/>
  <c r="BI27" i="30"/>
  <c r="AM27" i="30"/>
  <c r="BD27" i="30"/>
  <c r="AJ27" i="30"/>
  <c r="BA27" i="30" s="1"/>
  <c r="AU27" i="30"/>
  <c r="AI27" i="30"/>
  <c r="AS27" i="30" s="1"/>
  <c r="AW27" i="30"/>
  <c r="AL27" i="30"/>
  <c r="AV27" i="30" s="1"/>
  <c r="CY27" i="30"/>
  <c r="Z27" i="30"/>
  <c r="DM26" i="30"/>
  <c r="DL26" i="30"/>
  <c r="DJ26" i="30"/>
  <c r="N26" i="30"/>
  <c r="DD26" i="30" s="1"/>
  <c r="CR26" i="30"/>
  <c r="Z26" i="30"/>
  <c r="CJ26" i="30"/>
  <c r="CL26" i="30" s="1"/>
  <c r="AG26" i="30"/>
  <c r="CK26" i="30"/>
  <c r="BW26" i="30"/>
  <c r="BU26" i="30"/>
  <c r="CA26" i="30" s="1"/>
  <c r="BT26" i="30"/>
  <c r="BP26" i="30"/>
  <c r="BO26" i="30"/>
  <c r="BN26" i="30"/>
  <c r="BM26" i="30"/>
  <c r="BL26" i="30"/>
  <c r="BI26" i="30"/>
  <c r="AK26" i="30"/>
  <c r="BB26" i="30" s="1"/>
  <c r="AU26" i="30"/>
  <c r="AM26" i="30"/>
  <c r="AW26" i="30"/>
  <c r="AL26" i="30"/>
  <c r="AV26" i="30" s="1"/>
  <c r="AJ26" i="30"/>
  <c r="AI26" i="30"/>
  <c r="AH26" i="30"/>
  <c r="CM26" i="30"/>
  <c r="O26" i="30"/>
  <c r="DL25" i="30"/>
  <c r="DN25" i="30" s="1"/>
  <c r="DM25" i="30"/>
  <c r="DJ25" i="30"/>
  <c r="CR25" i="30"/>
  <c r="N25" i="30"/>
  <c r="CK25" i="30" s="1"/>
  <c r="AG25" i="30"/>
  <c r="BN25" i="30"/>
  <c r="CA25" i="30" s="1"/>
  <c r="CD25" i="30" s="1"/>
  <c r="BU25" i="30"/>
  <c r="AK25" i="30"/>
  <c r="BW25" i="30"/>
  <c r="BT25" i="30"/>
  <c r="O25" i="30"/>
  <c r="BS25" i="30"/>
  <c r="BP25" i="30"/>
  <c r="BO25" i="30"/>
  <c r="BM25" i="30"/>
  <c r="BZ25" i="30"/>
  <c r="BL25" i="30"/>
  <c r="BI25" i="30"/>
  <c r="BB25" i="30"/>
  <c r="AI25" i="30"/>
  <c r="AS25" i="30" s="1"/>
  <c r="AM25" i="30"/>
  <c r="BD25" i="30" s="1"/>
  <c r="AL25" i="30"/>
  <c r="AV25" i="30" s="1"/>
  <c r="AU25" i="30"/>
  <c r="AJ25" i="30"/>
  <c r="Z25" i="30"/>
  <c r="AH25" i="30"/>
  <c r="DL24" i="30"/>
  <c r="DM24" i="30"/>
  <c r="DN24" i="30"/>
  <c r="DJ24" i="30"/>
  <c r="AJ24" i="30"/>
  <c r="BA24" i="30" s="1"/>
  <c r="AK24" i="30"/>
  <c r="CR24" i="30"/>
  <c r="AI24" i="30"/>
  <c r="AL24" i="30"/>
  <c r="CQ24" i="30"/>
  <c r="BN24" i="30"/>
  <c r="BU24" i="30"/>
  <c r="BW24" i="30"/>
  <c r="BT24" i="30"/>
  <c r="BM24" i="30"/>
  <c r="BZ24" i="30" s="1"/>
  <c r="BP24" i="30"/>
  <c r="BO24" i="30"/>
  <c r="BL24" i="30"/>
  <c r="BI24" i="30"/>
  <c r="AM24" i="30"/>
  <c r="BD24" i="30"/>
  <c r="AV24" i="30"/>
  <c r="AU24" i="30"/>
  <c r="AW24" i="30"/>
  <c r="BB24" i="30"/>
  <c r="DA24" i="30"/>
  <c r="AG24" i="30"/>
  <c r="CO24" i="30" s="1"/>
  <c r="Z24" i="30"/>
  <c r="N24" i="30"/>
  <c r="DD24" i="30"/>
  <c r="DM23" i="30"/>
  <c r="DL23" i="30"/>
  <c r="DN23" i="30" s="1"/>
  <c r="DJ23" i="30"/>
  <c r="N23" i="30"/>
  <c r="DD23" i="30" s="1"/>
  <c r="CR23" i="30"/>
  <c r="Z23" i="30"/>
  <c r="AG23" i="30"/>
  <c r="BM23" i="30"/>
  <c r="BZ23" i="30" s="1"/>
  <c r="CC23" i="30" s="1"/>
  <c r="BT23" i="30"/>
  <c r="AJ23" i="30"/>
  <c r="BW23" i="30"/>
  <c r="BU23" i="30"/>
  <c r="BP23" i="30"/>
  <c r="BO23" i="30"/>
  <c r="BN23" i="30"/>
  <c r="CA23" i="30"/>
  <c r="CD23" i="30" s="1"/>
  <c r="AK23" i="30"/>
  <c r="BL23" i="30"/>
  <c r="BI23" i="30"/>
  <c r="O23" i="30"/>
  <c r="R23" i="30"/>
  <c r="AL23" i="30"/>
  <c r="BC23" i="30"/>
  <c r="AT23" i="30"/>
  <c r="AM23" i="30"/>
  <c r="AW23" i="30" s="1"/>
  <c r="AV23" i="30"/>
  <c r="AI23" i="30"/>
  <c r="AQ23" i="30"/>
  <c r="BV23" i="30"/>
  <c r="DM22" i="30"/>
  <c r="DL22" i="30"/>
  <c r="DN22" i="30"/>
  <c r="DJ22" i="30"/>
  <c r="CR22" i="30"/>
  <c r="N22" i="30"/>
  <c r="CK22" i="30" s="1"/>
  <c r="AG22" i="30"/>
  <c r="BM22" i="30"/>
  <c r="BZ22" i="30" s="1"/>
  <c r="BT22" i="30"/>
  <c r="BN22" i="30"/>
  <c r="CA22" i="30" s="1"/>
  <c r="CD22" i="30" s="1"/>
  <c r="BU22" i="30"/>
  <c r="BW22" i="30"/>
  <c r="AK22" i="30"/>
  <c r="BP22" i="30"/>
  <c r="BO22" i="30"/>
  <c r="AJ22" i="30"/>
  <c r="BA22" i="30" s="1"/>
  <c r="BL22" i="30"/>
  <c r="AM22" i="30"/>
  <c r="BD22" i="30"/>
  <c r="AU22" i="30"/>
  <c r="AI22" i="30"/>
  <c r="AS22" i="30" s="1"/>
  <c r="AW22" i="30"/>
  <c r="AL22" i="30"/>
  <c r="AV22" i="30" s="1"/>
  <c r="CX22" i="30"/>
  <c r="Z22" i="30"/>
  <c r="DM21" i="30"/>
  <c r="DL21" i="30"/>
  <c r="DJ21" i="30"/>
  <c r="N21" i="30"/>
  <c r="DD21" i="30"/>
  <c r="CR21" i="30"/>
  <c r="Z21" i="30"/>
  <c r="CJ21" i="30" s="1"/>
  <c r="AG21" i="30"/>
  <c r="BW21" i="30"/>
  <c r="BU21" i="30"/>
  <c r="BT21" i="30"/>
  <c r="BP21" i="30"/>
  <c r="BO21" i="30"/>
  <c r="BN21" i="30"/>
  <c r="CA21" i="30"/>
  <c r="BM21" i="30"/>
  <c r="BL21" i="30"/>
  <c r="BI21" i="30"/>
  <c r="AK21" i="30"/>
  <c r="BB21" i="30" s="1"/>
  <c r="AU21" i="30"/>
  <c r="AM21" i="30"/>
  <c r="AW21" i="30" s="1"/>
  <c r="AL21" i="30"/>
  <c r="AV21" i="30" s="1"/>
  <c r="AJ21" i="30"/>
  <c r="AI21" i="30"/>
  <c r="O21" i="30"/>
  <c r="DL20" i="30"/>
  <c r="DN20" i="30" s="1"/>
  <c r="DM20" i="30"/>
  <c r="DJ20" i="30"/>
  <c r="CR20" i="30"/>
  <c r="N20" i="30"/>
  <c r="AG20" i="30"/>
  <c r="AH20" i="30" s="1"/>
  <c r="CK20" i="30"/>
  <c r="BN20" i="30"/>
  <c r="BU20" i="30"/>
  <c r="CA20" i="30"/>
  <c r="CD20" i="30" s="1"/>
  <c r="AK20" i="30"/>
  <c r="BW20" i="30"/>
  <c r="BT20" i="30"/>
  <c r="O20" i="30"/>
  <c r="BS20" i="30"/>
  <c r="BP20" i="30"/>
  <c r="BO20" i="30"/>
  <c r="BM20" i="30"/>
  <c r="BZ20" i="30" s="1"/>
  <c r="BL20" i="30"/>
  <c r="BI20" i="30"/>
  <c r="BB20" i="30"/>
  <c r="AI20" i="30"/>
  <c r="AS20" i="30" s="1"/>
  <c r="AM20" i="30"/>
  <c r="BD20" i="30" s="1"/>
  <c r="AL20" i="30"/>
  <c r="AV20" i="30" s="1"/>
  <c r="AU20" i="30"/>
  <c r="AJ20" i="30"/>
  <c r="Z20" i="30"/>
  <c r="DL19" i="30"/>
  <c r="DN19" i="30" s="1"/>
  <c r="DM19" i="30"/>
  <c r="DJ19" i="30"/>
  <c r="DD19" i="30"/>
  <c r="AJ19" i="30"/>
  <c r="CY19" i="30" s="1"/>
  <c r="AK19" i="30"/>
  <c r="CU19" i="30"/>
  <c r="CR19" i="30"/>
  <c r="Z19" i="30"/>
  <c r="CJ19" i="30"/>
  <c r="CG19" i="30"/>
  <c r="CH19" i="30" s="1"/>
  <c r="BM19" i="30"/>
  <c r="BZ19" i="30" s="1"/>
  <c r="BT19" i="30"/>
  <c r="BS19" i="30"/>
  <c r="BU19" i="30"/>
  <c r="BV19" i="30"/>
  <c r="BW19" i="30"/>
  <c r="BX19" i="30"/>
  <c r="BY19" i="30" s="1"/>
  <c r="BP19" i="30"/>
  <c r="BO19" i="30"/>
  <c r="BN19" i="30"/>
  <c r="CA19" i="30"/>
  <c r="CD19" i="30" s="1"/>
  <c r="BL19" i="30"/>
  <c r="BI19" i="30"/>
  <c r="AM19" i="30"/>
  <c r="BD19" i="30"/>
  <c r="BA19" i="30"/>
  <c r="AU19" i="30"/>
  <c r="AW19" i="30"/>
  <c r="AL19" i="30"/>
  <c r="BC19" i="30"/>
  <c r="BB19" i="30"/>
  <c r="CX19" i="30"/>
  <c r="AI19" i="30"/>
  <c r="AG19" i="30"/>
  <c r="CK19" i="30"/>
  <c r="CO19" i="30"/>
  <c r="DL18" i="30"/>
  <c r="DN18" i="30" s="1"/>
  <c r="DM18" i="30"/>
  <c r="DJ18" i="30"/>
  <c r="DD18" i="30"/>
  <c r="CU18" i="30"/>
  <c r="CR18" i="30"/>
  <c r="AG18" i="30"/>
  <c r="CK18" i="30"/>
  <c r="CG18" i="30"/>
  <c r="AJ18" i="30"/>
  <c r="AK18" i="30"/>
  <c r="CH18" i="30"/>
  <c r="BN18" i="30"/>
  <c r="BU18" i="30"/>
  <c r="CA18" i="30"/>
  <c r="CD18" i="30" s="1"/>
  <c r="BW18" i="30"/>
  <c r="BX18" i="30" s="1"/>
  <c r="BY18" i="30" s="1"/>
  <c r="BV18" i="30"/>
  <c r="BT18" i="30"/>
  <c r="BS18" i="30"/>
  <c r="BP18" i="30"/>
  <c r="BO18" i="30"/>
  <c r="BM18" i="30"/>
  <c r="BL18" i="30"/>
  <c r="BI18" i="30"/>
  <c r="AM18" i="30"/>
  <c r="BD18" i="30"/>
  <c r="BA18" i="30"/>
  <c r="AI18" i="30"/>
  <c r="AS18" i="30"/>
  <c r="AW18" i="30"/>
  <c r="AL18" i="30"/>
  <c r="BB18" i="30"/>
  <c r="CX18" i="30"/>
  <c r="Z18" i="30"/>
  <c r="DM17" i="30"/>
  <c r="DL17" i="30"/>
  <c r="DN17" i="30" s="1"/>
  <c r="DJ17" i="30"/>
  <c r="N17" i="30"/>
  <c r="DD17" i="30" s="1"/>
  <c r="AI17" i="30"/>
  <c r="AJ17" i="30"/>
  <c r="CP17" i="30" s="1"/>
  <c r="AK17" i="30"/>
  <c r="AL17" i="30"/>
  <c r="AV17" i="30" s="1"/>
  <c r="DB17" i="30"/>
  <c r="CR17" i="30"/>
  <c r="Z17" i="30"/>
  <c r="BM17" i="30"/>
  <c r="BZ17" i="30" s="1"/>
  <c r="CC17" i="30" s="1"/>
  <c r="BT17" i="30"/>
  <c r="BW17" i="30"/>
  <c r="BU17" i="30"/>
  <c r="BL17" i="30"/>
  <c r="BN17" i="30"/>
  <c r="CA17" i="30" s="1"/>
  <c r="CD17" i="30" s="1"/>
  <c r="BO17" i="30"/>
  <c r="BP17" i="30"/>
  <c r="BQ17" i="30"/>
  <c r="BR17" i="30" s="1"/>
  <c r="BI17" i="30"/>
  <c r="BA17" i="30"/>
  <c r="O17" i="30"/>
  <c r="AZ17" i="30" s="1"/>
  <c r="AU17" i="30"/>
  <c r="AT17" i="30"/>
  <c r="AM17" i="30"/>
  <c r="BD17" i="30"/>
  <c r="BB17" i="30"/>
  <c r="CY17" i="30"/>
  <c r="AG17" i="30"/>
  <c r="CK17" i="30"/>
  <c r="DL16" i="30"/>
  <c r="DM16" i="30"/>
  <c r="DN16" i="30"/>
  <c r="DJ16" i="30"/>
  <c r="N16" i="30"/>
  <c r="DB16" i="30" s="1"/>
  <c r="AI16" i="30"/>
  <c r="AJ16" i="30"/>
  <c r="AK16" i="30"/>
  <c r="AL16" i="30"/>
  <c r="CR16" i="30"/>
  <c r="O16" i="30"/>
  <c r="BW16" i="30"/>
  <c r="BU16" i="30"/>
  <c r="BN16" i="30"/>
  <c r="CA16" i="30" s="1"/>
  <c r="CD16" i="30" s="1"/>
  <c r="BT16" i="30"/>
  <c r="BP16" i="30"/>
  <c r="BO16" i="30"/>
  <c r="BM16" i="30"/>
  <c r="BZ16" i="30"/>
  <c r="BL16" i="30"/>
  <c r="BQ16" i="30" s="1"/>
  <c r="BR16" i="30"/>
  <c r="BI16" i="30"/>
  <c r="BB16" i="30"/>
  <c r="AT16" i="30"/>
  <c r="AS16" i="30"/>
  <c r="AM16" i="30"/>
  <c r="AV16" i="30"/>
  <c r="AU16" i="30"/>
  <c r="CY16" i="30"/>
  <c r="AQ16" i="30"/>
  <c r="AG16" i="30"/>
  <c r="Z16" i="30"/>
  <c r="DL15" i="30"/>
  <c r="DN15" i="30" s="1"/>
  <c r="DM15" i="30"/>
  <c r="DJ15" i="30"/>
  <c r="CR15" i="30"/>
  <c r="BW15" i="30"/>
  <c r="BU15" i="30"/>
  <c r="BN15" i="30"/>
  <c r="CA15" i="30"/>
  <c r="CD15" i="30" s="1"/>
  <c r="AK15" i="30"/>
  <c r="BT15" i="30"/>
  <c r="BZ15" i="30" s="1"/>
  <c r="BM15" i="30"/>
  <c r="BP15" i="30"/>
  <c r="BO15" i="30"/>
  <c r="BL15" i="30"/>
  <c r="BI15" i="30"/>
  <c r="AM15" i="30"/>
  <c r="BD15" i="30"/>
  <c r="AJ15" i="30"/>
  <c r="AW15" i="30"/>
  <c r="AI15" i="30"/>
  <c r="AS15" i="30" s="1"/>
  <c r="AL15" i="30"/>
  <c r="AV15" i="30" s="1"/>
  <c r="BB15" i="30"/>
  <c r="AG15" i="30"/>
  <c r="Z15" i="30"/>
  <c r="N15" i="30"/>
  <c r="O15" i="30"/>
  <c r="A15" i="30"/>
  <c r="A16" i="30" s="1"/>
  <c r="A17" i="30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52" i="30" s="1"/>
  <c r="A53" i="30" s="1"/>
  <c r="A54" i="30" s="1"/>
  <c r="A55" i="30" s="1"/>
  <c r="A56" i="30" s="1"/>
  <c r="A57" i="30" s="1"/>
  <c r="A58" i="30" s="1"/>
  <c r="A59" i="30" s="1"/>
  <c r="A60" i="30" s="1"/>
  <c r="A61" i="30" s="1"/>
  <c r="A62" i="30" s="1"/>
  <c r="A63" i="30" s="1"/>
  <c r="A64" i="30" s="1"/>
  <c r="A65" i="30" s="1"/>
  <c r="A66" i="30" s="1"/>
  <c r="A67" i="30" s="1"/>
  <c r="A68" i="30" s="1"/>
  <c r="A69" i="30" s="1"/>
  <c r="A70" i="30" s="1"/>
  <c r="A71" i="30" s="1"/>
  <c r="A72" i="30" s="1"/>
  <c r="A73" i="30" s="1"/>
  <c r="A74" i="30" s="1"/>
  <c r="A75" i="30" s="1"/>
  <c r="A76" i="30" s="1"/>
  <c r="A77" i="30" s="1"/>
  <c r="A78" i="30" s="1"/>
  <c r="A79" i="30" s="1"/>
  <c r="A80" i="30" s="1"/>
  <c r="A81" i="30" s="1"/>
  <c r="A82" i="30" s="1"/>
  <c r="A83" i="30" s="1"/>
  <c r="A84" i="30" s="1"/>
  <c r="A85" i="30" s="1"/>
  <c r="A86" i="30" s="1"/>
  <c r="A87" i="30" s="1"/>
  <c r="A88" i="30" s="1"/>
  <c r="A90" i="30" s="1"/>
  <c r="A91" i="30" s="1"/>
  <c r="A92" i="30" s="1"/>
  <c r="A93" i="30" s="1"/>
  <c r="A94" i="30" s="1"/>
  <c r="A95" i="30" s="1"/>
  <c r="A96" i="30" s="1"/>
  <c r="A97" i="30" s="1"/>
  <c r="A98" i="30" s="1"/>
  <c r="A99" i="30" s="1"/>
  <c r="A102" i="30" s="1"/>
  <c r="A103" i="30" s="1"/>
  <c r="A105" i="30" s="1"/>
  <c r="A106" i="30" s="1"/>
  <c r="A108" i="30" s="1"/>
  <c r="A109" i="30" s="1"/>
  <c r="A110" i="30" s="1"/>
  <c r="A111" i="30" s="1"/>
  <c r="A112" i="30" s="1"/>
  <c r="A113" i="30" s="1"/>
  <c r="A114" i="30" s="1"/>
  <c r="A115" i="30" s="1"/>
  <c r="A116" i="30" s="1"/>
  <c r="A117" i="30" s="1"/>
  <c r="A118" i="30" s="1"/>
  <c r="A119" i="30" s="1"/>
  <c r="A120" i="30" s="1"/>
  <c r="A121" i="30" s="1"/>
  <c r="A122" i="30" s="1"/>
  <c r="A123" i="30" s="1"/>
  <c r="A124" i="30" s="1"/>
  <c r="A125" i="30" s="1"/>
  <c r="A126" i="30" s="1"/>
  <c r="A127" i="30" s="1"/>
  <c r="A128" i="30" s="1"/>
  <c r="A129" i="30" s="1"/>
  <c r="A130" i="30" s="1"/>
  <c r="A131" i="30" s="1"/>
  <c r="A132" i="30" s="1"/>
  <c r="A133" i="30" s="1"/>
  <c r="A134" i="30" s="1"/>
  <c r="A135" i="30" s="1"/>
  <c r="A136" i="30" s="1"/>
  <c r="A137" i="30" s="1"/>
  <c r="A138" i="30" s="1"/>
  <c r="A139" i="30" s="1"/>
  <c r="A140" i="30" s="1"/>
  <c r="A142" i="30" s="1"/>
  <c r="A143" i="30" s="1"/>
  <c r="A144" i="30" s="1"/>
  <c r="A145" i="30" s="1"/>
  <c r="A150" i="30" s="1"/>
  <c r="A151" i="30" s="1"/>
  <c r="A152" i="30" s="1"/>
  <c r="A153" i="30" s="1"/>
  <c r="A154" i="30" s="1"/>
  <c r="A155" i="30" s="1"/>
  <c r="A156" i="30" s="1"/>
  <c r="A157" i="30" s="1"/>
  <c r="A158" i="30" s="1"/>
  <c r="A159" i="30" s="1"/>
  <c r="A160" i="30" s="1"/>
  <c r="A161" i="30" s="1"/>
  <c r="A162" i="30" s="1"/>
  <c r="A163" i="30" s="1"/>
  <c r="A164" i="30" s="1"/>
  <c r="A165" i="30" s="1"/>
  <c r="A166" i="30" s="1"/>
  <c r="A167" i="30" s="1"/>
  <c r="A168" i="30" s="1"/>
  <c r="A169" i="30" s="1"/>
  <c r="A170" i="30" s="1"/>
  <c r="A171" i="30" s="1"/>
  <c r="A172" i="30" s="1"/>
  <c r="DM14" i="30"/>
  <c r="DL14" i="30"/>
  <c r="DJ14" i="30"/>
  <c r="N14" i="30"/>
  <c r="CJ14" i="30" s="1"/>
  <c r="DD14" i="30"/>
  <c r="DD147" i="30"/>
  <c r="CR14" i="30"/>
  <c r="Z14" i="30"/>
  <c r="AG14" i="30"/>
  <c r="BW14" i="30"/>
  <c r="BU14" i="30"/>
  <c r="BT14" i="30"/>
  <c r="O14" i="30"/>
  <c r="R14" i="30" s="1"/>
  <c r="BV14" i="30" s="1"/>
  <c r="BP14" i="30"/>
  <c r="BO14" i="30"/>
  <c r="BN14" i="30"/>
  <c r="BM14" i="30"/>
  <c r="BZ14" i="30" s="1"/>
  <c r="BL14" i="30"/>
  <c r="BI14" i="30"/>
  <c r="AM14" i="30"/>
  <c r="BD14" i="30" s="1"/>
  <c r="AW14" i="30"/>
  <c r="AL14" i="30"/>
  <c r="AV14" i="30" s="1"/>
  <c r="AK14" i="30"/>
  <c r="AI14" i="30"/>
  <c r="AJ14" i="30"/>
  <c r="BI13" i="30"/>
  <c r="BI12" i="30"/>
  <c r="D9" i="30"/>
  <c r="E9" i="30"/>
  <c r="F9" i="30" s="1"/>
  <c r="G9" i="30" s="1"/>
  <c r="H9" i="30" s="1"/>
  <c r="I9" i="30" s="1"/>
  <c r="J9" i="30" s="1"/>
  <c r="K9" i="30" s="1"/>
  <c r="L9" i="30" s="1"/>
  <c r="M9" i="30" s="1"/>
  <c r="N9" i="30" s="1"/>
  <c r="O9" i="30" s="1"/>
  <c r="P9" i="30" s="1"/>
  <c r="Q9" i="30" s="1"/>
  <c r="R9" i="30" s="1"/>
  <c r="S9" i="30" s="1"/>
  <c r="T9" i="30" s="1"/>
  <c r="U9" i="30" s="1"/>
  <c r="V9" i="30" s="1"/>
  <c r="W9" i="30" s="1"/>
  <c r="X9" i="30" s="1"/>
  <c r="Y9" i="30" s="1"/>
  <c r="Z9" i="30" s="1"/>
  <c r="AA9" i="30" s="1"/>
  <c r="AB9" i="30" s="1"/>
  <c r="AC9" i="30" s="1"/>
  <c r="AD9" i="30" s="1"/>
  <c r="AE9" i="30" s="1"/>
  <c r="AF9" i="30" s="1"/>
  <c r="AG9" i="30" s="1"/>
  <c r="AH9" i="30" s="1"/>
  <c r="AI9" i="30" s="1"/>
  <c r="AJ9" i="30" s="1"/>
  <c r="AK9" i="30" s="1"/>
  <c r="AL9" i="30" s="1"/>
  <c r="AM9" i="30" s="1"/>
  <c r="AN9" i="30" s="1"/>
  <c r="AO9" i="30" s="1"/>
  <c r="AP9" i="30" s="1"/>
  <c r="AQ9" i="30" s="1"/>
  <c r="AR9" i="30" s="1"/>
  <c r="AS9" i="30" s="1"/>
  <c r="AT9" i="30" s="1"/>
  <c r="AU9" i="30" s="1"/>
  <c r="AV9" i="30" s="1"/>
  <c r="AW9" i="30" s="1"/>
  <c r="AX9" i="30" s="1"/>
  <c r="AY9" i="30" s="1"/>
  <c r="AZ9" i="30" s="1"/>
  <c r="BA9" i="30" s="1"/>
  <c r="BB9" i="30" s="1"/>
  <c r="BC9" i="30" s="1"/>
  <c r="BD9" i="30" s="1"/>
  <c r="BE9" i="30" s="1"/>
  <c r="BF9" i="30" s="1"/>
  <c r="BG9" i="30" s="1"/>
  <c r="BH9" i="30" s="1"/>
  <c r="BI9" i="30" s="1"/>
  <c r="BL9" i="30" s="1"/>
  <c r="BM9" i="30" s="1"/>
  <c r="BN9" i="30" s="1"/>
  <c r="BO9" i="30" s="1"/>
  <c r="BP9" i="30" s="1"/>
  <c r="BQ9" i="30" s="1"/>
  <c r="BR9" i="30" s="1"/>
  <c r="BS9" i="30" s="1"/>
  <c r="BT9" i="30" s="1"/>
  <c r="BU9" i="30" s="1"/>
  <c r="BV9" i="30" s="1"/>
  <c r="BW9" i="30" s="1"/>
  <c r="BX9" i="30" s="1"/>
  <c r="BY9" i="30" s="1"/>
  <c r="BZ9" i="30" s="1"/>
  <c r="CA9" i="30" s="1"/>
  <c r="CB9" i="30" s="1"/>
  <c r="CC9" i="30" s="1"/>
  <c r="CD9" i="30" s="1"/>
  <c r="CE9" i="30" s="1"/>
  <c r="CF9" i="30" s="1"/>
  <c r="CG9" i="30" s="1"/>
  <c r="CH9" i="30" s="1"/>
  <c r="CI9" i="30" s="1"/>
  <c r="CJ9" i="30" s="1"/>
  <c r="CK9" i="30" s="1"/>
  <c r="CL9" i="30" s="1"/>
  <c r="CO9" i="30" s="1"/>
  <c r="CP9" i="30" s="1"/>
  <c r="CQ9" i="30" s="1"/>
  <c r="CR9" i="30" s="1"/>
  <c r="CS9" i="30" s="1"/>
  <c r="CT9" i="30" s="1"/>
  <c r="CU9" i="30" s="1"/>
  <c r="CV9" i="30" s="1"/>
  <c r="CW9" i="30" s="1"/>
  <c r="CX9" i="30" s="1"/>
  <c r="CY9" i="30" s="1"/>
  <c r="CZ9" i="30" s="1"/>
  <c r="DA9" i="30" s="1"/>
  <c r="DB9" i="30" s="1"/>
  <c r="DI8" i="30"/>
  <c r="DH8" i="30"/>
  <c r="CQ8" i="30"/>
  <c r="AN8" i="30"/>
  <c r="AC8" i="30"/>
  <c r="AA8" i="30"/>
  <c r="V8" i="30"/>
  <c r="U8" i="30"/>
  <c r="T8" i="30"/>
  <c r="CL7" i="30"/>
  <c r="O7" i="30"/>
  <c r="BH7" i="30" s="1"/>
  <c r="BG7" i="30"/>
  <c r="R7" i="30"/>
  <c r="N7" i="30"/>
  <c r="M7" i="30"/>
  <c r="H7" i="30"/>
  <c r="CK5" i="30"/>
  <c r="CJ5" i="30"/>
  <c r="D1" i="30"/>
  <c r="E1" i="30"/>
  <c r="F1" i="30"/>
  <c r="G1" i="30" s="1"/>
  <c r="H1" i="30" s="1"/>
  <c r="I1" i="30"/>
  <c r="J1" i="30" s="1"/>
  <c r="K1" i="30" s="1"/>
  <c r="L1" i="30" s="1"/>
  <c r="M1" i="30" s="1"/>
  <c r="N1" i="30" s="1"/>
  <c r="O1" i="30" s="1"/>
  <c r="P1" i="30" s="1"/>
  <c r="Q1" i="30" s="1"/>
  <c r="R1" i="30" s="1"/>
  <c r="S1" i="30" s="1"/>
  <c r="T1" i="30" s="1"/>
  <c r="U1" i="30" s="1"/>
  <c r="V1" i="30" s="1"/>
  <c r="W1" i="30" s="1"/>
  <c r="X1" i="30" s="1"/>
  <c r="Y1" i="30" s="1"/>
  <c r="Z1" i="30" s="1"/>
  <c r="AA1" i="30" s="1"/>
  <c r="AB1" i="30" s="1"/>
  <c r="AC1" i="30" s="1"/>
  <c r="AD1" i="30" s="1"/>
  <c r="AE1" i="30" s="1"/>
  <c r="AF1" i="30" s="1"/>
  <c r="AG1" i="30" s="1"/>
  <c r="AH1" i="30" s="1"/>
  <c r="AI1" i="30" s="1"/>
  <c r="AJ1" i="30" s="1"/>
  <c r="AK1" i="30" s="1"/>
  <c r="AL1" i="30" s="1"/>
  <c r="AM1" i="30" s="1"/>
  <c r="AN1" i="30" s="1"/>
  <c r="AO1" i="30" s="1"/>
  <c r="AP1" i="30" s="1"/>
  <c r="AQ1" i="30" s="1"/>
  <c r="AR1" i="30" s="1"/>
  <c r="AS1" i="30" s="1"/>
  <c r="AT1" i="30" s="1"/>
  <c r="AU1" i="30" s="1"/>
  <c r="AV1" i="30" s="1"/>
  <c r="AW1" i="30" s="1"/>
  <c r="AX1" i="30" s="1"/>
  <c r="AY1" i="30" s="1"/>
  <c r="AZ1" i="30" s="1"/>
  <c r="BA1" i="30" s="1"/>
  <c r="BB1" i="30" s="1"/>
  <c r="BC1" i="30" s="1"/>
  <c r="BD1" i="30" s="1"/>
  <c r="BE1" i="30" s="1"/>
  <c r="BF1" i="30" s="1"/>
  <c r="BG1" i="30" s="1"/>
  <c r="BH1" i="30" s="1"/>
  <c r="BI1" i="30" s="1"/>
  <c r="BL1" i="30" s="1"/>
  <c r="BM1" i="30" s="1"/>
  <c r="BN1" i="30" s="1"/>
  <c r="BO1" i="30" s="1"/>
  <c r="BP1" i="30" s="1"/>
  <c r="BQ1" i="30" s="1"/>
  <c r="BR1" i="30" s="1"/>
  <c r="BS1" i="30" s="1"/>
  <c r="BT1" i="30" s="1"/>
  <c r="BU1" i="30" s="1"/>
  <c r="BV1" i="30" s="1"/>
  <c r="BW1" i="30" s="1"/>
  <c r="BX1" i="30" s="1"/>
  <c r="BY1" i="30" s="1"/>
  <c r="BZ1" i="30" s="1"/>
  <c r="CA1" i="30" s="1"/>
  <c r="CB1" i="30" s="1"/>
  <c r="CC1" i="30" s="1"/>
  <c r="CD1" i="30" s="1"/>
  <c r="CE1" i="30" s="1"/>
  <c r="CF1" i="30" s="1"/>
  <c r="CG1" i="30" s="1"/>
  <c r="CH1" i="30" s="1"/>
  <c r="CI1" i="30" s="1"/>
  <c r="CJ1" i="30" s="1"/>
  <c r="CK1" i="30" s="1"/>
  <c r="CL1" i="30" s="1"/>
  <c r="CO1" i="30" s="1"/>
  <c r="CP1" i="30" s="1"/>
  <c r="CQ1" i="30" s="1"/>
  <c r="CR1" i="30" s="1"/>
  <c r="CS1" i="30" s="1"/>
  <c r="CT1" i="30" s="1"/>
  <c r="CU1" i="30" s="1"/>
  <c r="CV1" i="30" s="1"/>
  <c r="CW1" i="30" s="1"/>
  <c r="CX1" i="30" s="1"/>
  <c r="CY1" i="30" s="1"/>
  <c r="CZ1" i="30" s="1"/>
  <c r="DA1" i="30" s="1"/>
  <c r="DB1" i="30" s="1"/>
  <c r="S169" i="29"/>
  <c r="I129" i="29"/>
  <c r="I156" i="29"/>
  <c r="DB151" i="29"/>
  <c r="DB150" i="29"/>
  <c r="DB149" i="29"/>
  <c r="DB148" i="29"/>
  <c r="DG147" i="29"/>
  <c r="DH147" i="29"/>
  <c r="DI147" i="29" s="1"/>
  <c r="DB147" i="29"/>
  <c r="AD136" i="29"/>
  <c r="AD147" i="29" s="1"/>
  <c r="AD139" i="29"/>
  <c r="DH146" i="29"/>
  <c r="DI146" i="29" s="1"/>
  <c r="DG146" i="29"/>
  <c r="DB146" i="29"/>
  <c r="AB146" i="29"/>
  <c r="DG145" i="29"/>
  <c r="DH145" i="29"/>
  <c r="DI145" i="29" s="1"/>
  <c r="DH144" i="29"/>
  <c r="DG144" i="29"/>
  <c r="DF143" i="29"/>
  <c r="DE143" i="29"/>
  <c r="DD143" i="29"/>
  <c r="DC143" i="29"/>
  <c r="DA143" i="29"/>
  <c r="CI143" i="29"/>
  <c r="BK143" i="29"/>
  <c r="BJ143" i="29"/>
  <c r="DG142" i="29"/>
  <c r="DH142" i="29"/>
  <c r="DI142" i="29"/>
  <c r="DH141" i="29"/>
  <c r="DG141" i="29"/>
  <c r="DI141" i="29" s="1"/>
  <c r="N141" i="29"/>
  <c r="CT141" i="29"/>
  <c r="CG141" i="29"/>
  <c r="CH141" i="29" s="1"/>
  <c r="CA141" i="29"/>
  <c r="CD141" i="29"/>
  <c r="BZ141" i="29"/>
  <c r="CC141" i="29"/>
  <c r="BW141" i="29"/>
  <c r="BX141" i="29" s="1"/>
  <c r="BY141" i="29" s="1"/>
  <c r="AL141" i="29"/>
  <c r="AG141" i="29"/>
  <c r="Z141" i="29"/>
  <c r="DH140" i="29"/>
  <c r="DB140" i="29"/>
  <c r="U140" i="29"/>
  <c r="Z140" i="29" s="1"/>
  <c r="AB140" i="29"/>
  <c r="AG140" i="29"/>
  <c r="CK140" i="29" s="1"/>
  <c r="BW140" i="29"/>
  <c r="BV140" i="29"/>
  <c r="BU140" i="29"/>
  <c r="BS140" i="29"/>
  <c r="BO140" i="29"/>
  <c r="BN140" i="29"/>
  <c r="CA140" i="29" s="1"/>
  <c r="CD140" i="29" s="1"/>
  <c r="AK140" i="29"/>
  <c r="BL140" i="29"/>
  <c r="BI140" i="29"/>
  <c r="BB140" i="29"/>
  <c r="AL140" i="29"/>
  <c r="AV140" i="29" s="1"/>
  <c r="AU140" i="29"/>
  <c r="AM140" i="29"/>
  <c r="BD140" i="29"/>
  <c r="BC140" i="29"/>
  <c r="AI140" i="29"/>
  <c r="CS140" i="29"/>
  <c r="M140" i="29"/>
  <c r="DH139" i="29"/>
  <c r="DG139" i="29"/>
  <c r="DI139" i="29" s="1"/>
  <c r="DB139" i="29"/>
  <c r="BW139" i="29"/>
  <c r="AB139" i="29"/>
  <c r="BT139" i="29" s="1"/>
  <c r="BS139" i="29"/>
  <c r="BP139" i="29"/>
  <c r="BL139" i="29"/>
  <c r="BI139" i="29"/>
  <c r="AM139" i="29"/>
  <c r="AW139" i="29" s="1"/>
  <c r="BD139" i="29"/>
  <c r="AI139" i="29"/>
  <c r="W139" i="29"/>
  <c r="BV139" i="29"/>
  <c r="U139" i="29"/>
  <c r="DH138" i="29"/>
  <c r="DG138" i="29"/>
  <c r="DB138" i="29"/>
  <c r="AJ138" i="29"/>
  <c r="AK138" i="29"/>
  <c r="CW138" i="29" s="1"/>
  <c r="CS138" i="29"/>
  <c r="AI138" i="29"/>
  <c r="AL138" i="29"/>
  <c r="AV138" i="29" s="1"/>
  <c r="CQ138" i="29"/>
  <c r="CP138" i="29"/>
  <c r="AG138" i="29"/>
  <c r="CK138" i="29"/>
  <c r="Z138" i="29"/>
  <c r="CJ138" i="29"/>
  <c r="CG138" i="29"/>
  <c r="CH138" i="29" s="1"/>
  <c r="BN138" i="29"/>
  <c r="BU138" i="29"/>
  <c r="CA138" i="29"/>
  <c r="CD138" i="29"/>
  <c r="BS138" i="29"/>
  <c r="BT138" i="29"/>
  <c r="BV138" i="29"/>
  <c r="BX138" i="29" s="1"/>
  <c r="BY138" i="29" s="1"/>
  <c r="BW138" i="29"/>
  <c r="BM138" i="29"/>
  <c r="BZ138" i="29" s="1"/>
  <c r="BP138" i="29"/>
  <c r="BO138" i="29"/>
  <c r="BL138" i="29"/>
  <c r="BQ138" i="29"/>
  <c r="BR138" i="29" s="1"/>
  <c r="BA138" i="29"/>
  <c r="AZ138" i="29"/>
  <c r="AU138" i="29"/>
  <c r="AT138" i="29"/>
  <c r="AM138" i="29"/>
  <c r="BD138" i="29" s="1"/>
  <c r="BB138" i="29"/>
  <c r="CZ138" i="29"/>
  <c r="AH138" i="29"/>
  <c r="CM138" i="29"/>
  <c r="DH137" i="29"/>
  <c r="DG137" i="29"/>
  <c r="DI137" i="29" s="1"/>
  <c r="DB137" i="29"/>
  <c r="AJ137" i="29"/>
  <c r="AK137" i="29"/>
  <c r="CV137" i="29" s="1"/>
  <c r="CS137" i="29"/>
  <c r="CP137" i="29"/>
  <c r="AI137" i="29"/>
  <c r="AL137" i="29"/>
  <c r="CO137" i="29"/>
  <c r="Z137" i="29"/>
  <c r="CJ137" i="29"/>
  <c r="CG137" i="29"/>
  <c r="CH137" i="29"/>
  <c r="BW137" i="29"/>
  <c r="BV137" i="29"/>
  <c r="BU137" i="29"/>
  <c r="BT137" i="29"/>
  <c r="BS137" i="29"/>
  <c r="BX137" i="29" s="1"/>
  <c r="BY137" i="29" s="1"/>
  <c r="BL137" i="29"/>
  <c r="BQ137" i="29" s="1"/>
  <c r="BR137" i="29" s="1"/>
  <c r="BM137" i="29"/>
  <c r="BN137" i="29"/>
  <c r="CA137" i="29" s="1"/>
  <c r="CD137" i="29" s="1"/>
  <c r="BO137" i="29"/>
  <c r="BP137" i="29"/>
  <c r="BZ137" i="29"/>
  <c r="BC137" i="29"/>
  <c r="AZ137" i="29"/>
  <c r="AV137" i="29"/>
  <c r="AT137" i="29"/>
  <c r="AS137" i="29"/>
  <c r="AN137" i="29"/>
  <c r="AM137" i="29"/>
  <c r="BD137" i="29" s="1"/>
  <c r="BB137" i="29"/>
  <c r="CY137" i="29"/>
  <c r="CZ137" i="29"/>
  <c r="AG137" i="29"/>
  <c r="AH137" i="29" s="1"/>
  <c r="M136" i="29"/>
  <c r="DG136" i="29" s="1"/>
  <c r="X136" i="29"/>
  <c r="N136" i="29"/>
  <c r="DB136" i="29"/>
  <c r="BT136" i="29"/>
  <c r="V136" i="29"/>
  <c r="BN136" i="29" s="1"/>
  <c r="BM136" i="29"/>
  <c r="BZ136" i="29"/>
  <c r="CC136" i="29" s="1"/>
  <c r="AJ136" i="29"/>
  <c r="BA136" i="29" s="1"/>
  <c r="BI136" i="29"/>
  <c r="AT136" i="29"/>
  <c r="AA136" i="29"/>
  <c r="AG136" i="29" s="1"/>
  <c r="AC136" i="29"/>
  <c r="AC156" i="29" s="1"/>
  <c r="O136" i="29"/>
  <c r="CG136" i="29"/>
  <c r="T136" i="29"/>
  <c r="BL136" i="29" s="1"/>
  <c r="Q136" i="29"/>
  <c r="DH135" i="29"/>
  <c r="DI135" i="29" s="1"/>
  <c r="DG135" i="29"/>
  <c r="AJ135" i="29"/>
  <c r="AK135" i="29"/>
  <c r="CW135" i="29" s="1"/>
  <c r="N135" i="29"/>
  <c r="AA135" i="29"/>
  <c r="AG135" i="29"/>
  <c r="CK135" i="29"/>
  <c r="BW135" i="29"/>
  <c r="BU135" i="29"/>
  <c r="BT135" i="29"/>
  <c r="BP135" i="29"/>
  <c r="BN135" i="29"/>
  <c r="CA135" i="29" s="1"/>
  <c r="CD135" i="29" s="1"/>
  <c r="BM135" i="29"/>
  <c r="BZ135" i="29" s="1"/>
  <c r="I135" i="29"/>
  <c r="T135" i="29"/>
  <c r="BL135" i="29"/>
  <c r="AM135" i="29"/>
  <c r="AW135" i="29" s="1"/>
  <c r="R135" i="29"/>
  <c r="AL135" i="29"/>
  <c r="Z135" i="29"/>
  <c r="AH135" i="29" s="1"/>
  <c r="AI135" i="29"/>
  <c r="BV135" i="29"/>
  <c r="O135" i="29"/>
  <c r="BH135" i="29"/>
  <c r="DB135" i="29"/>
  <c r="L135" i="29"/>
  <c r="AV135" i="29"/>
  <c r="H135" i="29"/>
  <c r="CJ135" i="29"/>
  <c r="CL135" i="29" s="1"/>
  <c r="DH134" i="29"/>
  <c r="DG134" i="29"/>
  <c r="DI134" i="29" s="1"/>
  <c r="DB134" i="29"/>
  <c r="AJ134" i="29"/>
  <c r="AT134" i="29" s="1"/>
  <c r="AK134" i="29"/>
  <c r="AU134" i="29" s="1"/>
  <c r="CS134" i="29"/>
  <c r="CP134" i="29"/>
  <c r="AI134" i="29"/>
  <c r="CO134" i="29" s="1"/>
  <c r="AL134" i="29"/>
  <c r="CG134" i="29"/>
  <c r="CH134" i="29" s="1"/>
  <c r="BW134" i="29"/>
  <c r="BV134" i="29"/>
  <c r="BU134" i="29"/>
  <c r="BN134" i="29"/>
  <c r="CA134" i="29" s="1"/>
  <c r="CD134" i="29" s="1"/>
  <c r="BT134" i="29"/>
  <c r="BZ134" i="29" s="1"/>
  <c r="CC134" i="29" s="1"/>
  <c r="BS134" i="29"/>
  <c r="BP134" i="29"/>
  <c r="BO134" i="29"/>
  <c r="BL134" i="29"/>
  <c r="BQ134" i="29" s="1"/>
  <c r="BR134" i="29" s="1"/>
  <c r="BM134" i="29"/>
  <c r="BI134" i="29"/>
  <c r="BA134" i="29"/>
  <c r="AZ134" i="29"/>
  <c r="AS134" i="29"/>
  <c r="AM134" i="29"/>
  <c r="AG134" i="29"/>
  <c r="CK134" i="29" s="1"/>
  <c r="Z134" i="29"/>
  <c r="CM134" i="29"/>
  <c r="DH133" i="29"/>
  <c r="DG133" i="29"/>
  <c r="DI133" i="29" s="1"/>
  <c r="N133" i="29"/>
  <c r="DB133" i="29" s="1"/>
  <c r="AJ133" i="29"/>
  <c r="AK133" i="29"/>
  <c r="CV133" i="29"/>
  <c r="CP133" i="29"/>
  <c r="AI133" i="29"/>
  <c r="AL133" i="29"/>
  <c r="CO133" i="29"/>
  <c r="BW133" i="29"/>
  <c r="R133" i="29"/>
  <c r="BV133" i="29" s="1"/>
  <c r="BU133" i="29"/>
  <c r="BN133" i="29"/>
  <c r="CA133" i="29" s="1"/>
  <c r="CD133" i="29" s="1"/>
  <c r="BT133" i="29"/>
  <c r="BP133" i="29"/>
  <c r="BO133" i="29"/>
  <c r="BM133" i="29"/>
  <c r="BZ133" i="29"/>
  <c r="CC133" i="29" s="1"/>
  <c r="BL133" i="29"/>
  <c r="BI133" i="29"/>
  <c r="BB133" i="29"/>
  <c r="BA133" i="29"/>
  <c r="AU133" i="29"/>
  <c r="AT133" i="29"/>
  <c r="AS133" i="29"/>
  <c r="AM133" i="29"/>
  <c r="CZ133" i="29"/>
  <c r="CW133" i="29"/>
  <c r="CY133" i="29"/>
  <c r="AG133" i="29"/>
  <c r="Z133" i="29"/>
  <c r="DG132" i="29"/>
  <c r="DI132" i="29" s="1"/>
  <c r="DH132" i="29"/>
  <c r="CP132" i="29"/>
  <c r="BW132" i="29"/>
  <c r="BU132" i="29"/>
  <c r="CA132" i="29" s="1"/>
  <c r="CD132" i="29" s="1"/>
  <c r="BT132" i="29"/>
  <c r="BP132" i="29"/>
  <c r="BO132" i="29"/>
  <c r="BN132" i="29"/>
  <c r="AK132" i="29"/>
  <c r="BM132" i="29"/>
  <c r="BZ132" i="29" s="1"/>
  <c r="BL132" i="29"/>
  <c r="BI132" i="29"/>
  <c r="AM132" i="29"/>
  <c r="BD132" i="29" s="1"/>
  <c r="BB132" i="29"/>
  <c r="AW132" i="29"/>
  <c r="AL132" i="29"/>
  <c r="AV132" i="29"/>
  <c r="AI132" i="29"/>
  <c r="AJ132" i="29"/>
  <c r="AQ132" i="29"/>
  <c r="AU132" i="29"/>
  <c r="AG132" i="29"/>
  <c r="Z132" i="29"/>
  <c r="CJ132" i="29"/>
  <c r="N132" i="29"/>
  <c r="O132" i="29" s="1"/>
  <c r="DH131" i="29"/>
  <c r="DG131" i="29"/>
  <c r="DI131" i="29" s="1"/>
  <c r="H131" i="29"/>
  <c r="N131" i="29" s="1"/>
  <c r="CG131" i="29"/>
  <c r="BU131" i="29"/>
  <c r="BT131" i="29"/>
  <c r="BS131" i="29"/>
  <c r="BN131" i="29"/>
  <c r="CA131" i="29" s="1"/>
  <c r="BM131" i="29"/>
  <c r="BZ131" i="29" s="1"/>
  <c r="CC131" i="29" s="1"/>
  <c r="AJ131" i="29"/>
  <c r="BL131" i="29"/>
  <c r="BI131" i="29"/>
  <c r="AM131" i="29"/>
  <c r="BD131" i="29"/>
  <c r="AI131" i="29"/>
  <c r="AS131" i="29" s="1"/>
  <c r="AW131" i="29"/>
  <c r="AL131" i="29"/>
  <c r="AK131" i="29"/>
  <c r="AG131" i="29"/>
  <c r="Z131" i="29"/>
  <c r="AH131" i="29" s="1"/>
  <c r="DH130" i="29"/>
  <c r="DG130" i="29"/>
  <c r="DI130" i="29" s="1"/>
  <c r="DB130" i="29"/>
  <c r="AJ130" i="29"/>
  <c r="CW130" i="29" s="1"/>
  <c r="AK130" i="29"/>
  <c r="AU130" i="29" s="1"/>
  <c r="CS130" i="29"/>
  <c r="CP130" i="29"/>
  <c r="AG130" i="29"/>
  <c r="CK130" i="29"/>
  <c r="Z130" i="29"/>
  <c r="AH130" i="29" s="1"/>
  <c r="CG130" i="29"/>
  <c r="CH130" i="29"/>
  <c r="BS130" i="29"/>
  <c r="BT130" i="29"/>
  <c r="BX130" i="29" s="1"/>
  <c r="BY130" i="29" s="1"/>
  <c r="BU130" i="29"/>
  <c r="BV130" i="29"/>
  <c r="BW130" i="29"/>
  <c r="BP130" i="29"/>
  <c r="BO130" i="29"/>
  <c r="BN130" i="29"/>
  <c r="CA130" i="29"/>
  <c r="CD130" i="29"/>
  <c r="BM130" i="29"/>
  <c r="BZ130" i="29"/>
  <c r="BL130" i="29"/>
  <c r="BQ130" i="29" s="1"/>
  <c r="BR130" i="29" s="1"/>
  <c r="BI130" i="29"/>
  <c r="AM130" i="29"/>
  <c r="BD130" i="29"/>
  <c r="AL130" i="29"/>
  <c r="AV130" i="29" s="1"/>
  <c r="BB130" i="29"/>
  <c r="BA130" i="29"/>
  <c r="AW130" i="29"/>
  <c r="AI130" i="29"/>
  <c r="AT130" i="29"/>
  <c r="DH129" i="29"/>
  <c r="DG129" i="29"/>
  <c r="O129" i="29"/>
  <c r="CQ129" i="29" s="1"/>
  <c r="AI129" i="29"/>
  <c r="AS129" i="29" s="1"/>
  <c r="AJ129" i="29"/>
  <c r="AK129" i="29"/>
  <c r="AL129" i="29"/>
  <c r="CP129" i="29"/>
  <c r="N129" i="29"/>
  <c r="AG129" i="29"/>
  <c r="CK129" i="29"/>
  <c r="H129" i="29"/>
  <c r="CJ129" i="29" s="1"/>
  <c r="Z129" i="29"/>
  <c r="BW129" i="29"/>
  <c r="BV129" i="29"/>
  <c r="BU129" i="29"/>
  <c r="BT129" i="29"/>
  <c r="BP129" i="29"/>
  <c r="BO129" i="29"/>
  <c r="BN129" i="29"/>
  <c r="CA129" i="29" s="1"/>
  <c r="BM129" i="29"/>
  <c r="BQ129" i="29" s="1"/>
  <c r="BZ129" i="29"/>
  <c r="BL129" i="29"/>
  <c r="BR129" i="29"/>
  <c r="AM129" i="29"/>
  <c r="BD129" i="29"/>
  <c r="BC129" i="29"/>
  <c r="AW129" i="29"/>
  <c r="AV129" i="29"/>
  <c r="AH129" i="29"/>
  <c r="DB129" i="29"/>
  <c r="H156" i="29"/>
  <c r="S128" i="29"/>
  <c r="DH128" i="29"/>
  <c r="M128" i="29"/>
  <c r="BP128" i="29" s="1"/>
  <c r="AJ128" i="29"/>
  <c r="CW128" i="29" s="1"/>
  <c r="AK128" i="29"/>
  <c r="N128" i="29"/>
  <c r="AG128" i="29"/>
  <c r="CK128" i="29"/>
  <c r="I128" i="29"/>
  <c r="H128" i="29"/>
  <c r="CJ128" i="29" s="1"/>
  <c r="Z128" i="29"/>
  <c r="AH128" i="29" s="1"/>
  <c r="BW128" i="29"/>
  <c r="BU128" i="29"/>
  <c r="BT128" i="29"/>
  <c r="BN128" i="29"/>
  <c r="CA128" i="29" s="1"/>
  <c r="CD128" i="29" s="1"/>
  <c r="BM128" i="29"/>
  <c r="BZ128" i="29"/>
  <c r="BL128" i="29"/>
  <c r="BI128" i="29"/>
  <c r="BB128" i="29"/>
  <c r="BA128" i="29"/>
  <c r="AM128" i="29"/>
  <c r="AU128" i="29"/>
  <c r="AL128" i="29"/>
  <c r="AT128" i="29"/>
  <c r="AI128" i="29"/>
  <c r="BD128" i="29"/>
  <c r="O128" i="29"/>
  <c r="DB128" i="29"/>
  <c r="DG127" i="29"/>
  <c r="DI127" i="29" s="1"/>
  <c r="DH127" i="29"/>
  <c r="H127" i="29"/>
  <c r="Z127" i="29"/>
  <c r="N127" i="29"/>
  <c r="AG127" i="29"/>
  <c r="CM127" i="29"/>
  <c r="BM127" i="29"/>
  <c r="BZ127" i="29" s="1"/>
  <c r="BT127" i="29"/>
  <c r="BW127" i="29"/>
  <c r="BV127" i="29"/>
  <c r="BU127" i="29"/>
  <c r="BP127" i="29"/>
  <c r="BO127" i="29"/>
  <c r="BN127" i="29"/>
  <c r="CA127" i="29" s="1"/>
  <c r="BI127" i="29"/>
  <c r="AM127" i="29"/>
  <c r="BD127" i="29"/>
  <c r="AL127" i="29"/>
  <c r="AV127" i="29" s="1"/>
  <c r="AW127" i="29"/>
  <c r="I127" i="29"/>
  <c r="AS127" i="29" s="1"/>
  <c r="AI127" i="29"/>
  <c r="AK127" i="29"/>
  <c r="AJ127" i="29"/>
  <c r="AH127" i="29"/>
  <c r="O127" i="29"/>
  <c r="CK127" i="29"/>
  <c r="BL127" i="29"/>
  <c r="BQ127" i="29" s="1"/>
  <c r="BR127" i="29" s="1"/>
  <c r="CJ127" i="29"/>
  <c r="DH126" i="29"/>
  <c r="DG126" i="29"/>
  <c r="DB126" i="29"/>
  <c r="AJ126" i="29"/>
  <c r="AK126" i="29"/>
  <c r="CW126" i="29"/>
  <c r="CV126" i="29"/>
  <c r="CS126" i="29"/>
  <c r="AI126" i="29"/>
  <c r="AL126" i="29"/>
  <c r="CQ126" i="29"/>
  <c r="CP126" i="29"/>
  <c r="AG126" i="29"/>
  <c r="CK126" i="29" s="1"/>
  <c r="Z126" i="29"/>
  <c r="CJ126" i="29"/>
  <c r="CL126" i="29" s="1"/>
  <c r="CG126" i="29"/>
  <c r="CH126" i="29" s="1"/>
  <c r="BS126" i="29"/>
  <c r="BX126" i="29" s="1"/>
  <c r="BY126" i="29" s="1"/>
  <c r="BT126" i="29"/>
  <c r="BU126" i="29"/>
  <c r="BV126" i="29"/>
  <c r="BW126" i="29"/>
  <c r="BP126" i="29"/>
  <c r="BO126" i="29"/>
  <c r="BN126" i="29"/>
  <c r="CA126" i="29"/>
  <c r="CD126" i="29" s="1"/>
  <c r="BM126" i="29"/>
  <c r="BZ126" i="29" s="1"/>
  <c r="BL126" i="29"/>
  <c r="BQ126" i="29"/>
  <c r="BR126" i="29" s="1"/>
  <c r="BI126" i="29"/>
  <c r="AM126" i="29"/>
  <c r="BD126" i="29" s="1"/>
  <c r="BC126" i="29"/>
  <c r="BB126" i="29"/>
  <c r="BA126" i="29"/>
  <c r="AW126" i="29"/>
  <c r="AV126" i="29"/>
  <c r="AU126" i="29"/>
  <c r="AP126" i="29"/>
  <c r="AT126" i="29"/>
  <c r="AH126" i="29"/>
  <c r="CM126" i="29"/>
  <c r="DH125" i="29"/>
  <c r="DG125" i="29"/>
  <c r="DB125" i="29"/>
  <c r="AJ125" i="29"/>
  <c r="AK125" i="29"/>
  <c r="CW125" i="29"/>
  <c r="CV125" i="29"/>
  <c r="CX125" i="29" s="1"/>
  <c r="CS125" i="29"/>
  <c r="CP125" i="29"/>
  <c r="AG125" i="29"/>
  <c r="CK125" i="29" s="1"/>
  <c r="CL125" i="29" s="1"/>
  <c r="Z125" i="29"/>
  <c r="CJ125" i="29"/>
  <c r="CG125" i="29"/>
  <c r="CH125" i="29" s="1"/>
  <c r="BS125" i="29"/>
  <c r="BT125" i="29"/>
  <c r="BU125" i="29"/>
  <c r="CA125" i="29" s="1"/>
  <c r="CD125" i="29" s="1"/>
  <c r="BV125" i="29"/>
  <c r="BW125" i="29"/>
  <c r="BX125" i="29"/>
  <c r="BY125" i="29" s="1"/>
  <c r="BP125" i="29"/>
  <c r="BO125" i="29"/>
  <c r="BN125" i="29"/>
  <c r="BM125" i="29"/>
  <c r="BZ125" i="29"/>
  <c r="BL125" i="29"/>
  <c r="BQ125" i="29" s="1"/>
  <c r="BR125" i="29" s="1"/>
  <c r="BI125" i="29"/>
  <c r="AM125" i="29"/>
  <c r="BD125" i="29" s="1"/>
  <c r="AL125" i="29"/>
  <c r="BC125" i="29"/>
  <c r="BB125" i="29"/>
  <c r="BA125" i="29"/>
  <c r="AW125" i="29"/>
  <c r="AV125" i="29"/>
  <c r="AU125" i="29"/>
  <c r="AI125" i="29"/>
  <c r="AH125" i="29"/>
  <c r="CM125" i="29"/>
  <c r="DH124" i="29"/>
  <c r="DI124" i="29" s="1"/>
  <c r="DG124" i="29"/>
  <c r="DB124" i="29"/>
  <c r="AJ124" i="29"/>
  <c r="AK124" i="29"/>
  <c r="CW124" i="29"/>
  <c r="CV124" i="29"/>
  <c r="CS124" i="29"/>
  <c r="CP124" i="29"/>
  <c r="AG124" i="29"/>
  <c r="Z124" i="29"/>
  <c r="CJ124" i="29" s="1"/>
  <c r="CG124" i="29"/>
  <c r="CH124" i="29"/>
  <c r="BW124" i="29"/>
  <c r="BS124" i="29"/>
  <c r="BT124" i="29"/>
  <c r="BX124" i="29" s="1"/>
  <c r="BY124" i="29" s="1"/>
  <c r="BU124" i="29"/>
  <c r="CA124" i="29" s="1"/>
  <c r="CD124" i="29" s="1"/>
  <c r="BV124" i="29"/>
  <c r="BL124" i="29"/>
  <c r="BM124" i="29"/>
  <c r="BZ124" i="29" s="1"/>
  <c r="BN124" i="29"/>
  <c r="BO124" i="29"/>
  <c r="BP124" i="29"/>
  <c r="BQ124" i="29"/>
  <c r="BR124" i="29" s="1"/>
  <c r="BI124" i="29"/>
  <c r="AM124" i="29"/>
  <c r="AL124" i="29"/>
  <c r="BC124" i="29" s="1"/>
  <c r="BB124" i="29"/>
  <c r="BA124" i="29"/>
  <c r="AV124" i="29"/>
  <c r="AU124" i="29"/>
  <c r="AT124" i="29"/>
  <c r="AI124" i="29"/>
  <c r="AH124" i="29"/>
  <c r="DH123" i="29"/>
  <c r="DG123" i="29"/>
  <c r="DB123" i="29"/>
  <c r="AJ123" i="29"/>
  <c r="CW123" i="29" s="1"/>
  <c r="AK123" i="29"/>
  <c r="CV123" i="29"/>
  <c r="CS123" i="29"/>
  <c r="AI123" i="29"/>
  <c r="AL123" i="29"/>
  <c r="AV123" i="29" s="1"/>
  <c r="CQ123" i="29"/>
  <c r="CP123" i="29"/>
  <c r="AG123" i="29"/>
  <c r="CK123" i="29" s="1"/>
  <c r="Z123" i="29"/>
  <c r="CJ123" i="29"/>
  <c r="CG123" i="29"/>
  <c r="CH123" i="29" s="1"/>
  <c r="BM123" i="29"/>
  <c r="BZ123" i="29" s="1"/>
  <c r="BT123" i="29"/>
  <c r="BS123" i="29"/>
  <c r="BX123" i="29" s="1"/>
  <c r="BY123" i="29" s="1"/>
  <c r="BU123" i="29"/>
  <c r="BV123" i="29"/>
  <c r="BW123" i="29"/>
  <c r="BP123" i="29"/>
  <c r="BO123" i="29"/>
  <c r="BN123" i="29"/>
  <c r="CA123" i="29"/>
  <c r="CD123" i="29" s="1"/>
  <c r="BL123" i="29"/>
  <c r="BQ123" i="29" s="1"/>
  <c r="BR123" i="29" s="1"/>
  <c r="BI123" i="29"/>
  <c r="AM123" i="29"/>
  <c r="BD123" i="29"/>
  <c r="BC123" i="29"/>
  <c r="BB123" i="29"/>
  <c r="BA123" i="29"/>
  <c r="AW123" i="29"/>
  <c r="AU123" i="29"/>
  <c r="AO123" i="29"/>
  <c r="AT123" i="29"/>
  <c r="AH123" i="29"/>
  <c r="CM123" i="29"/>
  <c r="DH122" i="29"/>
  <c r="DG122" i="29"/>
  <c r="DB122" i="29"/>
  <c r="AJ122" i="29"/>
  <c r="CV122" i="29" s="1"/>
  <c r="CX122" i="29" s="1"/>
  <c r="AK122" i="29"/>
  <c r="CW122" i="29"/>
  <c r="CS122" i="29"/>
  <c r="CP122" i="29"/>
  <c r="AG122" i="29"/>
  <c r="CK122" i="29" s="1"/>
  <c r="CL122" i="29" s="1"/>
  <c r="Z122" i="29"/>
  <c r="CJ122" i="29"/>
  <c r="CG122" i="29"/>
  <c r="BS122" i="29"/>
  <c r="BX122" i="29" s="1"/>
  <c r="BY122" i="29" s="1"/>
  <c r="BT122" i="29"/>
  <c r="BU122" i="29"/>
  <c r="BV122" i="29"/>
  <c r="BW122" i="29"/>
  <c r="BP122" i="29"/>
  <c r="BO122" i="29"/>
  <c r="BN122" i="29"/>
  <c r="CA122" i="29"/>
  <c r="CD122" i="29" s="1"/>
  <c r="BM122" i="29"/>
  <c r="BZ122" i="29"/>
  <c r="BL122" i="29"/>
  <c r="BQ122" i="29" s="1"/>
  <c r="BR122" i="29"/>
  <c r="BI122" i="29"/>
  <c r="AM122" i="29"/>
  <c r="BD122" i="29" s="1"/>
  <c r="AL122" i="29"/>
  <c r="BC122" i="29" s="1"/>
  <c r="BB122" i="29"/>
  <c r="BA122" i="29"/>
  <c r="AW122" i="29"/>
  <c r="AV122" i="29"/>
  <c r="AU122" i="29"/>
  <c r="CH122" i="29"/>
  <c r="AI122" i="29"/>
  <c r="AP122" i="29" s="1"/>
  <c r="AH122" i="29"/>
  <c r="CM122" i="29"/>
  <c r="DH121" i="29"/>
  <c r="DG121" i="29"/>
  <c r="DI121" i="29"/>
  <c r="DB121" i="29"/>
  <c r="AJ121" i="29"/>
  <c r="CW121" i="29" s="1"/>
  <c r="AK121" i="29"/>
  <c r="BB121" i="29" s="1"/>
  <c r="CS121" i="29"/>
  <c r="CP121" i="29"/>
  <c r="Z121" i="29"/>
  <c r="CM121" i="29" s="1"/>
  <c r="AG121" i="29"/>
  <c r="CK121" i="29" s="1"/>
  <c r="CJ121" i="29"/>
  <c r="CG121" i="29"/>
  <c r="BS121" i="29"/>
  <c r="BT121" i="29"/>
  <c r="BX121" i="29" s="1"/>
  <c r="BY121" i="29" s="1"/>
  <c r="BU121" i="29"/>
  <c r="BV121" i="29"/>
  <c r="BW121" i="29"/>
  <c r="BL121" i="29"/>
  <c r="BM121" i="29"/>
  <c r="BN121" i="29"/>
  <c r="CA121" i="29" s="1"/>
  <c r="CD121" i="29" s="1"/>
  <c r="BO121" i="29"/>
  <c r="BQ121" i="29" s="1"/>
  <c r="BR121" i="29" s="1"/>
  <c r="BP121" i="29"/>
  <c r="BZ121" i="29"/>
  <c r="BI121" i="29"/>
  <c r="AM121" i="29"/>
  <c r="BD121" i="29"/>
  <c r="AL121" i="29"/>
  <c r="AV121" i="29" s="1"/>
  <c r="BC121" i="29"/>
  <c r="BA121" i="29"/>
  <c r="AW121" i="29"/>
  <c r="CH121" i="29"/>
  <c r="AI121" i="29"/>
  <c r="CQ121" i="29" s="1"/>
  <c r="AH121" i="29"/>
  <c r="DH120" i="29"/>
  <c r="DG120" i="29"/>
  <c r="DB120" i="29"/>
  <c r="AJ120" i="29"/>
  <c r="CV120" i="29" s="1"/>
  <c r="CX120" i="29" s="1"/>
  <c r="AK120" i="29"/>
  <c r="CW120" i="29"/>
  <c r="CS120" i="29"/>
  <c r="CP120" i="29"/>
  <c r="Z120" i="29"/>
  <c r="CM120" i="29" s="1"/>
  <c r="AG120" i="29"/>
  <c r="CK120" i="29"/>
  <c r="CJ120" i="29"/>
  <c r="CL120" i="29" s="1"/>
  <c r="CG120" i="29"/>
  <c r="BS120" i="29"/>
  <c r="BT120" i="29"/>
  <c r="BU120" i="29"/>
  <c r="BV120" i="29"/>
  <c r="BW120" i="29"/>
  <c r="BP120" i="29"/>
  <c r="BO120" i="29"/>
  <c r="BN120" i="29"/>
  <c r="CA120" i="29" s="1"/>
  <c r="CD120" i="29" s="1"/>
  <c r="BM120" i="29"/>
  <c r="BZ120" i="29" s="1"/>
  <c r="BL120" i="29"/>
  <c r="BQ120" i="29"/>
  <c r="BR120" i="29" s="1"/>
  <c r="BI120" i="29"/>
  <c r="AM120" i="29"/>
  <c r="BD120" i="29" s="1"/>
  <c r="AL120" i="29"/>
  <c r="BC120" i="29"/>
  <c r="BB120" i="29"/>
  <c r="BA120" i="29"/>
  <c r="AW120" i="29"/>
  <c r="AV120" i="29"/>
  <c r="AU120" i="29"/>
  <c r="CH120" i="29"/>
  <c r="AI120" i="29"/>
  <c r="AP120" i="29"/>
  <c r="AH120" i="29"/>
  <c r="DH119" i="29"/>
  <c r="DG119" i="29"/>
  <c r="DI119" i="29"/>
  <c r="BM119" i="29"/>
  <c r="BT119" i="29"/>
  <c r="BZ119" i="29"/>
  <c r="CC119" i="29" s="1"/>
  <c r="AJ119" i="29"/>
  <c r="BW119" i="29"/>
  <c r="O119" i="29"/>
  <c r="BS119" i="29"/>
  <c r="BP119" i="29"/>
  <c r="AM119" i="29"/>
  <c r="BD119" i="29" s="1"/>
  <c r="R119" i="29"/>
  <c r="AL119" i="29"/>
  <c r="BC119" i="29"/>
  <c r="AI119" i="29"/>
  <c r="AZ119" i="29" s="1"/>
  <c r="AW119" i="29"/>
  <c r="AC119" i="29"/>
  <c r="BV119" i="29"/>
  <c r="V119" i="29"/>
  <c r="BN119" i="29" s="1"/>
  <c r="Z119" i="29"/>
  <c r="N119" i="29"/>
  <c r="DB119" i="29" s="1"/>
  <c r="L119" i="29"/>
  <c r="AV119" i="29"/>
  <c r="I119" i="29"/>
  <c r="H119" i="29"/>
  <c r="CJ119" i="29"/>
  <c r="DH118" i="29"/>
  <c r="DG118" i="29"/>
  <c r="DI118" i="29" s="1"/>
  <c r="N118" i="29"/>
  <c r="DB118" i="29"/>
  <c r="AI118" i="29"/>
  <c r="AJ118" i="29"/>
  <c r="CW118" i="29" s="1"/>
  <c r="AK118" i="29"/>
  <c r="AL118" i="29"/>
  <c r="CV118" i="29"/>
  <c r="CX118" i="29" s="1"/>
  <c r="I118" i="29"/>
  <c r="CP118" i="29" s="1"/>
  <c r="L118" i="29"/>
  <c r="H118" i="29"/>
  <c r="Z118" i="29"/>
  <c r="CJ118" i="29"/>
  <c r="BM118" i="29"/>
  <c r="BT118" i="29"/>
  <c r="BZ118" i="29"/>
  <c r="CB118" i="29" s="1"/>
  <c r="BN118" i="29"/>
  <c r="CA118" i="29" s="1"/>
  <c r="CD118" i="29" s="1"/>
  <c r="BU118" i="29"/>
  <c r="BW118" i="29"/>
  <c r="R118" i="29"/>
  <c r="BV118" i="29" s="1"/>
  <c r="CC118" i="29"/>
  <c r="BL118" i="29"/>
  <c r="BQ118" i="29" s="1"/>
  <c r="BR118" i="29" s="1"/>
  <c r="BO118" i="29"/>
  <c r="BP118" i="29"/>
  <c r="BI118" i="29"/>
  <c r="BB118" i="29"/>
  <c r="BA118" i="29"/>
  <c r="O118" i="29"/>
  <c r="CS118" i="29" s="1"/>
  <c r="AU118" i="29"/>
  <c r="AT118" i="29"/>
  <c r="AM118" i="29"/>
  <c r="AG118" i="29"/>
  <c r="AH118" i="29"/>
  <c r="CK118" i="29"/>
  <c r="DH117" i="29"/>
  <c r="DG117" i="29"/>
  <c r="DI117" i="29"/>
  <c r="N117" i="29"/>
  <c r="DB117" i="29" s="1"/>
  <c r="AJ117" i="29"/>
  <c r="CW117" i="29" s="1"/>
  <c r="AK117" i="29"/>
  <c r="CV117" i="29"/>
  <c r="CX117" i="29" s="1"/>
  <c r="BW117" i="29"/>
  <c r="R117" i="29"/>
  <c r="BV117" i="29" s="1"/>
  <c r="BU117" i="29"/>
  <c r="BN117" i="29"/>
  <c r="CA117" i="29" s="1"/>
  <c r="CD117" i="29" s="1"/>
  <c r="BT117" i="29"/>
  <c r="BM117" i="29"/>
  <c r="BZ117" i="29" s="1"/>
  <c r="CC117" i="29" s="1"/>
  <c r="BP117" i="29"/>
  <c r="BI117" i="29"/>
  <c r="BB117" i="29"/>
  <c r="BA117" i="29"/>
  <c r="O117" i="29"/>
  <c r="AZ117" i="29" s="1"/>
  <c r="AI117" i="29"/>
  <c r="AU117" i="29"/>
  <c r="AT117" i="29"/>
  <c r="AL117" i="29"/>
  <c r="AM117" i="29"/>
  <c r="Z117" i="29"/>
  <c r="AH117" i="29" s="1"/>
  <c r="AG117" i="29"/>
  <c r="L117" i="29"/>
  <c r="I117" i="29"/>
  <c r="BL117" i="29"/>
  <c r="H117" i="29"/>
  <c r="CJ117" i="29" s="1"/>
  <c r="DH116" i="29"/>
  <c r="DG116" i="29"/>
  <c r="DI116" i="29" s="1"/>
  <c r="N116" i="29"/>
  <c r="DB116" i="29"/>
  <c r="AI116" i="29"/>
  <c r="AJ116" i="29"/>
  <c r="AK116" i="29"/>
  <c r="AL116" i="29"/>
  <c r="I116" i="29"/>
  <c r="L116" i="29"/>
  <c r="CP116" i="29"/>
  <c r="BM116" i="29"/>
  <c r="BT116" i="29"/>
  <c r="BN116" i="29"/>
  <c r="CA116" i="29" s="1"/>
  <c r="BU116" i="29"/>
  <c r="BW116" i="29"/>
  <c r="R116" i="29"/>
  <c r="BV116" i="29"/>
  <c r="BL116" i="29"/>
  <c r="BQ116" i="29" s="1"/>
  <c r="BR116" i="29" s="1"/>
  <c r="BO116" i="29"/>
  <c r="BP116" i="29"/>
  <c r="BI116" i="29"/>
  <c r="O116" i="29"/>
  <c r="AZ116" i="29"/>
  <c r="BA116" i="29"/>
  <c r="BC116" i="29"/>
  <c r="AT116" i="29"/>
  <c r="AS116" i="29"/>
  <c r="AM116" i="29"/>
  <c r="AG116" i="29"/>
  <c r="Z116" i="29"/>
  <c r="AH116" i="29"/>
  <c r="CS116" i="29"/>
  <c r="CK116" i="29"/>
  <c r="H116" i="29"/>
  <c r="DH115" i="29"/>
  <c r="DG115" i="29"/>
  <c r="DI115" i="29" s="1"/>
  <c r="AJ115" i="29"/>
  <c r="CW115" i="29" s="1"/>
  <c r="AK115" i="29"/>
  <c r="H115" i="29"/>
  <c r="Z115" i="29"/>
  <c r="CJ115" i="29"/>
  <c r="BN115" i="29"/>
  <c r="BU115" i="29"/>
  <c r="CA115" i="29"/>
  <c r="CD115" i="29" s="1"/>
  <c r="BW115" i="29"/>
  <c r="R115" i="29"/>
  <c r="BV115" i="29" s="1"/>
  <c r="BT115" i="29"/>
  <c r="BM115" i="29"/>
  <c r="BZ115" i="29" s="1"/>
  <c r="CC115" i="29" s="1"/>
  <c r="BP115" i="29"/>
  <c r="I115" i="29"/>
  <c r="BL115" i="29"/>
  <c r="BI115" i="29"/>
  <c r="BB115" i="29"/>
  <c r="BA115" i="29"/>
  <c r="AU115" i="29"/>
  <c r="AT115" i="29"/>
  <c r="AM115" i="29"/>
  <c r="AL115" i="29"/>
  <c r="AI115" i="29"/>
  <c r="AG115" i="29"/>
  <c r="AH115" i="29"/>
  <c r="O115" i="29"/>
  <c r="CS115" i="29"/>
  <c r="N115" i="29"/>
  <c r="L115" i="29"/>
  <c r="AV115" i="29"/>
  <c r="CP115" i="29"/>
  <c r="DH114" i="29"/>
  <c r="DG114" i="29"/>
  <c r="DI114" i="29" s="1"/>
  <c r="N114" i="29"/>
  <c r="DB114" i="29"/>
  <c r="AI114" i="29"/>
  <c r="AJ114" i="29"/>
  <c r="AK114" i="29"/>
  <c r="CW114" i="29" s="1"/>
  <c r="AL114" i="29"/>
  <c r="CV114" i="29"/>
  <c r="O114" i="29"/>
  <c r="R114" i="29"/>
  <c r="BM114" i="29"/>
  <c r="BT114" i="29"/>
  <c r="BZ114" i="29"/>
  <c r="CB114" i="29" s="1"/>
  <c r="BN114" i="29"/>
  <c r="CA114" i="29" s="1"/>
  <c r="CD114" i="29" s="1"/>
  <c r="BU114" i="29"/>
  <c r="BW114" i="29"/>
  <c r="BV114" i="29"/>
  <c r="BP114" i="29"/>
  <c r="BI114" i="29"/>
  <c r="BB114" i="29"/>
  <c r="BA114" i="29"/>
  <c r="AU114" i="29"/>
  <c r="AT114" i="29"/>
  <c r="AM114" i="29"/>
  <c r="Z114" i="29"/>
  <c r="AH114" i="29" s="1"/>
  <c r="AG114" i="29"/>
  <c r="CK114" i="29" s="1"/>
  <c r="CS114" i="29"/>
  <c r="L114" i="29"/>
  <c r="I114" i="29"/>
  <c r="H114" i="29"/>
  <c r="CJ114" i="29"/>
  <c r="CL114" i="29" s="1"/>
  <c r="DH113" i="29"/>
  <c r="DG113" i="29"/>
  <c r="N113" i="29"/>
  <c r="DB113" i="29" s="1"/>
  <c r="AI113" i="29"/>
  <c r="CZ113" i="29" s="1"/>
  <c r="AJ113" i="29"/>
  <c r="AK113" i="29"/>
  <c r="AL113" i="29"/>
  <c r="CW113" i="29"/>
  <c r="CV113" i="29"/>
  <c r="I113" i="29"/>
  <c r="L113" i="29"/>
  <c r="CP113" i="29"/>
  <c r="BM113" i="29"/>
  <c r="BT113" i="29"/>
  <c r="BZ113" i="29"/>
  <c r="CC113" i="29" s="1"/>
  <c r="BW113" i="29"/>
  <c r="R113" i="29"/>
  <c r="CQ113" i="29" s="1"/>
  <c r="BU113" i="29"/>
  <c r="BN113" i="29"/>
  <c r="CA113" i="29" s="1"/>
  <c r="BP113" i="29"/>
  <c r="BO113" i="29"/>
  <c r="BI113" i="29"/>
  <c r="BB113" i="29"/>
  <c r="BA113" i="29"/>
  <c r="AV113" i="29"/>
  <c r="AU113" i="29"/>
  <c r="AT113" i="29"/>
  <c r="AM113" i="29"/>
  <c r="O113" i="29"/>
  <c r="AG113" i="29"/>
  <c r="CK113" i="29" s="1"/>
  <c r="Z113" i="29"/>
  <c r="H113" i="29"/>
  <c r="DH112" i="29"/>
  <c r="DG112" i="29"/>
  <c r="AJ112" i="29"/>
  <c r="AK112" i="29"/>
  <c r="BM112" i="29"/>
  <c r="BZ112" i="29" s="1"/>
  <c r="CC112" i="29" s="1"/>
  <c r="BT112" i="29"/>
  <c r="BW112" i="29"/>
  <c r="R112" i="29"/>
  <c r="BV112" i="29"/>
  <c r="BU112" i="29"/>
  <c r="BN112" i="29"/>
  <c r="CA112" i="29"/>
  <c r="BP112" i="29"/>
  <c r="L112" i="29"/>
  <c r="BO112" i="29" s="1"/>
  <c r="BI112" i="29"/>
  <c r="AT112" i="29"/>
  <c r="AM112" i="29"/>
  <c r="AL112" i="29"/>
  <c r="AI112" i="29"/>
  <c r="AG112" i="29"/>
  <c r="N112" i="29"/>
  <c r="CK112" i="29"/>
  <c r="Z112" i="29"/>
  <c r="AH112" i="29" s="1"/>
  <c r="O112" i="29"/>
  <c r="CS112" i="29" s="1"/>
  <c r="DB112" i="29"/>
  <c r="I112" i="29"/>
  <c r="H112" i="29"/>
  <c r="DH111" i="29"/>
  <c r="DG111" i="29"/>
  <c r="AJ111" i="29"/>
  <c r="AK111" i="29"/>
  <c r="CW111" i="29" s="1"/>
  <c r="I111" i="29"/>
  <c r="AI111" i="29"/>
  <c r="L111" i="29"/>
  <c r="BO111" i="29" s="1"/>
  <c r="BQ111" i="29" s="1"/>
  <c r="BR111" i="29" s="1"/>
  <c r="AL111" i="29"/>
  <c r="O111" i="29"/>
  <c r="R111" i="29"/>
  <c r="N111" i="29"/>
  <c r="AG111" i="29"/>
  <c r="CK111" i="29" s="1"/>
  <c r="BM111" i="29"/>
  <c r="BT111" i="29"/>
  <c r="BZ111" i="29"/>
  <c r="CC111" i="29" s="1"/>
  <c r="BW111" i="29"/>
  <c r="BV111" i="29"/>
  <c r="BU111" i="29"/>
  <c r="BN111" i="29"/>
  <c r="CA111" i="29" s="1"/>
  <c r="CD111" i="29" s="1"/>
  <c r="BP111" i="29"/>
  <c r="BL111" i="29"/>
  <c r="BI111" i="29"/>
  <c r="BB111" i="29"/>
  <c r="BA111" i="29"/>
  <c r="AU111" i="29"/>
  <c r="AT111" i="29"/>
  <c r="AS111" i="29"/>
  <c r="AM111" i="29"/>
  <c r="BC111" i="29"/>
  <c r="Z111" i="29"/>
  <c r="AH111" i="29" s="1"/>
  <c r="DB111" i="29"/>
  <c r="H111" i="29"/>
  <c r="DH110" i="29"/>
  <c r="DG110" i="29"/>
  <c r="N110" i="29"/>
  <c r="DB110" i="29"/>
  <c r="AG110" i="29"/>
  <c r="CK110" i="29" s="1"/>
  <c r="V110" i="29"/>
  <c r="BN110" i="29"/>
  <c r="CA110" i="29" s="1"/>
  <c r="BU110" i="29"/>
  <c r="AK110" i="29"/>
  <c r="AU110" i="29" s="1"/>
  <c r="CD110" i="29"/>
  <c r="BW110" i="29"/>
  <c r="BT110" i="29"/>
  <c r="BP110" i="29"/>
  <c r="I110" i="29"/>
  <c r="BL110" i="29" s="1"/>
  <c r="AM110" i="29"/>
  <c r="BD110" i="29" s="1"/>
  <c r="AL110" i="29"/>
  <c r="AV110" i="29" s="1"/>
  <c r="U110" i="29"/>
  <c r="AJ110" i="29"/>
  <c r="AQ110" i="29" s="1"/>
  <c r="AI110" i="29"/>
  <c r="R110" i="29"/>
  <c r="O110" i="29"/>
  <c r="L110" i="29"/>
  <c r="H110" i="29"/>
  <c r="DG109" i="29"/>
  <c r="DI109" i="29" s="1"/>
  <c r="DH109" i="29"/>
  <c r="N109" i="29"/>
  <c r="DB109" i="29"/>
  <c r="H109" i="29"/>
  <c r="AI109" i="29"/>
  <c r="AJ109" i="29"/>
  <c r="AK109" i="29"/>
  <c r="AL109" i="29"/>
  <c r="CY109" i="29"/>
  <c r="O109" i="29"/>
  <c r="R109" i="29"/>
  <c r="CS109" i="29"/>
  <c r="BW109" i="29"/>
  <c r="BV109" i="29"/>
  <c r="BU109" i="29"/>
  <c r="BT109" i="29"/>
  <c r="BS109" i="29"/>
  <c r="BP109" i="29"/>
  <c r="BN109" i="29"/>
  <c r="BM109" i="29"/>
  <c r="BZ109" i="29" s="1"/>
  <c r="BI109" i="29"/>
  <c r="BA109" i="29"/>
  <c r="AZ109" i="29"/>
  <c r="AU109" i="29"/>
  <c r="AT109" i="29"/>
  <c r="AM109" i="29"/>
  <c r="BB109" i="29"/>
  <c r="AG109" i="29"/>
  <c r="Z109" i="29"/>
  <c r="L109" i="29"/>
  <c r="I109" i="29"/>
  <c r="DH108" i="29"/>
  <c r="DG108" i="29"/>
  <c r="DI108" i="29" s="1"/>
  <c r="N108" i="29"/>
  <c r="DB108" i="29"/>
  <c r="AI108" i="29"/>
  <c r="AJ108" i="29"/>
  <c r="AK108" i="29"/>
  <c r="AL108" i="29"/>
  <c r="CZ108" i="29"/>
  <c r="H108" i="29"/>
  <c r="Z108" i="29"/>
  <c r="AG108" i="29"/>
  <c r="CM108" i="29"/>
  <c r="BM108" i="29"/>
  <c r="BT108" i="29"/>
  <c r="BZ108" i="29"/>
  <c r="CC108" i="29" s="1"/>
  <c r="BW108" i="29"/>
  <c r="R108" i="29"/>
  <c r="BV108" i="29" s="1"/>
  <c r="BU108" i="29"/>
  <c r="BP108" i="29"/>
  <c r="L108" i="29"/>
  <c r="BO108" i="29" s="1"/>
  <c r="I108" i="29"/>
  <c r="BG108" i="29" s="1"/>
  <c r="BN108" i="29"/>
  <c r="CA108" i="29"/>
  <c r="CD108" i="29" s="1"/>
  <c r="BB108" i="29"/>
  <c r="O108" i="29"/>
  <c r="AZ108" i="29" s="1"/>
  <c r="AM108" i="29"/>
  <c r="AW108" i="29"/>
  <c r="AU108" i="29"/>
  <c r="BD108" i="29"/>
  <c r="BC108" i="29"/>
  <c r="AQ108" i="29"/>
  <c r="AR108" i="29" s="1"/>
  <c r="AH108" i="29"/>
  <c r="CK108" i="29"/>
  <c r="CY108" i="29"/>
  <c r="DG107" i="29"/>
  <c r="DH107" i="29"/>
  <c r="DI107" i="29" s="1"/>
  <c r="AJ107" i="29"/>
  <c r="AK107" i="29"/>
  <c r="I107" i="29"/>
  <c r="L107" i="29"/>
  <c r="CP107" i="29"/>
  <c r="AI107" i="29"/>
  <c r="AL107" i="29"/>
  <c r="H107" i="29"/>
  <c r="Z107" i="29"/>
  <c r="CJ107" i="29"/>
  <c r="BN107" i="29"/>
  <c r="BU107" i="29"/>
  <c r="CA107" i="29"/>
  <c r="O107" i="29"/>
  <c r="BS107" i="29"/>
  <c r="BX107" i="29" s="1"/>
  <c r="BT107" i="29"/>
  <c r="R107" i="29"/>
  <c r="BV107" i="29"/>
  <c r="BW107" i="29"/>
  <c r="BY107" i="29"/>
  <c r="BP107" i="29"/>
  <c r="BM107" i="29"/>
  <c r="BZ107" i="29"/>
  <c r="BI107" i="29"/>
  <c r="BC107" i="29"/>
  <c r="BA107" i="29"/>
  <c r="AV107" i="29"/>
  <c r="AT107" i="29"/>
  <c r="AM107" i="29"/>
  <c r="AZ107" i="29"/>
  <c r="AG107" i="29"/>
  <c r="AH107" i="29" s="1"/>
  <c r="CS107" i="29"/>
  <c r="N107" i="29"/>
  <c r="DB107" i="29" s="1"/>
  <c r="BO107" i="29"/>
  <c r="DH106" i="29"/>
  <c r="DG106" i="29"/>
  <c r="DI106" i="29"/>
  <c r="N106" i="29"/>
  <c r="DB106" i="29" s="1"/>
  <c r="O106" i="29"/>
  <c r="AI106" i="29"/>
  <c r="AJ106" i="29"/>
  <c r="AK106" i="29"/>
  <c r="R106" i="29"/>
  <c r="AL106" i="29"/>
  <c r="AG106" i="29"/>
  <c r="CK106" i="29"/>
  <c r="BW106" i="29"/>
  <c r="BV106" i="29"/>
  <c r="BU106" i="29"/>
  <c r="BN106" i="29"/>
  <c r="CA106" i="29" s="1"/>
  <c r="BT106" i="29"/>
  <c r="I106" i="29"/>
  <c r="BL106" i="29" s="1"/>
  <c r="BM106" i="29"/>
  <c r="L106" i="29"/>
  <c r="BO106" i="29" s="1"/>
  <c r="BP106" i="29"/>
  <c r="BZ106" i="29"/>
  <c r="BI106" i="29"/>
  <c r="BB106" i="29"/>
  <c r="AM106" i="29"/>
  <c r="AW106" i="29" s="1"/>
  <c r="AU106" i="29"/>
  <c r="AS106" i="29"/>
  <c r="BC106" i="29"/>
  <c r="CZ106" i="29"/>
  <c r="Z106" i="29"/>
  <c r="AH106" i="29"/>
  <c r="CP106" i="29"/>
  <c r="H106" i="29"/>
  <c r="DG105" i="29"/>
  <c r="DI105" i="29" s="1"/>
  <c r="DH105" i="29"/>
  <c r="DB105" i="29"/>
  <c r="CS105" i="29"/>
  <c r="CP105" i="29"/>
  <c r="CG105" i="29"/>
  <c r="BM105" i="29"/>
  <c r="BZ105" i="29" s="1"/>
  <c r="CC105" i="29" s="1"/>
  <c r="BT105" i="29"/>
  <c r="AJ105" i="29"/>
  <c r="AT105" i="29" s="1"/>
  <c r="BW105" i="29"/>
  <c r="BV105" i="29"/>
  <c r="BU105" i="29"/>
  <c r="BN105" i="29"/>
  <c r="CA105" i="29"/>
  <c r="BS105" i="29"/>
  <c r="BP105" i="29"/>
  <c r="BO105" i="29"/>
  <c r="BL105" i="29"/>
  <c r="BQ105" i="29" s="1"/>
  <c r="BR105" i="29"/>
  <c r="BI105" i="29"/>
  <c r="AM105" i="29"/>
  <c r="BD105" i="29"/>
  <c r="AI105" i="29"/>
  <c r="AZ105" i="29" s="1"/>
  <c r="AS105" i="29"/>
  <c r="AW105" i="29"/>
  <c r="AL105" i="29"/>
  <c r="AK105" i="29"/>
  <c r="AG105" i="29"/>
  <c r="CK105" i="29"/>
  <c r="Z105" i="29"/>
  <c r="DG104" i="29"/>
  <c r="DI104" i="29" s="1"/>
  <c r="DH104" i="29"/>
  <c r="DB104" i="29"/>
  <c r="CS104" i="29"/>
  <c r="CP104" i="29"/>
  <c r="CG104" i="29"/>
  <c r="BW104" i="29"/>
  <c r="BV104" i="29"/>
  <c r="BU104" i="29"/>
  <c r="BN104" i="29"/>
  <c r="BT104" i="29"/>
  <c r="BM104" i="29"/>
  <c r="BZ104" i="29" s="1"/>
  <c r="BS104" i="29"/>
  <c r="BP104" i="29"/>
  <c r="BO104" i="29"/>
  <c r="BL104" i="29"/>
  <c r="BI104" i="29"/>
  <c r="AM104" i="29"/>
  <c r="AI104" i="29"/>
  <c r="AZ104" i="29"/>
  <c r="AJ104" i="29"/>
  <c r="AT104" i="29" s="1"/>
  <c r="AS104" i="29"/>
  <c r="AL104" i="29"/>
  <c r="AK104" i="29"/>
  <c r="AG104" i="29"/>
  <c r="CK104" i="29" s="1"/>
  <c r="Z104" i="29"/>
  <c r="DG103" i="29"/>
  <c r="DI103" i="29" s="1"/>
  <c r="DH103" i="29"/>
  <c r="DB103" i="29"/>
  <c r="CS103" i="29"/>
  <c r="CP103" i="29"/>
  <c r="Z103" i="29"/>
  <c r="AG103" i="29"/>
  <c r="CK103" i="29" s="1"/>
  <c r="CM103" i="29"/>
  <c r="CG103" i="29"/>
  <c r="BW103" i="29"/>
  <c r="BV103" i="29"/>
  <c r="BU103" i="29"/>
  <c r="BT103" i="29"/>
  <c r="BM103" i="29"/>
  <c r="BZ103" i="29"/>
  <c r="BS103" i="29"/>
  <c r="BP103" i="29"/>
  <c r="BO103" i="29"/>
  <c r="BN103" i="29"/>
  <c r="BL103" i="29"/>
  <c r="AM103" i="29"/>
  <c r="AW103" i="29" s="1"/>
  <c r="BD103" i="29"/>
  <c r="AL103" i="29"/>
  <c r="BC103" i="29" s="1"/>
  <c r="AI103" i="29"/>
  <c r="AS103" i="29"/>
  <c r="AV103" i="29"/>
  <c r="AK103" i="29"/>
  <c r="AJ103" i="29"/>
  <c r="AH103" i="29"/>
  <c r="DG102" i="29"/>
  <c r="DH102" i="29"/>
  <c r="DI102" i="29"/>
  <c r="O102" i="29"/>
  <c r="AI102" i="29"/>
  <c r="AJ102" i="29"/>
  <c r="AK102" i="29"/>
  <c r="R102" i="29"/>
  <c r="AL102" i="29"/>
  <c r="CR102" i="29" s="1"/>
  <c r="H102" i="29"/>
  <c r="Z102" i="29"/>
  <c r="CJ102" i="29" s="1"/>
  <c r="N102" i="29"/>
  <c r="AG102" i="29"/>
  <c r="CM102" i="29"/>
  <c r="BM102" i="29"/>
  <c r="BZ102" i="29" s="1"/>
  <c r="BT102" i="29"/>
  <c r="BW102" i="29"/>
  <c r="BU102" i="29"/>
  <c r="BP102" i="29"/>
  <c r="L102" i="29"/>
  <c r="BO102" i="29"/>
  <c r="BN102" i="29"/>
  <c r="CA102" i="29" s="1"/>
  <c r="CD102" i="29"/>
  <c r="I102" i="29"/>
  <c r="BL102" i="29" s="1"/>
  <c r="AM102" i="29"/>
  <c r="BD102" i="29" s="1"/>
  <c r="BC102" i="29"/>
  <c r="BB102" i="29"/>
  <c r="AW102" i="29"/>
  <c r="AV102" i="29"/>
  <c r="AU102" i="29"/>
  <c r="AP102" i="29"/>
  <c r="BV102" i="29"/>
  <c r="CS102" i="29"/>
  <c r="CP102" i="29"/>
  <c r="DH101" i="29"/>
  <c r="DG101" i="29"/>
  <c r="DI101" i="29"/>
  <c r="AJ101" i="29"/>
  <c r="CW101" i="29" s="1"/>
  <c r="AK101" i="29"/>
  <c r="O101" i="29"/>
  <c r="AI101" i="29"/>
  <c r="R101" i="29"/>
  <c r="AL101" i="29"/>
  <c r="AP101" i="29" s="1"/>
  <c r="N101" i="29"/>
  <c r="CK101" i="29" s="1"/>
  <c r="AG101" i="29"/>
  <c r="BN101" i="29"/>
  <c r="CA101" i="29" s="1"/>
  <c r="CD101" i="29" s="1"/>
  <c r="BU101" i="29"/>
  <c r="BW101" i="29"/>
  <c r="BT101" i="29"/>
  <c r="BP101" i="29"/>
  <c r="BM101" i="29"/>
  <c r="BZ101" i="29" s="1"/>
  <c r="I101" i="29"/>
  <c r="BL101" i="29"/>
  <c r="AM101" i="29"/>
  <c r="AW101" i="29" s="1"/>
  <c r="BD101" i="29"/>
  <c r="AT101" i="29"/>
  <c r="AS101" i="29"/>
  <c r="L101" i="29"/>
  <c r="CV101" i="29"/>
  <c r="CX101" i="29" s="1"/>
  <c r="Z101" i="29"/>
  <c r="AH101" i="29" s="1"/>
  <c r="DB101" i="29"/>
  <c r="BO101" i="29"/>
  <c r="CP101" i="29"/>
  <c r="H101" i="29"/>
  <c r="AM100" i="29"/>
  <c r="AL100" i="29"/>
  <c r="AK100" i="29"/>
  <c r="AJ100" i="29"/>
  <c r="AI100" i="29"/>
  <c r="AQ100" i="29" s="1"/>
  <c r="AG100" i="29"/>
  <c r="Z100" i="29"/>
  <c r="AH100" i="29" s="1"/>
  <c r="BS99" i="29"/>
  <c r="BL99" i="29"/>
  <c r="AM99" i="29"/>
  <c r="AL99" i="29"/>
  <c r="AK99" i="29"/>
  <c r="AJ99" i="29"/>
  <c r="AI99" i="29"/>
  <c r="Z99" i="29"/>
  <c r="AH99" i="29" s="1"/>
  <c r="AG99" i="29"/>
  <c r="DH98" i="29"/>
  <c r="DG98" i="29"/>
  <c r="DI98" i="29"/>
  <c r="DB98" i="29"/>
  <c r="AJ98" i="29"/>
  <c r="AK98" i="29"/>
  <c r="T98" i="29"/>
  <c r="CP98" i="29" s="1"/>
  <c r="AA98" i="29"/>
  <c r="AL98" i="29"/>
  <c r="Z98" i="29"/>
  <c r="CJ98" i="29" s="1"/>
  <c r="CG98" i="29"/>
  <c r="BW98" i="29"/>
  <c r="BV98" i="29"/>
  <c r="BU98" i="29"/>
  <c r="BN98" i="29"/>
  <c r="CA98" i="29"/>
  <c r="BT98" i="29"/>
  <c r="BM98" i="29"/>
  <c r="BZ98" i="29" s="1"/>
  <c r="CC98" i="29" s="1"/>
  <c r="BP98" i="29"/>
  <c r="BL98" i="29"/>
  <c r="BO98" i="29"/>
  <c r="BI98" i="29"/>
  <c r="BA98" i="29"/>
  <c r="AV98" i="29"/>
  <c r="AT98" i="29"/>
  <c r="AM98" i="29"/>
  <c r="BC98" i="29"/>
  <c r="AG98" i="29"/>
  <c r="CS98" i="29"/>
  <c r="DH97" i="29"/>
  <c r="DG97" i="29"/>
  <c r="DI97" i="29" s="1"/>
  <c r="DB97" i="29"/>
  <c r="CS97" i="29"/>
  <c r="AI97" i="29"/>
  <c r="CR97" i="29" s="1"/>
  <c r="AJ97" i="29"/>
  <c r="AK97" i="29"/>
  <c r="AL97" i="29"/>
  <c r="CP97" i="29"/>
  <c r="Z97" i="29"/>
  <c r="AG97" i="29"/>
  <c r="CM97" i="29"/>
  <c r="CK97" i="29"/>
  <c r="CJ97" i="29"/>
  <c r="CL97" i="29" s="1"/>
  <c r="CG97" i="29"/>
  <c r="BN97" i="29"/>
  <c r="CA97" i="29" s="1"/>
  <c r="CD97" i="29" s="1"/>
  <c r="BU97" i="29"/>
  <c r="BS97" i="29"/>
  <c r="BX97" i="29" s="1"/>
  <c r="BY97" i="29" s="1"/>
  <c r="BT97" i="29"/>
  <c r="BV97" i="29"/>
  <c r="BW97" i="29"/>
  <c r="BP97" i="29"/>
  <c r="BO97" i="29"/>
  <c r="BM97" i="29"/>
  <c r="BZ97" i="29" s="1"/>
  <c r="BL97" i="29"/>
  <c r="BI97" i="29"/>
  <c r="AM97" i="29"/>
  <c r="BD97" i="29" s="1"/>
  <c r="BC97" i="29"/>
  <c r="AV97" i="29"/>
  <c r="AH97" i="29"/>
  <c r="DG96" i="29"/>
  <c r="DI96" i="29" s="1"/>
  <c r="DH96" i="29"/>
  <c r="H96" i="29"/>
  <c r="CJ96" i="29" s="1"/>
  <c r="Z96" i="29"/>
  <c r="BN96" i="29"/>
  <c r="BU96" i="29"/>
  <c r="CA96" i="29"/>
  <c r="CD96" i="29" s="1"/>
  <c r="AK96" i="29"/>
  <c r="BW96" i="29"/>
  <c r="BT96" i="29"/>
  <c r="BP96" i="29"/>
  <c r="BM96" i="29"/>
  <c r="BZ96" i="29"/>
  <c r="I96" i="29"/>
  <c r="BL96" i="29"/>
  <c r="BI96" i="29"/>
  <c r="AM96" i="29"/>
  <c r="BD96" i="29"/>
  <c r="R96" i="29"/>
  <c r="AL96" i="29"/>
  <c r="BC96" i="29"/>
  <c r="BB96" i="29"/>
  <c r="AW96" i="29"/>
  <c r="L96" i="29"/>
  <c r="AV96" i="29"/>
  <c r="AU96" i="29"/>
  <c r="AJ96" i="29"/>
  <c r="AI96" i="29"/>
  <c r="AG96" i="29"/>
  <c r="AH96" i="29"/>
  <c r="BV96" i="29"/>
  <c r="O96" i="29"/>
  <c r="N96" i="29"/>
  <c r="CP96" i="29"/>
  <c r="DH95" i="29"/>
  <c r="DG95" i="29"/>
  <c r="DI95" i="29"/>
  <c r="O95" i="29"/>
  <c r="AI95" i="29"/>
  <c r="AJ95" i="29"/>
  <c r="CQ95" i="29" s="1"/>
  <c r="AK95" i="29"/>
  <c r="R95" i="29"/>
  <c r="BC95" i="29" s="1"/>
  <c r="AL95" i="29"/>
  <c r="H95" i="29"/>
  <c r="CJ95" i="29" s="1"/>
  <c r="Z95" i="29"/>
  <c r="N95" i="29"/>
  <c r="AG95" i="29"/>
  <c r="CK95" i="29" s="1"/>
  <c r="BS95" i="29"/>
  <c r="BT95" i="29"/>
  <c r="BU95" i="29"/>
  <c r="BW95" i="29"/>
  <c r="BP95" i="29"/>
  <c r="BN95" i="29"/>
  <c r="CA95" i="29" s="1"/>
  <c r="CD95" i="29" s="1"/>
  <c r="BM95" i="29"/>
  <c r="BZ95" i="29"/>
  <c r="I95" i="29"/>
  <c r="BL95" i="29"/>
  <c r="BI95" i="29"/>
  <c r="AM95" i="29"/>
  <c r="AW95" i="29" s="1"/>
  <c r="BD95" i="29"/>
  <c r="BB95" i="29"/>
  <c r="L95" i="29"/>
  <c r="AV95" i="29" s="1"/>
  <c r="AP95" i="29"/>
  <c r="AU95" i="29"/>
  <c r="AH95" i="29"/>
  <c r="CP95" i="29"/>
  <c r="CO95" i="29"/>
  <c r="DG94" i="29"/>
  <c r="DH94" i="29"/>
  <c r="AJ94" i="29"/>
  <c r="AK94" i="29"/>
  <c r="CW94" i="29"/>
  <c r="H94" i="29"/>
  <c r="Z94" i="29"/>
  <c r="CJ94" i="29" s="1"/>
  <c r="BN94" i="29"/>
  <c r="BU94" i="29"/>
  <c r="CA94" i="29" s="1"/>
  <c r="CD94" i="29" s="1"/>
  <c r="BW94" i="29"/>
  <c r="BT94" i="29"/>
  <c r="BP94" i="29"/>
  <c r="BM94" i="29"/>
  <c r="BZ94" i="29"/>
  <c r="I94" i="29"/>
  <c r="BL94" i="29"/>
  <c r="BI94" i="29"/>
  <c r="AM94" i="29"/>
  <c r="AW94" i="29" s="1"/>
  <c r="BD94" i="29"/>
  <c r="R94" i="29"/>
  <c r="AL94" i="29"/>
  <c r="BC94" i="29"/>
  <c r="BB94" i="29"/>
  <c r="L94" i="29"/>
  <c r="AV94" i="29"/>
  <c r="AU94" i="29"/>
  <c r="AI94" i="29"/>
  <c r="AG94" i="29"/>
  <c r="AH94" i="29"/>
  <c r="BV94" i="29"/>
  <c r="O94" i="29"/>
  <c r="N94" i="29"/>
  <c r="CP94" i="29"/>
  <c r="DH93" i="29"/>
  <c r="DG93" i="29"/>
  <c r="DI93" i="29" s="1"/>
  <c r="O93" i="29"/>
  <c r="AI93" i="29"/>
  <c r="AJ93" i="29"/>
  <c r="AK93" i="29"/>
  <c r="R93" i="29"/>
  <c r="AL93" i="29"/>
  <c r="AP93" i="29" s="1"/>
  <c r="H93" i="29"/>
  <c r="Z93" i="29"/>
  <c r="N93" i="29"/>
  <c r="CK93" i="29" s="1"/>
  <c r="AG93" i="29"/>
  <c r="BS93" i="29"/>
  <c r="BX93" i="29" s="1"/>
  <c r="BT93" i="29"/>
  <c r="BU93" i="29"/>
  <c r="BV93" i="29"/>
  <c r="BW93" i="29"/>
  <c r="BY93" i="29"/>
  <c r="BP93" i="29"/>
  <c r="BN93" i="29"/>
  <c r="CA93" i="29" s="1"/>
  <c r="CD93" i="29" s="1"/>
  <c r="BM93" i="29"/>
  <c r="BZ93" i="29"/>
  <c r="I93" i="29"/>
  <c r="BL93" i="29" s="1"/>
  <c r="BI93" i="29"/>
  <c r="AM93" i="29"/>
  <c r="AW93" i="29" s="1"/>
  <c r="BC93" i="29"/>
  <c r="BB93" i="29"/>
  <c r="L93" i="29"/>
  <c r="AV93" i="29" s="1"/>
  <c r="AU93" i="29"/>
  <c r="CP93" i="29"/>
  <c r="CO93" i="29"/>
  <c r="DG92" i="29"/>
  <c r="DH92" i="29"/>
  <c r="DI92" i="29"/>
  <c r="AJ92" i="29"/>
  <c r="CW92" i="29" s="1"/>
  <c r="AK92" i="29"/>
  <c r="O92" i="29"/>
  <c r="AI92" i="29"/>
  <c r="R92" i="29"/>
  <c r="AL92" i="29"/>
  <c r="CR92" i="29"/>
  <c r="CQ92" i="29"/>
  <c r="N92" i="29"/>
  <c r="AG92" i="29"/>
  <c r="CK92" i="29"/>
  <c r="BN92" i="29"/>
  <c r="BU92" i="29"/>
  <c r="CA92" i="29"/>
  <c r="CD92" i="29" s="1"/>
  <c r="BW92" i="29"/>
  <c r="BT92" i="29"/>
  <c r="BS92" i="29"/>
  <c r="BP92" i="29"/>
  <c r="BM92" i="29"/>
  <c r="BZ92" i="29" s="1"/>
  <c r="I92" i="29"/>
  <c r="BL92" i="29"/>
  <c r="AM92" i="29"/>
  <c r="BD92" i="29" s="1"/>
  <c r="AZ92" i="29"/>
  <c r="AT92" i="29"/>
  <c r="AS92" i="29"/>
  <c r="AW92" i="29"/>
  <c r="L92" i="29"/>
  <c r="AV92" i="29"/>
  <c r="CV92" i="29"/>
  <c r="AP92" i="29"/>
  <c r="Z92" i="29"/>
  <c r="AH92" i="29"/>
  <c r="BH92" i="29"/>
  <c r="DB92" i="29"/>
  <c r="BO92" i="29"/>
  <c r="CP92" i="29"/>
  <c r="H92" i="29"/>
  <c r="DG91" i="29"/>
  <c r="DH91" i="29"/>
  <c r="DI91" i="29"/>
  <c r="DB91" i="29"/>
  <c r="AI91" i="29"/>
  <c r="AJ91" i="29"/>
  <c r="AK91" i="29"/>
  <c r="AL91" i="29"/>
  <c r="CS91" i="29"/>
  <c r="CP91" i="29"/>
  <c r="CG91" i="29"/>
  <c r="BN91" i="29"/>
  <c r="BU91" i="29"/>
  <c r="CA91" i="29"/>
  <c r="BM91" i="29"/>
  <c r="BZ91" i="29" s="1"/>
  <c r="BT91" i="29"/>
  <c r="BW91" i="29"/>
  <c r="BV91" i="29"/>
  <c r="BS91" i="29"/>
  <c r="BX91" i="29" s="1"/>
  <c r="BY91" i="29" s="1"/>
  <c r="BP91" i="29"/>
  <c r="BO91" i="29"/>
  <c r="BL91" i="29"/>
  <c r="BI91" i="29"/>
  <c r="AM91" i="29"/>
  <c r="BD91" i="29"/>
  <c r="AZ91" i="29"/>
  <c r="AT91" i="29"/>
  <c r="AS91" i="29"/>
  <c r="AW91" i="29"/>
  <c r="AG91" i="29"/>
  <c r="CK91" i="29"/>
  <c r="Z91" i="29"/>
  <c r="DG90" i="29"/>
  <c r="DH90" i="29"/>
  <c r="DI90" i="29"/>
  <c r="N90" i="29"/>
  <c r="AI90" i="29"/>
  <c r="AJ90" i="29"/>
  <c r="AK90" i="29"/>
  <c r="AL90" i="29"/>
  <c r="CZ90" i="29"/>
  <c r="H90" i="29"/>
  <c r="CY90" i="29"/>
  <c r="O90" i="29"/>
  <c r="CR90" i="29" s="1"/>
  <c r="R90" i="29"/>
  <c r="Z90" i="29"/>
  <c r="AG90" i="29"/>
  <c r="BW90" i="29"/>
  <c r="BV90" i="29"/>
  <c r="BU90" i="29"/>
  <c r="BT90" i="29"/>
  <c r="BM90" i="29"/>
  <c r="BZ90" i="29"/>
  <c r="BS90" i="29"/>
  <c r="BP90" i="29"/>
  <c r="L90" i="29"/>
  <c r="BO90" i="29"/>
  <c r="BN90" i="29"/>
  <c r="CA90" i="29" s="1"/>
  <c r="CD90" i="29" s="1"/>
  <c r="BB90" i="29"/>
  <c r="BA90" i="29"/>
  <c r="AU90" i="29"/>
  <c r="AT90" i="29"/>
  <c r="AM90" i="29"/>
  <c r="CW90" i="29"/>
  <c r="CV90" i="29"/>
  <c r="CX90" i="29" s="1"/>
  <c r="BC90" i="29"/>
  <c r="AV90" i="29"/>
  <c r="I90" i="29"/>
  <c r="CG90" i="29" s="1"/>
  <c r="CH90" i="29" s="1"/>
  <c r="DH89" i="29"/>
  <c r="DG89" i="29"/>
  <c r="DI89" i="29"/>
  <c r="DB89" i="29"/>
  <c r="CS89" i="29"/>
  <c r="CP89" i="29"/>
  <c r="AG89" i="29"/>
  <c r="CK89" i="29" s="1"/>
  <c r="Z89" i="29"/>
  <c r="CJ89" i="29" s="1"/>
  <c r="CG89" i="29"/>
  <c r="AJ89" i="29"/>
  <c r="AK89" i="29"/>
  <c r="CH89" i="29"/>
  <c r="BW89" i="29"/>
  <c r="BV89" i="29"/>
  <c r="BS89" i="29"/>
  <c r="BT89" i="29"/>
  <c r="BU89" i="29"/>
  <c r="BX89" i="29"/>
  <c r="BY89" i="29" s="1"/>
  <c r="BN89" i="29"/>
  <c r="BQ89" i="29" s="1"/>
  <c r="BR89" i="29" s="1"/>
  <c r="CA89" i="29"/>
  <c r="CD89" i="29" s="1"/>
  <c r="BM89" i="29"/>
  <c r="BZ89" i="29"/>
  <c r="BL89" i="29"/>
  <c r="BO89" i="29"/>
  <c r="BP89" i="29"/>
  <c r="BI89" i="29"/>
  <c r="AI89" i="29"/>
  <c r="AL89" i="29"/>
  <c r="AQ89" i="29"/>
  <c r="AM89" i="29"/>
  <c r="AU89" i="29"/>
  <c r="CM89" i="29"/>
  <c r="DG88" i="29"/>
  <c r="DI88" i="29" s="1"/>
  <c r="DH88" i="29"/>
  <c r="AJ88" i="29"/>
  <c r="CW88" i="29" s="1"/>
  <c r="AK88" i="29"/>
  <c r="CV88" i="29"/>
  <c r="O88" i="29"/>
  <c r="R88" i="29"/>
  <c r="AI88" i="29"/>
  <c r="AL88" i="29"/>
  <c r="BW88" i="29"/>
  <c r="BU88" i="29"/>
  <c r="BT88" i="29"/>
  <c r="BM88" i="29"/>
  <c r="BZ88" i="29" s="1"/>
  <c r="BP88" i="29"/>
  <c r="BN88" i="29"/>
  <c r="CA88" i="29" s="1"/>
  <c r="CD88" i="29" s="1"/>
  <c r="BA88" i="29"/>
  <c r="AU88" i="29"/>
  <c r="AT88" i="29"/>
  <c r="AM88" i="29"/>
  <c r="AG88" i="29"/>
  <c r="N88" i="29"/>
  <c r="CK88" i="29" s="1"/>
  <c r="Z88" i="29"/>
  <c r="AH88" i="29" s="1"/>
  <c r="BC88" i="29"/>
  <c r="BH88" i="29"/>
  <c r="DB88" i="29"/>
  <c r="L88" i="29"/>
  <c r="I88" i="29"/>
  <c r="H88" i="29"/>
  <c r="DH87" i="29"/>
  <c r="DG87" i="29"/>
  <c r="DI87" i="29" s="1"/>
  <c r="DB87" i="29"/>
  <c r="AJ87" i="29"/>
  <c r="BA87" i="29" s="1"/>
  <c r="AK87" i="29"/>
  <c r="CS87" i="29"/>
  <c r="CP87" i="29"/>
  <c r="CG87" i="29"/>
  <c r="CH87" i="29" s="1"/>
  <c r="BW87" i="29"/>
  <c r="BV87" i="29"/>
  <c r="BU87" i="29"/>
  <c r="BN87" i="29"/>
  <c r="CA87" i="29" s="1"/>
  <c r="BT87" i="29"/>
  <c r="BM87" i="29"/>
  <c r="BZ87" i="29" s="1"/>
  <c r="CC87" i="29"/>
  <c r="BS87" i="29"/>
  <c r="BP87" i="29"/>
  <c r="BO87" i="29"/>
  <c r="BL87" i="29"/>
  <c r="BQ87" i="29" s="1"/>
  <c r="BR87" i="29" s="1"/>
  <c r="BI87" i="29"/>
  <c r="AI87" i="29"/>
  <c r="AS87" i="29" s="1"/>
  <c r="AU87" i="29"/>
  <c r="AT87" i="29"/>
  <c r="AM87" i="29"/>
  <c r="AL87" i="29"/>
  <c r="AG87" i="29"/>
  <c r="CK87" i="29" s="1"/>
  <c r="Z87" i="29"/>
  <c r="DH86" i="29"/>
  <c r="DG86" i="29"/>
  <c r="DI86" i="29"/>
  <c r="DB86" i="29"/>
  <c r="AJ86" i="29"/>
  <c r="AK86" i="29"/>
  <c r="AU86" i="29" s="1"/>
  <c r="CS86" i="29"/>
  <c r="CP86" i="29"/>
  <c r="CG86" i="29"/>
  <c r="CH86" i="29" s="1"/>
  <c r="BW86" i="29"/>
  <c r="BV86" i="29"/>
  <c r="BU86" i="29"/>
  <c r="BN86" i="29"/>
  <c r="CA86" i="29" s="1"/>
  <c r="CD86" i="29" s="1"/>
  <c r="BT86" i="29"/>
  <c r="BZ86" i="29" s="1"/>
  <c r="BM86" i="29"/>
  <c r="BS86" i="29"/>
  <c r="BP86" i="29"/>
  <c r="BO86" i="29"/>
  <c r="BL86" i="29"/>
  <c r="BI86" i="29"/>
  <c r="BA86" i="29"/>
  <c r="AI86" i="29"/>
  <c r="AS86" i="29" s="1"/>
  <c r="AT86" i="29"/>
  <c r="AM86" i="29"/>
  <c r="AL86" i="29"/>
  <c r="AG86" i="29"/>
  <c r="CK86" i="29"/>
  <c r="Z86" i="29"/>
  <c r="DH85" i="29"/>
  <c r="DG85" i="29"/>
  <c r="DI85" i="29" s="1"/>
  <c r="N85" i="29"/>
  <c r="DB85" i="29"/>
  <c r="AI85" i="29"/>
  <c r="AJ85" i="29"/>
  <c r="AK85" i="29"/>
  <c r="AL85" i="29"/>
  <c r="CZ85" i="29"/>
  <c r="I85" i="29"/>
  <c r="L85" i="29"/>
  <c r="H85" i="29"/>
  <c r="CJ85" i="29" s="1"/>
  <c r="Z85" i="29"/>
  <c r="O85" i="29"/>
  <c r="BN85" i="29"/>
  <c r="BU85" i="29"/>
  <c r="CA85" i="29"/>
  <c r="CD85" i="29" s="1"/>
  <c r="BW85" i="29"/>
  <c r="R85" i="29"/>
  <c r="BV85" i="29"/>
  <c r="BT85" i="29"/>
  <c r="BM85" i="29"/>
  <c r="BZ85" i="29"/>
  <c r="CC85" i="29" s="1"/>
  <c r="BP85" i="29"/>
  <c r="BG85" i="29"/>
  <c r="BC85" i="29"/>
  <c r="BB85" i="29"/>
  <c r="BA85" i="29"/>
  <c r="AM85" i="29"/>
  <c r="AW85" i="29"/>
  <c r="AU85" i="29"/>
  <c r="AO85" i="29"/>
  <c r="BD85" i="29"/>
  <c r="AT85" i="29"/>
  <c r="AG85" i="29"/>
  <c r="AH85" i="29" s="1"/>
  <c r="CP85" i="29"/>
  <c r="AS85" i="29"/>
  <c r="DH84" i="29"/>
  <c r="DG84" i="29"/>
  <c r="AJ84" i="29"/>
  <c r="CC84" i="29" s="1"/>
  <c r="AK84" i="29"/>
  <c r="O84" i="29"/>
  <c r="CQ84" i="29" s="1"/>
  <c r="AI84" i="29"/>
  <c r="R84" i="29"/>
  <c r="AL84" i="29"/>
  <c r="I84" i="29"/>
  <c r="CP84" i="29" s="1"/>
  <c r="L84" i="29"/>
  <c r="N84" i="29"/>
  <c r="CK84" i="29" s="1"/>
  <c r="AG84" i="29"/>
  <c r="H84" i="29"/>
  <c r="CJ84" i="29" s="1"/>
  <c r="Z84" i="29"/>
  <c r="AH84" i="29" s="1"/>
  <c r="BM84" i="29"/>
  <c r="BT84" i="29"/>
  <c r="BZ84" i="29"/>
  <c r="BW84" i="29"/>
  <c r="BU84" i="29"/>
  <c r="BN84" i="29"/>
  <c r="CA84" i="29"/>
  <c r="CD84" i="29" s="1"/>
  <c r="BP84" i="29"/>
  <c r="CB84" i="29"/>
  <c r="BL84" i="29"/>
  <c r="BG84" i="29"/>
  <c r="AM84" i="29"/>
  <c r="BD84" i="29" s="1"/>
  <c r="AW84" i="29"/>
  <c r="AS84" i="29"/>
  <c r="AV84" i="29"/>
  <c r="BV84" i="29"/>
  <c r="DB84" i="29"/>
  <c r="BO84" i="29"/>
  <c r="BQ84" i="29" s="1"/>
  <c r="BR84" i="29" s="1"/>
  <c r="DG83" i="29"/>
  <c r="DI83" i="29" s="1"/>
  <c r="DH83" i="29"/>
  <c r="DB83" i="29"/>
  <c r="CS83" i="29"/>
  <c r="CP83" i="29"/>
  <c r="Z83" i="29"/>
  <c r="AG83" i="29"/>
  <c r="CK83" i="29" s="1"/>
  <c r="CG83" i="29"/>
  <c r="BM83" i="29"/>
  <c r="BT83" i="29"/>
  <c r="BZ83" i="29" s="1"/>
  <c r="BW83" i="29"/>
  <c r="BV83" i="29"/>
  <c r="BU83" i="29"/>
  <c r="BS83" i="29"/>
  <c r="BX83" i="29"/>
  <c r="BY83" i="29" s="1"/>
  <c r="BP83" i="29"/>
  <c r="BO83" i="29"/>
  <c r="BN83" i="29"/>
  <c r="CA83" i="29" s="1"/>
  <c r="BL83" i="29"/>
  <c r="BQ83" i="29" s="1"/>
  <c r="BR83" i="29" s="1"/>
  <c r="BI83" i="29"/>
  <c r="AM83" i="29"/>
  <c r="BD83" i="29" s="1"/>
  <c r="AL83" i="29"/>
  <c r="AW83" i="29"/>
  <c r="AI83" i="29"/>
  <c r="AS83" i="29"/>
  <c r="AK83" i="29"/>
  <c r="AJ83" i="29"/>
  <c r="DG82" i="29"/>
  <c r="DI82" i="29" s="1"/>
  <c r="DH82" i="29"/>
  <c r="O82" i="29"/>
  <c r="R82" i="29"/>
  <c r="CS82" i="29"/>
  <c r="H82" i="29"/>
  <c r="Z82" i="29"/>
  <c r="N82" i="29"/>
  <c r="AG82" i="29"/>
  <c r="BW82" i="29"/>
  <c r="BU82" i="29"/>
  <c r="BT82" i="29"/>
  <c r="BS82" i="29"/>
  <c r="BP82" i="29"/>
  <c r="BN82" i="29"/>
  <c r="CA82" i="29"/>
  <c r="AK82" i="29"/>
  <c r="BM82" i="29"/>
  <c r="BZ82" i="29"/>
  <c r="AJ82" i="29"/>
  <c r="BA82" i="29"/>
  <c r="AI82" i="29"/>
  <c r="AZ82" i="29" s="1"/>
  <c r="AT82" i="29"/>
  <c r="AM82" i="29"/>
  <c r="AL82" i="29"/>
  <c r="BC82" i="29"/>
  <c r="BH82" i="29"/>
  <c r="DB82" i="29"/>
  <c r="L82" i="29"/>
  <c r="AV82" i="29" s="1"/>
  <c r="I82" i="29"/>
  <c r="DH81" i="29"/>
  <c r="DG81" i="29"/>
  <c r="N81" i="29"/>
  <c r="DB81" i="29" s="1"/>
  <c r="AI81" i="29"/>
  <c r="AJ81" i="29"/>
  <c r="AK81" i="29"/>
  <c r="AL81" i="29"/>
  <c r="BC81" i="29" s="1"/>
  <c r="H81" i="29"/>
  <c r="CJ81" i="29" s="1"/>
  <c r="CL81" i="29" s="1"/>
  <c r="Z81" i="29"/>
  <c r="AH81" i="29" s="1"/>
  <c r="I81" i="29"/>
  <c r="O81" i="29"/>
  <c r="BW81" i="29"/>
  <c r="R81" i="29"/>
  <c r="BV81" i="29"/>
  <c r="BU81" i="29"/>
  <c r="BN81" i="29"/>
  <c r="CA81" i="29"/>
  <c r="BT81" i="29"/>
  <c r="BM81" i="29"/>
  <c r="BZ81" i="29"/>
  <c r="BP81" i="29"/>
  <c r="BH81" i="29"/>
  <c r="BB81" i="29"/>
  <c r="BA81" i="29"/>
  <c r="AM81" i="29"/>
  <c r="AW81" i="29"/>
  <c r="L81" i="29"/>
  <c r="AV81" i="29" s="1"/>
  <c r="AU81" i="29"/>
  <c r="BD81" i="29"/>
  <c r="AT81" i="29"/>
  <c r="AG81" i="29"/>
  <c r="CS81" i="29"/>
  <c r="DH80" i="29"/>
  <c r="DG80" i="29"/>
  <c r="DB80" i="29"/>
  <c r="AJ80" i="29"/>
  <c r="AK80" i="29"/>
  <c r="CS80" i="29"/>
  <c r="AI80" i="29"/>
  <c r="AL80" i="29"/>
  <c r="CP80" i="29"/>
  <c r="AG80" i="29"/>
  <c r="AH80" i="29" s="1"/>
  <c r="Z80" i="29"/>
  <c r="CJ80" i="29"/>
  <c r="CG80" i="29"/>
  <c r="BN80" i="29"/>
  <c r="BU80" i="29"/>
  <c r="CA80" i="29"/>
  <c r="CD80" i="29" s="1"/>
  <c r="BM80" i="29"/>
  <c r="BZ80" i="29" s="1"/>
  <c r="BT80" i="29"/>
  <c r="BW80" i="29"/>
  <c r="BS80" i="29"/>
  <c r="BV80" i="29"/>
  <c r="BL80" i="29"/>
  <c r="BO80" i="29"/>
  <c r="BP80" i="29"/>
  <c r="BQ80" i="29"/>
  <c r="BR80" i="29" s="1"/>
  <c r="BI80" i="29"/>
  <c r="BC80" i="29"/>
  <c r="BA80" i="29"/>
  <c r="AM80" i="29"/>
  <c r="AW80" i="29" s="1"/>
  <c r="AV80" i="29"/>
  <c r="BD80" i="29"/>
  <c r="CM80" i="29"/>
  <c r="DH79" i="29"/>
  <c r="DG79" i="29"/>
  <c r="DI79" i="29"/>
  <c r="DB79" i="29"/>
  <c r="AA79" i="29"/>
  <c r="AG79" i="29"/>
  <c r="CK79" i="29"/>
  <c r="CG79" i="29"/>
  <c r="BW79" i="29"/>
  <c r="BS79" i="29"/>
  <c r="BX79" i="29" s="1"/>
  <c r="BY79" i="29" s="1"/>
  <c r="BT79" i="29"/>
  <c r="BU79" i="29"/>
  <c r="BV79" i="29"/>
  <c r="BN79" i="29"/>
  <c r="CA79" i="29" s="1"/>
  <c r="CD79" i="29" s="1"/>
  <c r="AK79" i="29"/>
  <c r="BP79" i="29"/>
  <c r="BO79" i="29"/>
  <c r="BM79" i="29"/>
  <c r="BZ79" i="29" s="1"/>
  <c r="BI79" i="29"/>
  <c r="AL79" i="29"/>
  <c r="BC79" i="29" s="1"/>
  <c r="BB79" i="29"/>
  <c r="AM79" i="29"/>
  <c r="AW79" i="29" s="1"/>
  <c r="AV79" i="29"/>
  <c r="AU79" i="29"/>
  <c r="AJ79" i="29"/>
  <c r="T79" i="29"/>
  <c r="Z79" i="29" s="1"/>
  <c r="CS79" i="29"/>
  <c r="DG78" i="29"/>
  <c r="DI78" i="29" s="1"/>
  <c r="DH78" i="29"/>
  <c r="DB78" i="29"/>
  <c r="CG78" i="29"/>
  <c r="BN78" i="29"/>
  <c r="BU78" i="29"/>
  <c r="CA78" i="29" s="1"/>
  <c r="BM78" i="29"/>
  <c r="BT78" i="29"/>
  <c r="BZ78" i="29" s="1"/>
  <c r="BW78" i="29"/>
  <c r="BV78" i="29"/>
  <c r="AA78" i="29"/>
  <c r="BS78" i="29" s="1"/>
  <c r="BP78" i="29"/>
  <c r="BO78" i="29"/>
  <c r="BI78" i="29"/>
  <c r="AM78" i="29"/>
  <c r="BD78" i="29"/>
  <c r="AL78" i="29"/>
  <c r="BC78" i="29" s="1"/>
  <c r="AW78" i="29"/>
  <c r="AV78" i="29"/>
  <c r="AK78" i="29"/>
  <c r="AJ78" i="29"/>
  <c r="AG78" i="29"/>
  <c r="CK78" i="29" s="1"/>
  <c r="T78" i="29"/>
  <c r="Z78" i="29" s="1"/>
  <c r="DH77" i="29"/>
  <c r="DG77" i="29"/>
  <c r="DI77" i="29" s="1"/>
  <c r="DB77" i="29"/>
  <c r="T77" i="29"/>
  <c r="CG77" i="29"/>
  <c r="CH77" i="29" s="1"/>
  <c r="AJ77" i="29"/>
  <c r="AK77" i="29"/>
  <c r="BM77" i="29"/>
  <c r="BT77" i="29"/>
  <c r="BZ77" i="29" s="1"/>
  <c r="BN77" i="29"/>
  <c r="BU77" i="29"/>
  <c r="CA77" i="29" s="1"/>
  <c r="BW77" i="29"/>
  <c r="BV77" i="29"/>
  <c r="BO77" i="29"/>
  <c r="BP77" i="29"/>
  <c r="BI77" i="29"/>
  <c r="BA77" i="29"/>
  <c r="AT77" i="29"/>
  <c r="AM77" i="29"/>
  <c r="AW77" i="29"/>
  <c r="AL77" i="29"/>
  <c r="AA77" i="29"/>
  <c r="DH76" i="29"/>
  <c r="DG76" i="29"/>
  <c r="DI76" i="29" s="1"/>
  <c r="DB76" i="29"/>
  <c r="AA76" i="29"/>
  <c r="BS76" i="29" s="1"/>
  <c r="BX76" i="29" s="1"/>
  <c r="BY76" i="29" s="1"/>
  <c r="CG76" i="29"/>
  <c r="BT76" i="29"/>
  <c r="BU76" i="29"/>
  <c r="BV76" i="29"/>
  <c r="BW76" i="29"/>
  <c r="BN76" i="29"/>
  <c r="CA76" i="29" s="1"/>
  <c r="CD76" i="29" s="1"/>
  <c r="AK76" i="29"/>
  <c r="BP76" i="29"/>
  <c r="BO76" i="29"/>
  <c r="BM76" i="29"/>
  <c r="BZ76" i="29"/>
  <c r="BI76" i="29"/>
  <c r="AL76" i="29"/>
  <c r="AV76" i="29" s="1"/>
  <c r="BB76" i="29"/>
  <c r="AJ76" i="29"/>
  <c r="BA76" i="29" s="1"/>
  <c r="AM76" i="29"/>
  <c r="AW76" i="29"/>
  <c r="AU76" i="29"/>
  <c r="BD76" i="29"/>
  <c r="T76" i="29"/>
  <c r="Z76" i="29" s="1"/>
  <c r="CS76" i="29"/>
  <c r="DH75" i="29"/>
  <c r="DG75" i="29"/>
  <c r="DI75" i="29" s="1"/>
  <c r="DB75" i="29"/>
  <c r="AJ75" i="29"/>
  <c r="CW75" i="29" s="1"/>
  <c r="AK75" i="29"/>
  <c r="CG75" i="29"/>
  <c r="CH75" i="29" s="1"/>
  <c r="BN75" i="29"/>
  <c r="CA75" i="29" s="1"/>
  <c r="CD75" i="29" s="1"/>
  <c r="BU75" i="29"/>
  <c r="BW75" i="29"/>
  <c r="BV75" i="29"/>
  <c r="BT75" i="29"/>
  <c r="BP75" i="29"/>
  <c r="BO75" i="29"/>
  <c r="BM75" i="29"/>
  <c r="BI75" i="29"/>
  <c r="AM75" i="29"/>
  <c r="BD75" i="29" s="1"/>
  <c r="BB75" i="29"/>
  <c r="AW75" i="29"/>
  <c r="AL75" i="29"/>
  <c r="AV75" i="29" s="1"/>
  <c r="BC75" i="29"/>
  <c r="AU75" i="29"/>
  <c r="AA75" i="29"/>
  <c r="T75" i="29"/>
  <c r="DH74" i="29"/>
  <c r="DI74" i="29" s="1"/>
  <c r="DG74" i="29"/>
  <c r="DB74" i="29"/>
  <c r="AA74" i="29"/>
  <c r="CS74" i="29"/>
  <c r="T74" i="29"/>
  <c r="CP74" i="29" s="1"/>
  <c r="CG74" i="29"/>
  <c r="CH74" i="29" s="1"/>
  <c r="AJ74" i="29"/>
  <c r="BA74" i="29" s="1"/>
  <c r="AK74" i="29"/>
  <c r="BM74" i="29"/>
  <c r="BZ74" i="29" s="1"/>
  <c r="CC74" i="29" s="1"/>
  <c r="BT74" i="29"/>
  <c r="BW74" i="29"/>
  <c r="BV74" i="29"/>
  <c r="BU74" i="29"/>
  <c r="BP74" i="29"/>
  <c r="BO74" i="29"/>
  <c r="BN74" i="29"/>
  <c r="BI74" i="29"/>
  <c r="AU74" i="29"/>
  <c r="AT74" i="29"/>
  <c r="AM74" i="29"/>
  <c r="AW74" i="29"/>
  <c r="AL74" i="29"/>
  <c r="BB74" i="29"/>
  <c r="CW74" i="29"/>
  <c r="BS74" i="29"/>
  <c r="BL74" i="29"/>
  <c r="DG73" i="29"/>
  <c r="DI73" i="29" s="1"/>
  <c r="DH73" i="29"/>
  <c r="DB73" i="29"/>
  <c r="AJ73" i="29"/>
  <c r="AK73" i="29"/>
  <c r="CV73" i="29" s="1"/>
  <c r="T73" i="29"/>
  <c r="Z73" i="29" s="1"/>
  <c r="CP73" i="29"/>
  <c r="CG73" i="29"/>
  <c r="BN73" i="29"/>
  <c r="BU73" i="29"/>
  <c r="AA73" i="29"/>
  <c r="BS73" i="29"/>
  <c r="BT73" i="29"/>
  <c r="BV73" i="29"/>
  <c r="BW73" i="29"/>
  <c r="BL73" i="29"/>
  <c r="BM73" i="29"/>
  <c r="BO73" i="29"/>
  <c r="BP73" i="29"/>
  <c r="BZ73" i="29"/>
  <c r="CC73" i="29" s="1"/>
  <c r="BI73" i="29"/>
  <c r="AL73" i="29"/>
  <c r="BC73" i="29" s="1"/>
  <c r="BB73" i="29"/>
  <c r="AM73" i="29"/>
  <c r="AT73" i="29"/>
  <c r="AI73" i="29"/>
  <c r="AG73" i="29"/>
  <c r="CS73" i="29"/>
  <c r="DG72" i="29"/>
  <c r="DI72" i="29" s="1"/>
  <c r="DH72" i="29"/>
  <c r="H72" i="29"/>
  <c r="Z72" i="29"/>
  <c r="N72" i="29"/>
  <c r="AG72" i="29"/>
  <c r="BM72" i="29"/>
  <c r="BZ72" i="29" s="1"/>
  <c r="CC72" i="29" s="1"/>
  <c r="BT72" i="29"/>
  <c r="BW72" i="29"/>
  <c r="BU72" i="29"/>
  <c r="O72" i="29"/>
  <c r="AZ72" i="29" s="1"/>
  <c r="BS72" i="29"/>
  <c r="BP72" i="29"/>
  <c r="L72" i="29"/>
  <c r="BO72" i="29"/>
  <c r="BQ72" i="29" s="1"/>
  <c r="BR72" i="29" s="1"/>
  <c r="BN72" i="29"/>
  <c r="I72" i="29"/>
  <c r="BL72" i="29"/>
  <c r="AM72" i="29"/>
  <c r="AW72" i="29" s="1"/>
  <c r="AJ72" i="29"/>
  <c r="BA72" i="29"/>
  <c r="AI72" i="29"/>
  <c r="AS72" i="29" s="1"/>
  <c r="AT72" i="29"/>
  <c r="AL72" i="29"/>
  <c r="AK72" i="29"/>
  <c r="R72" i="29"/>
  <c r="BH72" i="29"/>
  <c r="DB72" i="29"/>
  <c r="CJ72" i="29"/>
  <c r="DH71" i="29"/>
  <c r="DG71" i="29"/>
  <c r="DI71" i="29"/>
  <c r="DB71" i="29"/>
  <c r="CS71" i="29"/>
  <c r="CP71" i="29"/>
  <c r="Z71" i="29"/>
  <c r="AH71" i="29" s="1"/>
  <c r="AG71" i="29"/>
  <c r="CK71" i="29" s="1"/>
  <c r="CG71" i="29"/>
  <c r="BN71" i="29"/>
  <c r="BU71" i="29"/>
  <c r="CA71" i="29"/>
  <c r="CD71" i="29" s="1"/>
  <c r="BW71" i="29"/>
  <c r="BV71" i="29"/>
  <c r="BT71" i="29"/>
  <c r="BM71" i="29"/>
  <c r="BZ71" i="29" s="1"/>
  <c r="CC71" i="29" s="1"/>
  <c r="AJ71" i="29"/>
  <c r="BA71" i="29" s="1"/>
  <c r="BS71" i="29"/>
  <c r="BX71" i="29"/>
  <c r="BY71" i="29" s="1"/>
  <c r="BP71" i="29"/>
  <c r="BO71" i="29"/>
  <c r="BL71" i="29"/>
  <c r="BQ71" i="29" s="1"/>
  <c r="BR71" i="29" s="1"/>
  <c r="BI71" i="29"/>
  <c r="AM71" i="29"/>
  <c r="BD71" i="29"/>
  <c r="AI71" i="29"/>
  <c r="AS71" i="29" s="1"/>
  <c r="AZ71" i="29"/>
  <c r="AW71" i="29"/>
  <c r="AL71" i="29"/>
  <c r="AK71" i="29"/>
  <c r="DH70" i="29"/>
  <c r="DI70" i="29" s="1"/>
  <c r="DG70" i="29"/>
  <c r="N70" i="29"/>
  <c r="DB70" i="29" s="1"/>
  <c r="H70" i="29"/>
  <c r="AI70" i="29"/>
  <c r="AJ70" i="29"/>
  <c r="AK70" i="29"/>
  <c r="AL70" i="29"/>
  <c r="I70" i="29"/>
  <c r="L70" i="29"/>
  <c r="Z70" i="29"/>
  <c r="BM70" i="29"/>
  <c r="BZ70" i="29" s="1"/>
  <c r="BT70" i="29"/>
  <c r="CC70" i="29"/>
  <c r="BN70" i="29"/>
  <c r="CA70" i="29" s="1"/>
  <c r="BU70" i="29"/>
  <c r="BW70" i="29"/>
  <c r="R70" i="29"/>
  <c r="BV70" i="29" s="1"/>
  <c r="BP70" i="29"/>
  <c r="BO70" i="29"/>
  <c r="BI70" i="29"/>
  <c r="O70" i="29"/>
  <c r="BA70" i="29"/>
  <c r="BC70" i="29"/>
  <c r="AT70" i="29"/>
  <c r="AM70" i="29"/>
  <c r="AG70" i="29"/>
  <c r="AV70" i="29"/>
  <c r="DH69" i="29"/>
  <c r="DG69" i="29"/>
  <c r="DI69" i="29"/>
  <c r="N69" i="29"/>
  <c r="DB69" i="29" s="1"/>
  <c r="H69" i="29"/>
  <c r="CJ69" i="29" s="1"/>
  <c r="Z69" i="29"/>
  <c r="BN69" i="29"/>
  <c r="CA69" i="29" s="1"/>
  <c r="CD69" i="29" s="1"/>
  <c r="BU69" i="29"/>
  <c r="BW69" i="29"/>
  <c r="BT69" i="29"/>
  <c r="BM69" i="29"/>
  <c r="BZ69" i="29"/>
  <c r="BP69" i="29"/>
  <c r="L69" i="29"/>
  <c r="BO69" i="29"/>
  <c r="BI69" i="29"/>
  <c r="AJ69" i="29"/>
  <c r="BA69" i="29"/>
  <c r="O69" i="29"/>
  <c r="AI69" i="29"/>
  <c r="AZ69" i="29"/>
  <c r="BF69" i="29" s="1"/>
  <c r="AT69" i="29"/>
  <c r="AM69" i="29"/>
  <c r="AL69" i="29"/>
  <c r="AV69" i="29" s="1"/>
  <c r="AK69" i="29"/>
  <c r="AG69" i="29"/>
  <c r="R69" i="29"/>
  <c r="I69" i="29"/>
  <c r="CG69" i="29"/>
  <c r="CH69" i="29" s="1"/>
  <c r="DH68" i="29"/>
  <c r="DG68" i="29"/>
  <c r="DI68" i="29" s="1"/>
  <c r="DB68" i="29"/>
  <c r="AI68" i="29"/>
  <c r="CZ68" i="29" s="1"/>
  <c r="AJ68" i="29"/>
  <c r="AK68" i="29"/>
  <c r="AL68" i="29"/>
  <c r="CV68" i="29"/>
  <c r="CS68" i="29"/>
  <c r="CP68" i="29"/>
  <c r="CG68" i="29"/>
  <c r="CH68" i="29" s="1"/>
  <c r="BM68" i="29"/>
  <c r="BT68" i="29"/>
  <c r="BZ68" i="29"/>
  <c r="CC68" i="29" s="1"/>
  <c r="BW68" i="29"/>
  <c r="BV68" i="29"/>
  <c r="BU68" i="29"/>
  <c r="BS68" i="29"/>
  <c r="BP68" i="29"/>
  <c r="BO68" i="29"/>
  <c r="BN68" i="29"/>
  <c r="BL68" i="29"/>
  <c r="BI68" i="29"/>
  <c r="BA68" i="29"/>
  <c r="AZ68" i="29"/>
  <c r="AT68" i="29"/>
  <c r="AS68" i="29"/>
  <c r="AM68" i="29"/>
  <c r="AW68" i="29" s="1"/>
  <c r="AG68" i="29"/>
  <c r="Z68" i="29"/>
  <c r="DH67" i="29"/>
  <c r="DG67" i="29"/>
  <c r="DI67" i="29" s="1"/>
  <c r="N67" i="29"/>
  <c r="DB67" i="29"/>
  <c r="AI67" i="29"/>
  <c r="CZ67" i="29" s="1"/>
  <c r="AJ67" i="29"/>
  <c r="AK67" i="29"/>
  <c r="CV67" i="29" s="1"/>
  <c r="AL67" i="29"/>
  <c r="I67" i="29"/>
  <c r="L67" i="29"/>
  <c r="O67" i="29"/>
  <c r="AZ67" i="29" s="1"/>
  <c r="BM67" i="29"/>
  <c r="BT67" i="29"/>
  <c r="BZ67" i="29"/>
  <c r="CC67" i="29" s="1"/>
  <c r="BW67" i="29"/>
  <c r="BU67" i="29"/>
  <c r="BP67" i="29"/>
  <c r="BO67" i="29"/>
  <c r="BN67" i="29"/>
  <c r="CA67" i="29" s="1"/>
  <c r="CB67" i="29" s="1"/>
  <c r="CD67" i="29"/>
  <c r="BI67" i="29"/>
  <c r="AM67" i="29"/>
  <c r="BD67" i="29"/>
  <c r="BA67" i="29"/>
  <c r="AT67" i="29"/>
  <c r="AW67" i="29"/>
  <c r="AP67" i="29"/>
  <c r="AG67" i="29"/>
  <c r="CK67" i="29" s="1"/>
  <c r="Z67" i="29"/>
  <c r="AH67" i="29"/>
  <c r="R67" i="29"/>
  <c r="H67" i="29"/>
  <c r="CM67" i="29" s="1"/>
  <c r="DH66" i="29"/>
  <c r="DG66" i="29"/>
  <c r="DI66" i="29" s="1"/>
  <c r="N66" i="29"/>
  <c r="DB66" i="29" s="1"/>
  <c r="H66" i="29"/>
  <c r="AI66" i="29"/>
  <c r="AJ66" i="29"/>
  <c r="BA66" i="29" s="1"/>
  <c r="AK66" i="29"/>
  <c r="AL66" i="29"/>
  <c r="I66" i="29"/>
  <c r="L66" i="29"/>
  <c r="AV66" i="29" s="1"/>
  <c r="Z66" i="29"/>
  <c r="CM66" i="29" s="1"/>
  <c r="BM66" i="29"/>
  <c r="BT66" i="29"/>
  <c r="BZ66" i="29" s="1"/>
  <c r="CC66" i="29" s="1"/>
  <c r="BW66" i="29"/>
  <c r="R66" i="29"/>
  <c r="BV66" i="29" s="1"/>
  <c r="BU66" i="29"/>
  <c r="BN66" i="29"/>
  <c r="CA66" i="29" s="1"/>
  <c r="CD66" i="29" s="1"/>
  <c r="BP66" i="29"/>
  <c r="BI66" i="29"/>
  <c r="O66" i="29"/>
  <c r="BB66" i="29"/>
  <c r="BC66" i="29"/>
  <c r="AU66" i="29"/>
  <c r="AT66" i="29"/>
  <c r="AM66" i="29"/>
  <c r="AG66" i="29"/>
  <c r="DH65" i="29"/>
  <c r="DI65" i="29" s="1"/>
  <c r="DG65" i="29"/>
  <c r="H65" i="29"/>
  <c r="Z65" i="29"/>
  <c r="CJ65" i="29"/>
  <c r="BN65" i="29"/>
  <c r="BU65" i="29"/>
  <c r="CA65" i="29"/>
  <c r="CD65" i="29" s="1"/>
  <c r="AK65" i="29"/>
  <c r="BW65" i="29"/>
  <c r="R65" i="29"/>
  <c r="BC65" i="29" s="1"/>
  <c r="BT65" i="29"/>
  <c r="BM65" i="29"/>
  <c r="BZ65" i="29" s="1"/>
  <c r="CB65" i="29" s="1"/>
  <c r="BP65" i="29"/>
  <c r="L65" i="29"/>
  <c r="AV65" i="29" s="1"/>
  <c r="O65" i="29"/>
  <c r="AL65" i="29"/>
  <c r="BB65" i="29"/>
  <c r="AU65" i="29"/>
  <c r="AM65" i="29"/>
  <c r="AJ65" i="29"/>
  <c r="CW65" i="29"/>
  <c r="AI65" i="29"/>
  <c r="AG65" i="29"/>
  <c r="AH65" i="29"/>
  <c r="N65" i="29"/>
  <c r="I65" i="29"/>
  <c r="DH64" i="29"/>
  <c r="DI64" i="29" s="1"/>
  <c r="DG64" i="29"/>
  <c r="O64" i="29"/>
  <c r="AI64" i="29"/>
  <c r="AJ64" i="29"/>
  <c r="CW64" i="29" s="1"/>
  <c r="AK64" i="29"/>
  <c r="BB64" i="29" s="1"/>
  <c r="R64" i="29"/>
  <c r="AL64" i="29"/>
  <c r="BC64" i="29" s="1"/>
  <c r="H64" i="29"/>
  <c r="Z64" i="29"/>
  <c r="CJ64" i="29"/>
  <c r="BN64" i="29"/>
  <c r="CA64" i="29" s="1"/>
  <c r="CD64" i="29" s="1"/>
  <c r="BU64" i="29"/>
  <c r="BW64" i="29"/>
  <c r="BV64" i="29"/>
  <c r="BT64" i="29"/>
  <c r="BS64" i="29"/>
  <c r="BP64" i="29"/>
  <c r="BM64" i="29"/>
  <c r="BZ64" i="29"/>
  <c r="BI64" i="29"/>
  <c r="AZ64" i="29"/>
  <c r="L64" i="29"/>
  <c r="BO64" i="29" s="1"/>
  <c r="AM64" i="29"/>
  <c r="AG64" i="29"/>
  <c r="AH64" i="29"/>
  <c r="CS64" i="29"/>
  <c r="N64" i="29"/>
  <c r="I64" i="29"/>
  <c r="DH63" i="29"/>
  <c r="DG63" i="29"/>
  <c r="DI63" i="29" s="1"/>
  <c r="O63" i="29"/>
  <c r="AI63" i="29"/>
  <c r="AJ63" i="29"/>
  <c r="AK63" i="29"/>
  <c r="R63" i="29"/>
  <c r="BV63" i="29" s="1"/>
  <c r="AL63" i="29"/>
  <c r="I63" i="29"/>
  <c r="L63" i="29"/>
  <c r="CP63" i="29"/>
  <c r="N63" i="29"/>
  <c r="AG63" i="29"/>
  <c r="CK63" i="29"/>
  <c r="CL63" i="29" s="1"/>
  <c r="H63" i="29"/>
  <c r="Z63" i="29"/>
  <c r="CJ63" i="29"/>
  <c r="BW63" i="29"/>
  <c r="BU63" i="29"/>
  <c r="CA63" i="29" s="1"/>
  <c r="BN63" i="29"/>
  <c r="BT63" i="29"/>
  <c r="BP63" i="29"/>
  <c r="BM63" i="29"/>
  <c r="BZ63" i="29"/>
  <c r="CC63" i="29" s="1"/>
  <c r="BL63" i="29"/>
  <c r="BO63" i="29"/>
  <c r="BQ63" i="29"/>
  <c r="BR63" i="29" s="1"/>
  <c r="BG63" i="29"/>
  <c r="AM63" i="29"/>
  <c r="BD63" i="29"/>
  <c r="BC63" i="29"/>
  <c r="AW63" i="29"/>
  <c r="AQ63" i="29"/>
  <c r="AR63" i="29" s="1"/>
  <c r="AH63" i="29"/>
  <c r="AV63" i="29"/>
  <c r="DG62" i="29"/>
  <c r="DH62" i="29"/>
  <c r="DI62" i="29"/>
  <c r="H62" i="29"/>
  <c r="Z62" i="29"/>
  <c r="N62" i="29"/>
  <c r="AG62" i="29"/>
  <c r="BM62" i="29"/>
  <c r="BZ62" i="29" s="1"/>
  <c r="BT62" i="29"/>
  <c r="BW62" i="29"/>
  <c r="BU62" i="29"/>
  <c r="O62" i="29"/>
  <c r="BH62" i="29" s="1"/>
  <c r="BP62" i="29"/>
  <c r="L62" i="29"/>
  <c r="BO62" i="29" s="1"/>
  <c r="BN62" i="29"/>
  <c r="I62" i="29"/>
  <c r="BL62" i="29"/>
  <c r="BG62" i="29"/>
  <c r="AM62" i="29"/>
  <c r="AW62" i="29" s="1"/>
  <c r="AJ62" i="29"/>
  <c r="BA62" i="29"/>
  <c r="AI62" i="29"/>
  <c r="AS62" i="29" s="1"/>
  <c r="AT62" i="29"/>
  <c r="AL62" i="29"/>
  <c r="AK62" i="29"/>
  <c r="AH62" i="29"/>
  <c r="R62" i="29"/>
  <c r="CJ62" i="29"/>
  <c r="DH61" i="29"/>
  <c r="DG61" i="29"/>
  <c r="DI61" i="29"/>
  <c r="AJ61" i="29"/>
  <c r="AK61" i="29"/>
  <c r="CV61" i="29"/>
  <c r="CX61" i="29" s="1"/>
  <c r="CW61" i="29"/>
  <c r="H61" i="29"/>
  <c r="CJ61" i="29" s="1"/>
  <c r="Z61" i="29"/>
  <c r="BN61" i="29"/>
  <c r="CA61" i="29" s="1"/>
  <c r="BU61" i="29"/>
  <c r="CD61" i="29"/>
  <c r="BW61" i="29"/>
  <c r="R61" i="29"/>
  <c r="BV61" i="29"/>
  <c r="BT61" i="29"/>
  <c r="BZ61" i="29" s="1"/>
  <c r="BM61" i="29"/>
  <c r="BP61" i="29"/>
  <c r="O61" i="29"/>
  <c r="BH61" i="29"/>
  <c r="I61" i="29"/>
  <c r="BG61" i="29" s="1"/>
  <c r="BI61" i="29"/>
  <c r="AL61" i="29"/>
  <c r="BC61" i="29" s="1"/>
  <c r="BB61" i="29"/>
  <c r="AM61" i="29"/>
  <c r="AW61" i="29" s="1"/>
  <c r="AU61" i="29"/>
  <c r="AT61" i="29"/>
  <c r="AI61" i="29"/>
  <c r="AG61" i="29"/>
  <c r="AH61" i="29" s="1"/>
  <c r="AR61" i="29" s="1"/>
  <c r="N61" i="29"/>
  <c r="L61" i="29"/>
  <c r="BO61" i="29" s="1"/>
  <c r="DH60" i="29"/>
  <c r="DG60" i="29"/>
  <c r="DI60" i="29" s="1"/>
  <c r="AJ60" i="29"/>
  <c r="CV60" i="29" s="1"/>
  <c r="AK60" i="29"/>
  <c r="H60" i="29"/>
  <c r="CJ60" i="29" s="1"/>
  <c r="Z60" i="29"/>
  <c r="BM60" i="29"/>
  <c r="BZ60" i="29" s="1"/>
  <c r="CC60" i="29" s="1"/>
  <c r="BT60" i="29"/>
  <c r="BW60" i="29"/>
  <c r="BU60" i="29"/>
  <c r="BN60" i="29"/>
  <c r="CA60" i="29" s="1"/>
  <c r="O60" i="29"/>
  <c r="BS60" i="29" s="1"/>
  <c r="BP60" i="29"/>
  <c r="I60" i="29"/>
  <c r="AM60" i="29"/>
  <c r="BD60" i="29"/>
  <c r="AW60" i="29"/>
  <c r="L60" i="29"/>
  <c r="AV60" i="29" s="1"/>
  <c r="AL60" i="29"/>
  <c r="AI60" i="29"/>
  <c r="AG60" i="29"/>
  <c r="AH60" i="29"/>
  <c r="R60" i="29"/>
  <c r="N60" i="29"/>
  <c r="DH59" i="29"/>
  <c r="DG59" i="29"/>
  <c r="DI59" i="29"/>
  <c r="BI59" i="29"/>
  <c r="AM59" i="29"/>
  <c r="AL59" i="29"/>
  <c r="AJ59" i="29"/>
  <c r="AI59" i="29"/>
  <c r="AC59" i="29"/>
  <c r="V59" i="29"/>
  <c r="Z59" i="29" s="1"/>
  <c r="DH58" i="29"/>
  <c r="DG58" i="29"/>
  <c r="DI58" i="29" s="1"/>
  <c r="DB58" i="29"/>
  <c r="CS58" i="29"/>
  <c r="CP58" i="29"/>
  <c r="AG58" i="29"/>
  <c r="CK58" i="29"/>
  <c r="Z58" i="29"/>
  <c r="AH58" i="29" s="1"/>
  <c r="CG58" i="29"/>
  <c r="BM58" i="29"/>
  <c r="BZ58" i="29" s="1"/>
  <c r="CC58" i="29" s="1"/>
  <c r="BT58" i="29"/>
  <c r="AJ58" i="29"/>
  <c r="BW58" i="29"/>
  <c r="BV58" i="29"/>
  <c r="BU58" i="29"/>
  <c r="BS58" i="29"/>
  <c r="BX58" i="29" s="1"/>
  <c r="BY58" i="29" s="1"/>
  <c r="BP58" i="29"/>
  <c r="BQ58" i="29" s="1"/>
  <c r="BR58" i="29" s="1"/>
  <c r="BO58" i="29"/>
  <c r="BN58" i="29"/>
  <c r="BL58" i="29"/>
  <c r="BI58" i="29"/>
  <c r="AL58" i="29"/>
  <c r="BC58" i="29"/>
  <c r="AI58" i="29"/>
  <c r="CR58" i="29" s="1"/>
  <c r="AV58" i="29"/>
  <c r="AM58" i="29"/>
  <c r="BD58" i="29"/>
  <c r="AK58" i="29"/>
  <c r="CM58" i="29"/>
  <c r="DH57" i="29"/>
  <c r="DG57" i="29"/>
  <c r="DI57" i="29"/>
  <c r="DB57" i="29"/>
  <c r="AJ57" i="29"/>
  <c r="AK57" i="29"/>
  <c r="CQ57" i="29" s="1"/>
  <c r="CS57" i="29"/>
  <c r="CP57" i="29"/>
  <c r="Z57" i="29"/>
  <c r="CJ57" i="29" s="1"/>
  <c r="CG57" i="29"/>
  <c r="BM57" i="29"/>
  <c r="BT57" i="29"/>
  <c r="BZ57" i="29"/>
  <c r="CC57" i="29" s="1"/>
  <c r="BW57" i="29"/>
  <c r="BV57" i="29"/>
  <c r="BU57" i="29"/>
  <c r="BS57" i="29"/>
  <c r="BP57" i="29"/>
  <c r="BQ57" i="29" s="1"/>
  <c r="BR57" i="29" s="1"/>
  <c r="BO57" i="29"/>
  <c r="BN57" i="29"/>
  <c r="CA57" i="29"/>
  <c r="CD57" i="29" s="1"/>
  <c r="BL57" i="29"/>
  <c r="BI57" i="29"/>
  <c r="AL57" i="29"/>
  <c r="BC57" i="29"/>
  <c r="AV57" i="29"/>
  <c r="AU57" i="29"/>
  <c r="AM57" i="29"/>
  <c r="AI57" i="29"/>
  <c r="AG57" i="29"/>
  <c r="CM57" i="29"/>
  <c r="DH56" i="29"/>
  <c r="DG56" i="29"/>
  <c r="DI56" i="29" s="1"/>
  <c r="N56" i="29"/>
  <c r="DB56" i="29" s="1"/>
  <c r="AJ56" i="29"/>
  <c r="CV56" i="29" s="1"/>
  <c r="AK56" i="29"/>
  <c r="I56" i="29"/>
  <c r="L56" i="29"/>
  <c r="CP56" i="29" s="1"/>
  <c r="H56" i="29"/>
  <c r="CJ56" i="29" s="1"/>
  <c r="Z56" i="29"/>
  <c r="BN56" i="29"/>
  <c r="BU56" i="29"/>
  <c r="CA56" i="29" s="1"/>
  <c r="CD56" i="29" s="1"/>
  <c r="BW56" i="29"/>
  <c r="BT56" i="29"/>
  <c r="BP56" i="29"/>
  <c r="BM56" i="29"/>
  <c r="BZ56" i="29" s="1"/>
  <c r="BL56" i="29"/>
  <c r="BI56" i="29"/>
  <c r="AT56" i="29"/>
  <c r="AM56" i="29"/>
  <c r="AL56" i="29"/>
  <c r="AI56" i="29"/>
  <c r="AG56" i="29"/>
  <c r="AH56" i="29"/>
  <c r="R56" i="29"/>
  <c r="BV56" i="29" s="1"/>
  <c r="BX56" i="29" s="1"/>
  <c r="BY56" i="29" s="1"/>
  <c r="O56" i="29"/>
  <c r="CM56" i="29"/>
  <c r="BO56" i="29"/>
  <c r="DG55" i="29"/>
  <c r="DI55" i="29" s="1"/>
  <c r="DH55" i="29"/>
  <c r="O55" i="29"/>
  <c r="AI55" i="29"/>
  <c r="CR55" i="29" s="1"/>
  <c r="AJ55" i="29"/>
  <c r="AK55" i="29"/>
  <c r="R55" i="29"/>
  <c r="AL55" i="29"/>
  <c r="H55" i="29"/>
  <c r="CJ55" i="29" s="1"/>
  <c r="CL55" i="29" s="1"/>
  <c r="Z55" i="29"/>
  <c r="BN55" i="29"/>
  <c r="BU55" i="29"/>
  <c r="BW55" i="29"/>
  <c r="BV55" i="29"/>
  <c r="BT55" i="29"/>
  <c r="BM55" i="29"/>
  <c r="BZ55" i="29" s="1"/>
  <c r="BP55" i="29"/>
  <c r="BI55" i="29"/>
  <c r="AM55" i="29"/>
  <c r="AW55" i="29" s="1"/>
  <c r="BD55" i="29"/>
  <c r="BC55" i="29"/>
  <c r="BB55" i="29"/>
  <c r="AU55" i="29"/>
  <c r="AG55" i="29"/>
  <c r="AH55" i="29"/>
  <c r="N55" i="29"/>
  <c r="L55" i="29"/>
  <c r="BO55" i="29" s="1"/>
  <c r="I55" i="29"/>
  <c r="DG54" i="29"/>
  <c r="DI54" i="29" s="1"/>
  <c r="DH54" i="29"/>
  <c r="DB54" i="29"/>
  <c r="AJ54" i="29"/>
  <c r="CW54" i="29" s="1"/>
  <c r="AK54" i="29"/>
  <c r="CS54" i="29"/>
  <c r="CP54" i="29"/>
  <c r="AI54" i="29"/>
  <c r="AL54" i="29"/>
  <c r="CO54" i="29"/>
  <c r="Z54" i="29"/>
  <c r="CJ54" i="29" s="1"/>
  <c r="CL54" i="29" s="1"/>
  <c r="CG54" i="29"/>
  <c r="CH54" i="29" s="1"/>
  <c r="BM54" i="29"/>
  <c r="BZ54" i="29" s="1"/>
  <c r="BT54" i="29"/>
  <c r="BN54" i="29"/>
  <c r="CA54" i="29" s="1"/>
  <c r="CD54" i="29" s="1"/>
  <c r="BU54" i="29"/>
  <c r="BW54" i="29"/>
  <c r="BX54" i="29" s="1"/>
  <c r="BV54" i="29"/>
  <c r="BS54" i="29"/>
  <c r="BL54" i="29"/>
  <c r="BQ54" i="29" s="1"/>
  <c r="BR54" i="29" s="1"/>
  <c r="BO54" i="29"/>
  <c r="BP54" i="29"/>
  <c r="BI54" i="29"/>
  <c r="AM54" i="29"/>
  <c r="AW54" i="29" s="1"/>
  <c r="BD54" i="29"/>
  <c r="BC54" i="29"/>
  <c r="BA54" i="29"/>
  <c r="AV54" i="29"/>
  <c r="AT54" i="29"/>
  <c r="BB54" i="29"/>
  <c r="AG54" i="29"/>
  <c r="CK54" i="29" s="1"/>
  <c r="AH54" i="29"/>
  <c r="DH53" i="29"/>
  <c r="DG53" i="29"/>
  <c r="H53" i="29"/>
  <c r="Z53" i="29"/>
  <c r="CJ53" i="29"/>
  <c r="BW53" i="29"/>
  <c r="BU53" i="29"/>
  <c r="BT53" i="29"/>
  <c r="O53" i="29"/>
  <c r="BS53" i="29" s="1"/>
  <c r="BX53" i="29" s="1"/>
  <c r="BY53" i="29" s="1"/>
  <c r="BP53" i="29"/>
  <c r="BN53" i="29"/>
  <c r="CA53" i="29" s="1"/>
  <c r="BM53" i="29"/>
  <c r="BZ53" i="29" s="1"/>
  <c r="I53" i="29"/>
  <c r="BL53" i="29"/>
  <c r="BI53" i="29"/>
  <c r="AM53" i="29"/>
  <c r="BD53" i="29"/>
  <c r="AJ53" i="29"/>
  <c r="BA53" i="29" s="1"/>
  <c r="AW53" i="29"/>
  <c r="AT53" i="29"/>
  <c r="AL53" i="29"/>
  <c r="AK53" i="29"/>
  <c r="AI53" i="29"/>
  <c r="AG53" i="29"/>
  <c r="AH53" i="29" s="1"/>
  <c r="R53" i="29"/>
  <c r="N53" i="29"/>
  <c r="L53" i="29"/>
  <c r="BO53" i="29"/>
  <c r="DH52" i="29"/>
  <c r="DG52" i="29"/>
  <c r="DI52" i="29"/>
  <c r="DB52" i="29"/>
  <c r="AJ52" i="29"/>
  <c r="AK52" i="29"/>
  <c r="CV52" i="29"/>
  <c r="CX52" i="29" s="1"/>
  <c r="CW52" i="29"/>
  <c r="CS52" i="29"/>
  <c r="CP52" i="29"/>
  <c r="AG52" i="29"/>
  <c r="AH52" i="29" s="1"/>
  <c r="CG52" i="29"/>
  <c r="BN52" i="29"/>
  <c r="CA52" i="29" s="1"/>
  <c r="CD52" i="29" s="1"/>
  <c r="BU52" i="29"/>
  <c r="BS52" i="29"/>
  <c r="BT52" i="29"/>
  <c r="BV52" i="29"/>
  <c r="BW52" i="29"/>
  <c r="BX52" i="29"/>
  <c r="BY52" i="29"/>
  <c r="BM52" i="29"/>
  <c r="BZ52" i="29"/>
  <c r="BL52" i="29"/>
  <c r="BO52" i="29"/>
  <c r="BP52" i="29"/>
  <c r="BI52" i="29"/>
  <c r="AM52" i="29"/>
  <c r="BD52" i="29"/>
  <c r="BB52" i="29"/>
  <c r="BA52" i="29"/>
  <c r="AU52" i="29"/>
  <c r="AT52" i="29"/>
  <c r="AI52" i="29"/>
  <c r="AS52" i="29" s="1"/>
  <c r="AL52" i="29"/>
  <c r="AO52" i="29"/>
  <c r="AW52" i="29"/>
  <c r="Z52" i="29"/>
  <c r="DH51" i="29"/>
  <c r="DI51" i="29" s="1"/>
  <c r="DG51" i="29"/>
  <c r="I51" i="29"/>
  <c r="L51" i="29"/>
  <c r="N51" i="29"/>
  <c r="AG51" i="29"/>
  <c r="CK51" i="29" s="1"/>
  <c r="H51" i="29"/>
  <c r="Z51" i="29"/>
  <c r="CJ51" i="29"/>
  <c r="O51" i="29"/>
  <c r="BM51" i="29"/>
  <c r="BT51" i="29"/>
  <c r="AJ51" i="29"/>
  <c r="BW51" i="29"/>
  <c r="BU51" i="29"/>
  <c r="BN51" i="29"/>
  <c r="CA51" i="29" s="1"/>
  <c r="CD51" i="29" s="1"/>
  <c r="BP51" i="29"/>
  <c r="BO51" i="29"/>
  <c r="AM51" i="29"/>
  <c r="BD51" i="29" s="1"/>
  <c r="AW51" i="29"/>
  <c r="AL51" i="29"/>
  <c r="AK51" i="29"/>
  <c r="BB51" i="29" s="1"/>
  <c r="AI51" i="29"/>
  <c r="AH51" i="29"/>
  <c r="CM51" i="29"/>
  <c r="R51" i="29"/>
  <c r="BV51" i="29"/>
  <c r="DB51" i="29"/>
  <c r="AV51" i="29"/>
  <c r="DG50" i="29"/>
  <c r="DI50" i="29" s="1"/>
  <c r="DH50" i="29"/>
  <c r="U50" i="29"/>
  <c r="CP50" i="29"/>
  <c r="Z50" i="29"/>
  <c r="CJ50" i="29" s="1"/>
  <c r="BW50" i="29"/>
  <c r="BP50" i="29"/>
  <c r="BO50" i="29"/>
  <c r="BN50" i="29"/>
  <c r="Q50" i="29"/>
  <c r="BU50" i="29"/>
  <c r="CA50" i="29" s="1"/>
  <c r="CD50" i="29" s="1"/>
  <c r="AK50" i="29"/>
  <c r="BM50" i="29"/>
  <c r="BL50" i="29"/>
  <c r="AM50" i="29"/>
  <c r="AW50" i="29" s="1"/>
  <c r="BD50" i="29"/>
  <c r="BB50" i="29"/>
  <c r="AL50" i="29"/>
  <c r="AV50" i="29" s="1"/>
  <c r="AU50" i="29"/>
  <c r="AI50" i="29"/>
  <c r="AB50" i="29"/>
  <c r="N50" i="29"/>
  <c r="DH49" i="29"/>
  <c r="DG49" i="29"/>
  <c r="DI49" i="29" s="1"/>
  <c r="H49" i="29"/>
  <c r="T49" i="29"/>
  <c r="AA49" i="29"/>
  <c r="AJ49" i="29"/>
  <c r="AK49" i="29"/>
  <c r="AL49" i="29"/>
  <c r="O49" i="29"/>
  <c r="CS49" i="29"/>
  <c r="BM49" i="29"/>
  <c r="BT49" i="29"/>
  <c r="BZ49" i="29"/>
  <c r="BW49" i="29"/>
  <c r="BV49" i="29"/>
  <c r="BU49" i="29"/>
  <c r="BS49" i="29"/>
  <c r="BX49" i="29" s="1"/>
  <c r="BY49" i="29" s="1"/>
  <c r="BP49" i="29"/>
  <c r="BO49" i="29"/>
  <c r="BN49" i="29"/>
  <c r="AM49" i="29"/>
  <c r="BD49" i="29"/>
  <c r="BC49" i="29"/>
  <c r="BA49" i="29"/>
  <c r="AT49" i="29"/>
  <c r="AW49" i="29"/>
  <c r="AV49" i="29"/>
  <c r="BB49" i="29"/>
  <c r="CV49" i="29"/>
  <c r="AG49" i="29"/>
  <c r="BH49" i="29"/>
  <c r="N49" i="29"/>
  <c r="DB49" i="29" s="1"/>
  <c r="I49" i="29"/>
  <c r="DH48" i="29"/>
  <c r="DG48" i="29"/>
  <c r="DI48" i="29" s="1"/>
  <c r="N48" i="29"/>
  <c r="DB48" i="29" s="1"/>
  <c r="H48" i="29"/>
  <c r="AI48" i="29"/>
  <c r="AZ48" i="29" s="1"/>
  <c r="AJ48" i="29"/>
  <c r="AK48" i="29"/>
  <c r="AL48" i="29"/>
  <c r="O48" i="29"/>
  <c r="CS48" i="29" s="1"/>
  <c r="I48" i="29"/>
  <c r="CP48" i="29" s="1"/>
  <c r="Z48" i="29"/>
  <c r="AG48" i="29"/>
  <c r="CM48" i="29"/>
  <c r="CJ48" i="29"/>
  <c r="BW48" i="29"/>
  <c r="BV48" i="29"/>
  <c r="BU48" i="29"/>
  <c r="CA48" i="29" s="1"/>
  <c r="CD48" i="29" s="1"/>
  <c r="BT48" i="29"/>
  <c r="BM48" i="29"/>
  <c r="BZ48" i="29" s="1"/>
  <c r="BS48" i="29"/>
  <c r="BP48" i="29"/>
  <c r="BO48" i="29"/>
  <c r="BN48" i="29"/>
  <c r="BH48" i="29"/>
  <c r="BB48" i="29"/>
  <c r="AU48" i="29"/>
  <c r="AM48" i="29"/>
  <c r="BD48" i="29"/>
  <c r="DH47" i="29"/>
  <c r="DG47" i="29"/>
  <c r="DI47" i="29" s="1"/>
  <c r="AJ47" i="29"/>
  <c r="AK47" i="29"/>
  <c r="CP47" i="29"/>
  <c r="BW47" i="29"/>
  <c r="Q47" i="29"/>
  <c r="BU47" i="29"/>
  <c r="BT47" i="29"/>
  <c r="BM47" i="29"/>
  <c r="BZ47" i="29"/>
  <c r="BP47" i="29"/>
  <c r="BO47" i="29"/>
  <c r="BN47" i="29"/>
  <c r="BL47" i="29"/>
  <c r="AM47" i="29"/>
  <c r="BD47" i="29" s="1"/>
  <c r="BB47" i="29"/>
  <c r="AL47" i="29"/>
  <c r="AV47" i="29" s="1"/>
  <c r="AU47" i="29"/>
  <c r="AI47" i="29"/>
  <c r="AP47" i="29" s="1"/>
  <c r="AW47" i="29"/>
  <c r="AG47" i="29"/>
  <c r="Z47" i="29"/>
  <c r="AH47" i="29"/>
  <c r="N47" i="29"/>
  <c r="DG46" i="29"/>
  <c r="DI46" i="29" s="1"/>
  <c r="DH46" i="29"/>
  <c r="AJ46" i="29"/>
  <c r="BA46" i="29" s="1"/>
  <c r="AK46" i="29"/>
  <c r="CW46" i="29"/>
  <c r="I46" i="29"/>
  <c r="O46" i="29"/>
  <c r="CG46" i="29"/>
  <c r="CH46" i="29" s="1"/>
  <c r="BM46" i="29"/>
  <c r="BZ46" i="29" s="1"/>
  <c r="BT46" i="29"/>
  <c r="BN46" i="29"/>
  <c r="CA46" i="29" s="1"/>
  <c r="CD46" i="29" s="1"/>
  <c r="BU46" i="29"/>
  <c r="BW46" i="29"/>
  <c r="R46" i="29"/>
  <c r="BV46" i="29" s="1"/>
  <c r="BS46" i="29"/>
  <c r="BP46" i="29"/>
  <c r="BL46" i="29"/>
  <c r="BH46" i="29"/>
  <c r="BG46" i="29"/>
  <c r="BI46" i="29" s="1"/>
  <c r="AM46" i="29"/>
  <c r="BB46" i="29"/>
  <c r="L46" i="29"/>
  <c r="AV46" i="29" s="1"/>
  <c r="AL46" i="29"/>
  <c r="AU46" i="29"/>
  <c r="AI46" i="29"/>
  <c r="Z46" i="29"/>
  <c r="AG46" i="29"/>
  <c r="BC46" i="29"/>
  <c r="N46" i="29"/>
  <c r="BO46" i="29"/>
  <c r="CP46" i="29"/>
  <c r="H46" i="29"/>
  <c r="DH45" i="29"/>
  <c r="DG45" i="29"/>
  <c r="DB45" i="29"/>
  <c r="AJ45" i="29"/>
  <c r="CV45" i="29" s="1"/>
  <c r="AK45" i="29"/>
  <c r="CW45" i="29"/>
  <c r="CS45" i="29"/>
  <c r="CP45" i="29"/>
  <c r="AI45" i="29"/>
  <c r="CN45" i="29" s="1"/>
  <c r="CT45" i="29" s="1"/>
  <c r="CU45" i="29" s="1"/>
  <c r="AL45" i="29"/>
  <c r="AG45" i="29"/>
  <c r="CK45" i="29" s="1"/>
  <c r="Z45" i="29"/>
  <c r="CM45" i="29" s="1"/>
  <c r="CG45" i="29"/>
  <c r="CH45" i="29" s="1"/>
  <c r="BN45" i="29"/>
  <c r="CA45" i="29" s="1"/>
  <c r="CD45" i="29" s="1"/>
  <c r="BU45" i="29"/>
  <c r="BW45" i="29"/>
  <c r="BV45" i="29"/>
  <c r="BS45" i="29"/>
  <c r="BT45" i="29"/>
  <c r="BX45" i="29" s="1"/>
  <c r="BY45" i="29" s="1"/>
  <c r="BM45" i="29"/>
  <c r="BZ45" i="29" s="1"/>
  <c r="BP45" i="29"/>
  <c r="BO45" i="29"/>
  <c r="BL45" i="29"/>
  <c r="BI45" i="29"/>
  <c r="AM45" i="29"/>
  <c r="AW45" i="29" s="1"/>
  <c r="BD45" i="29"/>
  <c r="BB45" i="29"/>
  <c r="BA45" i="29"/>
  <c r="AV45" i="29"/>
  <c r="AU45" i="29"/>
  <c r="AT45" i="29"/>
  <c r="AP45" i="29"/>
  <c r="BC45" i="29"/>
  <c r="DH44" i="29"/>
  <c r="DG44" i="29"/>
  <c r="H44" i="29"/>
  <c r="CJ44" i="29" s="1"/>
  <c r="Z44" i="29"/>
  <c r="BN44" i="29"/>
  <c r="CA44" i="29" s="1"/>
  <c r="CD44" i="29" s="1"/>
  <c r="BU44" i="29"/>
  <c r="AK44" i="29"/>
  <c r="BW44" i="29"/>
  <c r="BT44" i="29"/>
  <c r="BM44" i="29"/>
  <c r="BZ44" i="29" s="1"/>
  <c r="BP44" i="29"/>
  <c r="L44" i="29"/>
  <c r="BO44" i="29" s="1"/>
  <c r="R44" i="29"/>
  <c r="AL44" i="29"/>
  <c r="O44" i="29"/>
  <c r="AI44" i="29"/>
  <c r="AZ44" i="29"/>
  <c r="AJ44" i="29"/>
  <c r="AT44" i="29" s="1"/>
  <c r="AM44" i="29"/>
  <c r="AW44" i="29"/>
  <c r="AG44" i="29"/>
  <c r="N44" i="29"/>
  <c r="CM44" i="29"/>
  <c r="DB44" i="29"/>
  <c r="AV44" i="29"/>
  <c r="I44" i="29"/>
  <c r="CG44" i="29"/>
  <c r="DG43" i="29"/>
  <c r="DI43" i="29" s="1"/>
  <c r="DH43" i="29"/>
  <c r="DB43" i="29"/>
  <c r="AJ43" i="29"/>
  <c r="AK43" i="29"/>
  <c r="CV43" i="29"/>
  <c r="CS43" i="29"/>
  <c r="CP43" i="29"/>
  <c r="AI43" i="29"/>
  <c r="AL43" i="29"/>
  <c r="CO43" i="29"/>
  <c r="CG43" i="29"/>
  <c r="CH43" i="29" s="1"/>
  <c r="BM43" i="29"/>
  <c r="BZ43" i="29" s="1"/>
  <c r="BT43" i="29"/>
  <c r="BW43" i="29"/>
  <c r="BV43" i="29"/>
  <c r="BU43" i="29"/>
  <c r="BS43" i="29"/>
  <c r="BP43" i="29"/>
  <c r="BO43" i="29"/>
  <c r="BN43" i="29"/>
  <c r="BL43" i="29"/>
  <c r="BB43" i="29"/>
  <c r="AV43" i="29"/>
  <c r="AU43" i="29"/>
  <c r="AT43" i="29"/>
  <c r="AM43" i="29"/>
  <c r="AW43" i="29" s="1"/>
  <c r="BC43" i="29"/>
  <c r="CY43" i="29"/>
  <c r="AG43" i="29"/>
  <c r="CK43" i="29"/>
  <c r="Z43" i="29"/>
  <c r="DH42" i="29"/>
  <c r="DI42" i="29" s="1"/>
  <c r="DG42" i="29"/>
  <c r="I42" i="29"/>
  <c r="AI42" i="29"/>
  <c r="AJ42" i="29"/>
  <c r="AK42" i="29"/>
  <c r="L42" i="29"/>
  <c r="AL42" i="29"/>
  <c r="BW42" i="29"/>
  <c r="R42" i="29"/>
  <c r="BV42" i="29" s="1"/>
  <c r="BU42" i="29"/>
  <c r="BN42" i="29"/>
  <c r="CA42" i="29"/>
  <c r="CD42" i="29" s="1"/>
  <c r="BT42" i="29"/>
  <c r="O42" i="29"/>
  <c r="BP42" i="29"/>
  <c r="BO42" i="29"/>
  <c r="BM42" i="29"/>
  <c r="BZ42" i="29"/>
  <c r="BI42" i="29"/>
  <c r="AM42" i="29"/>
  <c r="AW42" i="29" s="1"/>
  <c r="AU42" i="29"/>
  <c r="BD42" i="29"/>
  <c r="AV42" i="29"/>
  <c r="AG42" i="29"/>
  <c r="Z42" i="29"/>
  <c r="N42" i="29"/>
  <c r="CK42" i="29"/>
  <c r="H42" i="29"/>
  <c r="DG41" i="29"/>
  <c r="DI41" i="29" s="1"/>
  <c r="DH41" i="29"/>
  <c r="I41" i="29"/>
  <c r="CG41" i="29" s="1"/>
  <c r="CH41" i="29" s="1"/>
  <c r="O41" i="29"/>
  <c r="BN41" i="29"/>
  <c r="CA41" i="29" s="1"/>
  <c r="CD41" i="29" s="1"/>
  <c r="BU41" i="29"/>
  <c r="AK41" i="29"/>
  <c r="BW41" i="29"/>
  <c r="BT41" i="29"/>
  <c r="BP41" i="29"/>
  <c r="L41" i="29"/>
  <c r="BO41" i="29" s="1"/>
  <c r="BQ41" i="29" s="1"/>
  <c r="BR41" i="29" s="1"/>
  <c r="BM41" i="29"/>
  <c r="BZ41" i="29" s="1"/>
  <c r="CC41" i="29" s="1"/>
  <c r="AJ41" i="29"/>
  <c r="BL41" i="29"/>
  <c r="BH41" i="29"/>
  <c r="BG41" i="29"/>
  <c r="AM41" i="29"/>
  <c r="BD41" i="29" s="1"/>
  <c r="AW41" i="29"/>
  <c r="AL41" i="29"/>
  <c r="AI41" i="29"/>
  <c r="CN41" i="29" s="1"/>
  <c r="CT41" i="29" s="1"/>
  <c r="CU41" i="29" s="1"/>
  <c r="AG41" i="29"/>
  <c r="Z41" i="29"/>
  <c r="AH41" i="29"/>
  <c r="R41" i="29"/>
  <c r="BC41" i="29"/>
  <c r="N41" i="29"/>
  <c r="CP41" i="29"/>
  <c r="H41" i="29"/>
  <c r="DH40" i="29"/>
  <c r="DG40" i="29"/>
  <c r="AJ40" i="29"/>
  <c r="AK40" i="29"/>
  <c r="CV40" i="29"/>
  <c r="H40" i="29"/>
  <c r="Z40" i="29"/>
  <c r="CJ40" i="29"/>
  <c r="BW40" i="29"/>
  <c r="BU40" i="29"/>
  <c r="BT40" i="29"/>
  <c r="BP40" i="29"/>
  <c r="BN40" i="29"/>
  <c r="CA40" i="29" s="1"/>
  <c r="CD40" i="29" s="1"/>
  <c r="BM40" i="29"/>
  <c r="I40" i="29"/>
  <c r="BL40" i="29" s="1"/>
  <c r="AM40" i="29"/>
  <c r="AW40" i="29"/>
  <c r="AU40" i="29"/>
  <c r="AI40" i="29"/>
  <c r="AS40" i="29"/>
  <c r="AY40" i="29" s="1"/>
  <c r="AL40" i="29"/>
  <c r="AQ40" i="29" s="1"/>
  <c r="AR40" i="29" s="1"/>
  <c r="AG40" i="29"/>
  <c r="AH40" i="29"/>
  <c r="BD40" i="29"/>
  <c r="R40" i="29"/>
  <c r="BC40" i="29"/>
  <c r="BB40" i="29"/>
  <c r="AP40" i="29"/>
  <c r="N40" i="29"/>
  <c r="CK40" i="29"/>
  <c r="CL40" i="29" s="1"/>
  <c r="BV40" i="29"/>
  <c r="O40" i="29"/>
  <c r="DB40" i="29"/>
  <c r="L40" i="29"/>
  <c r="AV40" i="29"/>
  <c r="CP40" i="29"/>
  <c r="DG39" i="29"/>
  <c r="DH39" i="29"/>
  <c r="DI39" i="29"/>
  <c r="N39" i="29"/>
  <c r="CZ39" i="29" s="1"/>
  <c r="AI39" i="29"/>
  <c r="AJ39" i="29"/>
  <c r="AK39" i="29"/>
  <c r="AL39" i="29"/>
  <c r="O39" i="29"/>
  <c r="R39" i="29"/>
  <c r="BV39" i="29" s="1"/>
  <c r="I39" i="29"/>
  <c r="L39" i="29"/>
  <c r="Z39" i="29"/>
  <c r="AG39" i="29"/>
  <c r="CG39" i="29"/>
  <c r="CH39" i="29" s="1"/>
  <c r="BW39" i="29"/>
  <c r="BU39" i="29"/>
  <c r="BN39" i="29"/>
  <c r="CA39" i="29" s="1"/>
  <c r="CD39" i="29" s="1"/>
  <c r="BT39" i="29"/>
  <c r="BX39" i="29" s="1"/>
  <c r="BY39" i="29" s="1"/>
  <c r="BS39" i="29"/>
  <c r="BP39" i="29"/>
  <c r="BO39" i="29"/>
  <c r="BM39" i="29"/>
  <c r="BG39" i="29"/>
  <c r="BB39" i="29"/>
  <c r="AM39" i="29"/>
  <c r="BD39" i="29" s="1"/>
  <c r="AU39" i="29"/>
  <c r="AS39" i="29"/>
  <c r="BC39" i="29"/>
  <c r="CK39" i="29"/>
  <c r="BL39" i="29"/>
  <c r="H39" i="29"/>
  <c r="DH38" i="29"/>
  <c r="DG38" i="29"/>
  <c r="DI38" i="29" s="1"/>
  <c r="I38" i="29"/>
  <c r="AI38" i="29"/>
  <c r="AJ38" i="29"/>
  <c r="AK38" i="29"/>
  <c r="L38" i="29"/>
  <c r="AL38" i="29"/>
  <c r="H38" i="29"/>
  <c r="Z38" i="29"/>
  <c r="CJ38" i="29"/>
  <c r="CL38" i="29" s="1"/>
  <c r="N38" i="29"/>
  <c r="AG38" i="29"/>
  <c r="CK38" i="29"/>
  <c r="BW38" i="29"/>
  <c r="BU38" i="29"/>
  <c r="BN38" i="29"/>
  <c r="CA38" i="29" s="1"/>
  <c r="CD38" i="29" s="1"/>
  <c r="BT38" i="29"/>
  <c r="BP38" i="29"/>
  <c r="BO38" i="29"/>
  <c r="BM38" i="29"/>
  <c r="BZ38" i="29" s="1"/>
  <c r="AM38" i="29"/>
  <c r="BD38" i="29" s="1"/>
  <c r="R38" i="29"/>
  <c r="BC38" i="29" s="1"/>
  <c r="BA38" i="29"/>
  <c r="AW38" i="29"/>
  <c r="AU38" i="29"/>
  <c r="AQ38" i="29"/>
  <c r="AR38" i="29" s="1"/>
  <c r="AH38" i="29"/>
  <c r="BB38" i="29"/>
  <c r="AO38" i="29"/>
  <c r="BV38" i="29"/>
  <c r="O38" i="29"/>
  <c r="AV38" i="29"/>
  <c r="CY38" i="29"/>
  <c r="DH37" i="29"/>
  <c r="DG37" i="29"/>
  <c r="DI37" i="29"/>
  <c r="AJ37" i="29"/>
  <c r="CV37" i="29" s="1"/>
  <c r="CX37" i="29" s="1"/>
  <c r="AK37" i="29"/>
  <c r="O37" i="29"/>
  <c r="CR37" i="29" s="1"/>
  <c r="AI37" i="29"/>
  <c r="R37" i="29"/>
  <c r="AL37" i="29"/>
  <c r="I37" i="29"/>
  <c r="AS37" i="29" s="1"/>
  <c r="L37" i="29"/>
  <c r="BM37" i="29"/>
  <c r="BZ37" i="29" s="1"/>
  <c r="BT37" i="29"/>
  <c r="BW37" i="29"/>
  <c r="BU37" i="29"/>
  <c r="BN37" i="29"/>
  <c r="CA37" i="29" s="1"/>
  <c r="CD37" i="29" s="1"/>
  <c r="BP37" i="29"/>
  <c r="BG37" i="29"/>
  <c r="BI37" i="29" s="1"/>
  <c r="BC37" i="29"/>
  <c r="AM37" i="29"/>
  <c r="AW37" i="29" s="1"/>
  <c r="AU37" i="29"/>
  <c r="AQ37" i="29"/>
  <c r="BD37" i="29"/>
  <c r="BB37" i="29"/>
  <c r="AG37" i="29"/>
  <c r="N37" i="29"/>
  <c r="CK37" i="29" s="1"/>
  <c r="Z37" i="29"/>
  <c r="BV37" i="29"/>
  <c r="BS37" i="29"/>
  <c r="BX37" i="29"/>
  <c r="BY37" i="29" s="1"/>
  <c r="DB37" i="29"/>
  <c r="H37" i="29"/>
  <c r="DG36" i="29"/>
  <c r="DI36" i="29" s="1"/>
  <c r="DH36" i="29"/>
  <c r="DB36" i="29"/>
  <c r="AI36" i="29"/>
  <c r="CZ36" i="29" s="1"/>
  <c r="AJ36" i="29"/>
  <c r="CN36" i="29" s="1"/>
  <c r="CT36" i="29" s="1"/>
  <c r="AK36" i="29"/>
  <c r="AL36" i="29"/>
  <c r="CS36" i="29"/>
  <c r="CP36" i="29"/>
  <c r="Z36" i="29"/>
  <c r="AH36" i="29" s="1"/>
  <c r="AG36" i="29"/>
  <c r="CK36" i="29"/>
  <c r="CG36" i="29"/>
  <c r="CH36" i="29" s="1"/>
  <c r="BW36" i="29"/>
  <c r="BV36" i="29"/>
  <c r="BU36" i="29"/>
  <c r="BN36" i="29"/>
  <c r="CA36" i="29" s="1"/>
  <c r="CD36" i="29" s="1"/>
  <c r="BT36" i="29"/>
  <c r="BS36" i="29"/>
  <c r="BP36" i="29"/>
  <c r="BO36" i="29"/>
  <c r="BM36" i="29"/>
  <c r="BL36" i="29"/>
  <c r="AM36" i="29"/>
  <c r="BD36" i="29" s="1"/>
  <c r="BB36" i="29"/>
  <c r="AV36" i="29"/>
  <c r="AT36" i="29"/>
  <c r="AW36" i="29"/>
  <c r="BC36" i="29"/>
  <c r="CW36" i="29"/>
  <c r="AP36" i="29"/>
  <c r="DH35" i="29"/>
  <c r="DG35" i="29"/>
  <c r="DI35" i="29" s="1"/>
  <c r="DB35" i="29"/>
  <c r="AJ35" i="29"/>
  <c r="CW35" i="29" s="1"/>
  <c r="AK35" i="29"/>
  <c r="CS35" i="29"/>
  <c r="CP35" i="29"/>
  <c r="Z35" i="29"/>
  <c r="AG35" i="29"/>
  <c r="CG35" i="29"/>
  <c r="BM35" i="29"/>
  <c r="BT35" i="29"/>
  <c r="BZ35" i="29"/>
  <c r="BS35" i="29"/>
  <c r="BX35" i="29" s="1"/>
  <c r="BU35" i="29"/>
  <c r="BV35" i="29"/>
  <c r="BW35" i="29"/>
  <c r="BY35" i="29"/>
  <c r="BP35" i="29"/>
  <c r="BO35" i="29"/>
  <c r="BN35" i="29"/>
  <c r="CA35" i="29" s="1"/>
  <c r="BL35" i="29"/>
  <c r="BI35" i="29"/>
  <c r="AM35" i="29"/>
  <c r="BD35" i="29"/>
  <c r="BB35" i="29"/>
  <c r="AI35" i="29"/>
  <c r="AS35" i="29" s="1"/>
  <c r="AZ35" i="29"/>
  <c r="BF35" i="29" s="1"/>
  <c r="AL35" i="29"/>
  <c r="AO35" i="29" s="1"/>
  <c r="AP35" i="29"/>
  <c r="AN35" i="29"/>
  <c r="AW35" i="29"/>
  <c r="BC35" i="29"/>
  <c r="AU35" i="29"/>
  <c r="DG34" i="29"/>
  <c r="DI34" i="29" s="1"/>
  <c r="DH34" i="29"/>
  <c r="N34" i="29"/>
  <c r="AI34" i="29"/>
  <c r="AJ34" i="29"/>
  <c r="AK34" i="29"/>
  <c r="AL34" i="29"/>
  <c r="O34" i="29"/>
  <c r="CR34" i="29" s="1"/>
  <c r="R34" i="29"/>
  <c r="I34" i="29"/>
  <c r="AS34" i="29" s="1"/>
  <c r="L34" i="29"/>
  <c r="CQ34" i="29"/>
  <c r="Z34" i="29"/>
  <c r="AH34" i="29" s="1"/>
  <c r="AG34" i="29"/>
  <c r="BW34" i="29"/>
  <c r="BV34" i="29"/>
  <c r="BU34" i="29"/>
  <c r="BN34" i="29"/>
  <c r="CA34" i="29"/>
  <c r="CD34" i="29" s="1"/>
  <c r="BT34" i="29"/>
  <c r="BS34" i="29"/>
  <c r="BP34" i="29"/>
  <c r="BO34" i="29"/>
  <c r="BM34" i="29"/>
  <c r="BZ34" i="29" s="1"/>
  <c r="BB34" i="29"/>
  <c r="BA34" i="29"/>
  <c r="AM34" i="29"/>
  <c r="AW34" i="29"/>
  <c r="AU34" i="29"/>
  <c r="AO34" i="29"/>
  <c r="BD34" i="29"/>
  <c r="BC34" i="29"/>
  <c r="CW34" i="29"/>
  <c r="AP34" i="29"/>
  <c r="BL34" i="29"/>
  <c r="H34" i="29"/>
  <c r="DH33" i="29"/>
  <c r="DG33" i="29"/>
  <c r="DI33" i="29" s="1"/>
  <c r="U33" i="29"/>
  <c r="AJ33" i="29"/>
  <c r="CV33" i="29" s="1"/>
  <c r="AK33" i="29"/>
  <c r="I33" i="29"/>
  <c r="CG33" i="29" s="1"/>
  <c r="CH33" i="29" s="1"/>
  <c r="L33" i="29"/>
  <c r="AI33" i="29"/>
  <c r="AP33" i="29" s="1"/>
  <c r="AL33" i="29"/>
  <c r="H33" i="29"/>
  <c r="Z33" i="29"/>
  <c r="O33" i="29"/>
  <c r="BW33" i="29"/>
  <c r="BU33" i="29"/>
  <c r="BN33" i="29"/>
  <c r="CA33" i="29" s="1"/>
  <c r="CD33" i="29" s="1"/>
  <c r="BT33" i="29"/>
  <c r="BS33" i="29"/>
  <c r="BP33" i="29"/>
  <c r="BO33" i="29"/>
  <c r="BM33" i="29"/>
  <c r="BZ33" i="29" s="1"/>
  <c r="BG33" i="29"/>
  <c r="AM33" i="29"/>
  <c r="BD33" i="29"/>
  <c r="BA33" i="29"/>
  <c r="AW33" i="29"/>
  <c r="AU33" i="29"/>
  <c r="AV33" i="29"/>
  <c r="BB33" i="29"/>
  <c r="AG33" i="29"/>
  <c r="AH33" i="29"/>
  <c r="R33" i="29"/>
  <c r="BV33" i="29"/>
  <c r="CS33" i="29"/>
  <c r="N33" i="29"/>
  <c r="AS33" i="29"/>
  <c r="DH32" i="29"/>
  <c r="DG32" i="29"/>
  <c r="DI32" i="29" s="1"/>
  <c r="DB32" i="29"/>
  <c r="AI32" i="29"/>
  <c r="AJ32" i="29"/>
  <c r="CW32" i="29" s="1"/>
  <c r="CX32" i="29" s="1"/>
  <c r="AK32" i="29"/>
  <c r="AL32" i="29"/>
  <c r="CY32" i="29"/>
  <c r="CS32" i="29"/>
  <c r="CP32" i="29"/>
  <c r="AG32" i="29"/>
  <c r="CG32" i="29"/>
  <c r="BN32" i="29"/>
  <c r="CA32" i="29" s="1"/>
  <c r="BU32" i="29"/>
  <c r="BM32" i="29"/>
  <c r="BQ32" i="29" s="1"/>
  <c r="BR32" i="29" s="1"/>
  <c r="BT32" i="29"/>
  <c r="BZ32" i="29"/>
  <c r="BW32" i="29"/>
  <c r="BV32" i="29"/>
  <c r="BS32" i="29"/>
  <c r="BX32" i="29" s="1"/>
  <c r="BY32" i="29" s="1"/>
  <c r="BP32" i="29"/>
  <c r="BO32" i="29"/>
  <c r="BL32" i="29"/>
  <c r="BH32" i="29"/>
  <c r="BG32" i="29"/>
  <c r="BI32" i="29" s="1"/>
  <c r="BA32" i="29"/>
  <c r="AZ32" i="29"/>
  <c r="AV32" i="29"/>
  <c r="AT32" i="29"/>
  <c r="AM32" i="29"/>
  <c r="AW32" i="29"/>
  <c r="BC32" i="29"/>
  <c r="CV32" i="29"/>
  <c r="AQ32" i="29"/>
  <c r="Z32" i="29"/>
  <c r="CJ32" i="29"/>
  <c r="DH31" i="29"/>
  <c r="DG31" i="29"/>
  <c r="DI31" i="29" s="1"/>
  <c r="DB31" i="29"/>
  <c r="CS31" i="29"/>
  <c r="CP31" i="29"/>
  <c r="Z31" i="29"/>
  <c r="CM31" i="29" s="1"/>
  <c r="AG31" i="29"/>
  <c r="CJ31" i="29"/>
  <c r="CG31" i="29"/>
  <c r="CH31" i="29" s="1"/>
  <c r="AJ31" i="29"/>
  <c r="AK31" i="29"/>
  <c r="BM31" i="29"/>
  <c r="BT31" i="29"/>
  <c r="BZ31" i="29"/>
  <c r="CC31" i="29" s="1"/>
  <c r="BW31" i="29"/>
  <c r="BV31" i="29"/>
  <c r="BU31" i="29"/>
  <c r="BS31" i="29"/>
  <c r="BP31" i="29"/>
  <c r="BO31" i="29"/>
  <c r="BN31" i="29"/>
  <c r="BL31" i="29"/>
  <c r="BH31" i="29"/>
  <c r="BG31" i="29"/>
  <c r="BI31" i="29" s="1"/>
  <c r="AL31" i="29"/>
  <c r="BC31" i="29" s="1"/>
  <c r="AT31" i="29"/>
  <c r="AM31" i="29"/>
  <c r="AI31" i="29"/>
  <c r="DH30" i="29"/>
  <c r="DG30" i="29"/>
  <c r="DB30" i="29"/>
  <c r="AJ30" i="29"/>
  <c r="CW30" i="29" s="1"/>
  <c r="AK30" i="29"/>
  <c r="BB30" i="29" s="1"/>
  <c r="CS30" i="29"/>
  <c r="CP30" i="29"/>
  <c r="AG30" i="29"/>
  <c r="CK30" i="29" s="1"/>
  <c r="CG30" i="29"/>
  <c r="BN30" i="29"/>
  <c r="CA30" i="29" s="1"/>
  <c r="CD30" i="29" s="1"/>
  <c r="BU30" i="29"/>
  <c r="BS30" i="29"/>
  <c r="BX30" i="29" s="1"/>
  <c r="BY30" i="29" s="1"/>
  <c r="BT30" i="29"/>
  <c r="BV30" i="29"/>
  <c r="BW30" i="29"/>
  <c r="BM30" i="29"/>
  <c r="BZ30" i="29"/>
  <c r="CC30" i="29" s="1"/>
  <c r="BP30" i="29"/>
  <c r="BO30" i="29"/>
  <c r="BL30" i="29"/>
  <c r="BH30" i="29"/>
  <c r="BG30" i="29"/>
  <c r="BI30" i="29" s="1"/>
  <c r="AM30" i="29"/>
  <c r="AL30" i="29"/>
  <c r="AV30" i="29"/>
  <c r="AT30" i="29"/>
  <c r="BC30" i="29"/>
  <c r="BA30" i="29"/>
  <c r="AI30" i="29"/>
  <c r="CQ30" i="29" s="1"/>
  <c r="CT30" i="29" s="1"/>
  <c r="Z30" i="29"/>
  <c r="DH29" i="29"/>
  <c r="DG29" i="29"/>
  <c r="DI29" i="29" s="1"/>
  <c r="DB29" i="29"/>
  <c r="CS29" i="29"/>
  <c r="CP29" i="29"/>
  <c r="Z29" i="29"/>
  <c r="CJ29" i="29" s="1"/>
  <c r="CL29" i="29" s="1"/>
  <c r="AG29" i="29"/>
  <c r="CG29" i="29"/>
  <c r="CH29" i="29" s="1"/>
  <c r="BM29" i="29"/>
  <c r="BT29" i="29"/>
  <c r="BZ29" i="29"/>
  <c r="BS29" i="29"/>
  <c r="BU29" i="29"/>
  <c r="BV29" i="29"/>
  <c r="BW29" i="29"/>
  <c r="BX29" i="29"/>
  <c r="BY29" i="29"/>
  <c r="BL29" i="29"/>
  <c r="BN29" i="29"/>
  <c r="BO29" i="29"/>
  <c r="BP29" i="29"/>
  <c r="CA29" i="29"/>
  <c r="CD29" i="29" s="1"/>
  <c r="AK29" i="29"/>
  <c r="BH29" i="29"/>
  <c r="BG29" i="29"/>
  <c r="BI29" i="29"/>
  <c r="AM29" i="29"/>
  <c r="BD29" i="29" s="1"/>
  <c r="AJ29" i="29"/>
  <c r="AI29" i="29"/>
  <c r="AZ29" i="29"/>
  <c r="AL29" i="29"/>
  <c r="AV29" i="29" s="1"/>
  <c r="AW29" i="29"/>
  <c r="BC29" i="29"/>
  <c r="AH29" i="29"/>
  <c r="DH28" i="29"/>
  <c r="DG28" i="29"/>
  <c r="DI28" i="29" s="1"/>
  <c r="O28" i="29"/>
  <c r="R28" i="29"/>
  <c r="CS28" i="29"/>
  <c r="BW28" i="29"/>
  <c r="BU28" i="29"/>
  <c r="BT28" i="29"/>
  <c r="BP28" i="29"/>
  <c r="L28" i="29"/>
  <c r="AV28" i="29" s="1"/>
  <c r="BN28" i="29"/>
  <c r="CA28" i="29"/>
  <c r="CD28" i="29" s="1"/>
  <c r="AK28" i="29"/>
  <c r="BH28" i="29"/>
  <c r="BB28" i="29"/>
  <c r="AL28" i="29"/>
  <c r="AM28" i="29"/>
  <c r="AU28" i="29"/>
  <c r="T28" i="29"/>
  <c r="Z28" i="29" s="1"/>
  <c r="AG28" i="29"/>
  <c r="U28" i="29"/>
  <c r="BC28" i="29"/>
  <c r="N28" i="29"/>
  <c r="I28" i="29"/>
  <c r="H28" i="29"/>
  <c r="DH27" i="29"/>
  <c r="DG27" i="29"/>
  <c r="DI27" i="29" s="1"/>
  <c r="H27" i="29"/>
  <c r="AI27" i="29"/>
  <c r="AJ27" i="29"/>
  <c r="AK27" i="29"/>
  <c r="AL27" i="29"/>
  <c r="O27" i="29"/>
  <c r="R27" i="29"/>
  <c r="CS27" i="29"/>
  <c r="BW27" i="29"/>
  <c r="BU27" i="29"/>
  <c r="BT27" i="29"/>
  <c r="BM27" i="29"/>
  <c r="BZ27" i="29"/>
  <c r="BP27" i="29"/>
  <c r="L27" i="29"/>
  <c r="BO27" i="29" s="1"/>
  <c r="BN27" i="29"/>
  <c r="CA27" i="29" s="1"/>
  <c r="CD27" i="29" s="1"/>
  <c r="I27" i="29"/>
  <c r="BL27" i="29"/>
  <c r="BI27" i="29"/>
  <c r="AT27" i="29"/>
  <c r="AM27" i="29"/>
  <c r="AW27" i="29" s="1"/>
  <c r="AU27" i="29"/>
  <c r="CV27" i="29"/>
  <c r="AG27" i="29"/>
  <c r="Z27" i="29"/>
  <c r="AH27" i="29"/>
  <c r="N27" i="29"/>
  <c r="CJ27" i="29"/>
  <c r="DH26" i="29"/>
  <c r="DG26" i="29"/>
  <c r="DI26" i="29" s="1"/>
  <c r="AJ26" i="29"/>
  <c r="CW26" i="29" s="1"/>
  <c r="CX26" i="29" s="1"/>
  <c r="AK26" i="29"/>
  <c r="O26" i="29"/>
  <c r="R26" i="29"/>
  <c r="CS26" i="29"/>
  <c r="AI26" i="29"/>
  <c r="CQ26" i="29" s="1"/>
  <c r="AL26" i="29"/>
  <c r="BC26" i="29" s="1"/>
  <c r="BE26" i="29" s="1"/>
  <c r="BN26" i="29"/>
  <c r="BU26" i="29"/>
  <c r="CA26" i="29" s="1"/>
  <c r="CD26" i="29" s="1"/>
  <c r="BM26" i="29"/>
  <c r="BZ26" i="29" s="1"/>
  <c r="BT26" i="29"/>
  <c r="BW26" i="29"/>
  <c r="BV26" i="29"/>
  <c r="BP26" i="29"/>
  <c r="L26" i="29"/>
  <c r="BO26" i="29" s="1"/>
  <c r="BI26" i="29"/>
  <c r="BB26" i="29"/>
  <c r="AZ26" i="29"/>
  <c r="AT26" i="29"/>
  <c r="AM26" i="29"/>
  <c r="AW26" i="29"/>
  <c r="AU26" i="29"/>
  <c r="CV26" i="29"/>
  <c r="AG26" i="29"/>
  <c r="Z26" i="29"/>
  <c r="AH26" i="29"/>
  <c r="N26" i="29"/>
  <c r="CZ26" i="29" s="1"/>
  <c r="I26" i="29"/>
  <c r="H26" i="29"/>
  <c r="CJ26" i="29"/>
  <c r="DH25" i="29"/>
  <c r="DG25" i="29"/>
  <c r="DI25" i="29" s="1"/>
  <c r="AJ25" i="29"/>
  <c r="AK25" i="29"/>
  <c r="O25" i="29"/>
  <c r="CS25" i="29" s="1"/>
  <c r="R25" i="29"/>
  <c r="BM25" i="29"/>
  <c r="BT25" i="29"/>
  <c r="BZ25" i="29"/>
  <c r="CC25" i="29" s="1"/>
  <c r="BW25" i="29"/>
  <c r="BV25" i="29"/>
  <c r="BU25" i="29"/>
  <c r="BP25" i="29"/>
  <c r="L25" i="29"/>
  <c r="BO25" i="29" s="1"/>
  <c r="BN25" i="29"/>
  <c r="CA25" i="29" s="1"/>
  <c r="CD25" i="29" s="1"/>
  <c r="BI25" i="29"/>
  <c r="AI25" i="29"/>
  <c r="AZ25" i="29"/>
  <c r="AL25" i="29"/>
  <c r="BC25" i="29" s="1"/>
  <c r="AV25" i="29"/>
  <c r="AT25" i="29"/>
  <c r="AM25" i="29"/>
  <c r="AW25" i="29"/>
  <c r="AG25" i="29"/>
  <c r="Z25" i="29"/>
  <c r="AH25" i="29" s="1"/>
  <c r="N25" i="29"/>
  <c r="I25" i="29"/>
  <c r="H25" i="29"/>
  <c r="DH24" i="29"/>
  <c r="DG24" i="29"/>
  <c r="DI24" i="29" s="1"/>
  <c r="AJ24" i="29"/>
  <c r="AK24" i="29"/>
  <c r="CW24" i="29"/>
  <c r="O24" i="29"/>
  <c r="R24" i="29"/>
  <c r="AI24" i="29"/>
  <c r="AL24" i="29"/>
  <c r="BN24" i="29"/>
  <c r="CA24" i="29" s="1"/>
  <c r="CD24" i="29" s="1"/>
  <c r="BU24" i="29"/>
  <c r="BM24" i="29"/>
  <c r="BZ24" i="29" s="1"/>
  <c r="CC24" i="29" s="1"/>
  <c r="BT24" i="29"/>
  <c r="BW24" i="29"/>
  <c r="BP24" i="29"/>
  <c r="L24" i="29"/>
  <c r="BO24" i="29" s="1"/>
  <c r="BI24" i="29"/>
  <c r="BB24" i="29"/>
  <c r="AZ24" i="29"/>
  <c r="AT24" i="29"/>
  <c r="AM24" i="29"/>
  <c r="AW24" i="29"/>
  <c r="AU24" i="29"/>
  <c r="CV24" i="29"/>
  <c r="CX24" i="29"/>
  <c r="AG24" i="29"/>
  <c r="Z24" i="29"/>
  <c r="AH24" i="29"/>
  <c r="N24" i="29"/>
  <c r="I24" i="29"/>
  <c r="H24" i="29"/>
  <c r="CJ24" i="29" s="1"/>
  <c r="CL24" i="29" s="1"/>
  <c r="DH23" i="29"/>
  <c r="DG23" i="29"/>
  <c r="DI23" i="29" s="1"/>
  <c r="N23" i="29"/>
  <c r="DB23" i="29"/>
  <c r="AJ23" i="29"/>
  <c r="AK23" i="29"/>
  <c r="CW23" i="29" s="1"/>
  <c r="CX23" i="29" s="1"/>
  <c r="O23" i="29"/>
  <c r="R23" i="29"/>
  <c r="CS23" i="29"/>
  <c r="H23" i="29"/>
  <c r="T23" i="29"/>
  <c r="Z23" i="29"/>
  <c r="AG23" i="29"/>
  <c r="CK23" i="29"/>
  <c r="BN23" i="29"/>
  <c r="CA23" i="29" s="1"/>
  <c r="CD23" i="29" s="1"/>
  <c r="BU23" i="29"/>
  <c r="BM23" i="29"/>
  <c r="BZ23" i="29" s="1"/>
  <c r="CC23" i="29" s="1"/>
  <c r="BT23" i="29"/>
  <c r="BW23" i="29"/>
  <c r="BV23" i="29"/>
  <c r="BP23" i="29"/>
  <c r="I23" i="29"/>
  <c r="BL23" i="29" s="1"/>
  <c r="BQ23" i="29" s="1"/>
  <c r="BR23" i="29" s="1"/>
  <c r="BI23" i="29"/>
  <c r="AM23" i="29"/>
  <c r="BD23" i="29" s="1"/>
  <c r="BB23" i="29"/>
  <c r="AT23" i="29"/>
  <c r="AW23" i="29"/>
  <c r="AL23" i="29"/>
  <c r="BC23" i="29" s="1"/>
  <c r="AU23" i="29"/>
  <c r="CV23" i="29"/>
  <c r="AI23" i="29"/>
  <c r="L23" i="29"/>
  <c r="BO23" i="29" s="1"/>
  <c r="DH22" i="29"/>
  <c r="DG22" i="29"/>
  <c r="DI22" i="29" s="1"/>
  <c r="I22" i="29"/>
  <c r="O22" i="29"/>
  <c r="AJ22" i="29"/>
  <c r="AK22" i="29"/>
  <c r="BM22" i="29"/>
  <c r="BT22" i="29"/>
  <c r="BZ22" i="29"/>
  <c r="CC22" i="29" s="1"/>
  <c r="BN22" i="29"/>
  <c r="CA22" i="29" s="1"/>
  <c r="CB22" i="29" s="1"/>
  <c r="BU22" i="29"/>
  <c r="BW22" i="29"/>
  <c r="AA22" i="29"/>
  <c r="BP22" i="29"/>
  <c r="BG22" i="29"/>
  <c r="BB22" i="29"/>
  <c r="AM22" i="29"/>
  <c r="AW22" i="29" s="1"/>
  <c r="AU22" i="29"/>
  <c r="AL22" i="29"/>
  <c r="R22" i="29"/>
  <c r="BA22" i="29"/>
  <c r="T22" i="29"/>
  <c r="N22" i="29"/>
  <c r="L22" i="29"/>
  <c r="H22" i="29"/>
  <c r="DG21" i="29"/>
  <c r="DI21" i="29" s="1"/>
  <c r="DH21" i="29"/>
  <c r="I21" i="29"/>
  <c r="L21" i="29"/>
  <c r="H21" i="29"/>
  <c r="Z21" i="29"/>
  <c r="CJ21" i="29" s="1"/>
  <c r="O21" i="29"/>
  <c r="CG21" i="29"/>
  <c r="AJ21" i="29"/>
  <c r="AK21" i="29"/>
  <c r="CH21" i="29"/>
  <c r="BW21" i="29"/>
  <c r="BU21" i="29"/>
  <c r="BN21" i="29"/>
  <c r="CA21" i="29" s="1"/>
  <c r="CD21" i="29" s="1"/>
  <c r="BT21" i="29"/>
  <c r="BP21" i="29"/>
  <c r="BL21" i="29"/>
  <c r="BM21" i="29"/>
  <c r="BZ21" i="29"/>
  <c r="BI21" i="29"/>
  <c r="AM21" i="29"/>
  <c r="R21" i="29"/>
  <c r="AL21" i="29"/>
  <c r="BC21" i="29"/>
  <c r="AU21" i="29"/>
  <c r="AI21" i="29"/>
  <c r="AS21" i="29"/>
  <c r="AQ21" i="29"/>
  <c r="BB21" i="29"/>
  <c r="AG21" i="29"/>
  <c r="BV21" i="29"/>
  <c r="N21" i="29"/>
  <c r="DB21" i="29"/>
  <c r="DH20" i="29"/>
  <c r="DG20" i="29"/>
  <c r="DI20" i="29" s="1"/>
  <c r="O20" i="29"/>
  <c r="AI20" i="29"/>
  <c r="AJ20" i="29"/>
  <c r="AK20" i="29"/>
  <c r="R20" i="29"/>
  <c r="AL20" i="29"/>
  <c r="I20" i="29"/>
  <c r="L20" i="29"/>
  <c r="CP20" i="29" s="1"/>
  <c r="H20" i="29"/>
  <c r="CJ20" i="29" s="1"/>
  <c r="Z20" i="29"/>
  <c r="BM20" i="29"/>
  <c r="BZ20" i="29" s="1"/>
  <c r="BT20" i="29"/>
  <c r="CC20" i="29"/>
  <c r="BN20" i="29"/>
  <c r="CA20" i="29" s="1"/>
  <c r="CD20" i="29" s="1"/>
  <c r="BU20" i="29"/>
  <c r="BW20" i="29"/>
  <c r="BS20" i="29"/>
  <c r="BP20" i="29"/>
  <c r="BL20" i="29"/>
  <c r="BI20" i="29"/>
  <c r="AM20" i="29"/>
  <c r="BD20" i="29"/>
  <c r="BA20" i="29"/>
  <c r="AW20" i="29"/>
  <c r="AU20" i="29"/>
  <c r="AO20" i="29"/>
  <c r="BB20" i="29"/>
  <c r="AQ20" i="29"/>
  <c r="AR20" i="29" s="1"/>
  <c r="AG20" i="29"/>
  <c r="AH20" i="29"/>
  <c r="CG20" i="29"/>
  <c r="CH20" i="29" s="1"/>
  <c r="N20" i="29"/>
  <c r="DB20" i="29" s="1"/>
  <c r="AV20" i="29"/>
  <c r="CO20" i="29"/>
  <c r="DG19" i="29"/>
  <c r="DH19" i="29"/>
  <c r="DI19" i="29"/>
  <c r="DB19" i="29"/>
  <c r="AI19" i="29"/>
  <c r="AJ19" i="29"/>
  <c r="AK19" i="29"/>
  <c r="AL19" i="29"/>
  <c r="CZ19" i="29"/>
  <c r="CS19" i="29"/>
  <c r="CP19" i="29"/>
  <c r="AG19" i="29"/>
  <c r="CK19" i="29" s="1"/>
  <c r="CG19" i="29"/>
  <c r="BW19" i="29"/>
  <c r="BV19" i="29"/>
  <c r="BU19" i="29"/>
  <c r="BN19" i="29"/>
  <c r="CA19" i="29"/>
  <c r="CD19" i="29" s="1"/>
  <c r="BT19" i="29"/>
  <c r="BS19" i="29"/>
  <c r="BP19" i="29"/>
  <c r="BO19" i="29"/>
  <c r="BL19" i="29"/>
  <c r="BM19" i="29"/>
  <c r="BZ19" i="29" s="1"/>
  <c r="BQ19" i="29"/>
  <c r="BR19" i="29" s="1"/>
  <c r="BI19" i="29"/>
  <c r="AM19" i="29"/>
  <c r="BD19" i="29" s="1"/>
  <c r="BC19" i="29"/>
  <c r="AU19" i="29"/>
  <c r="AS19" i="29"/>
  <c r="AQ19" i="29"/>
  <c r="AV19" i="29"/>
  <c r="BB19" i="29"/>
  <c r="CO19" i="29"/>
  <c r="Z19" i="29"/>
  <c r="CM19" i="29" s="1"/>
  <c r="DH18" i="29"/>
  <c r="DG18" i="29"/>
  <c r="DI18" i="29"/>
  <c r="DB18" i="29"/>
  <c r="CS18" i="29"/>
  <c r="CP18" i="29"/>
  <c r="AG18" i="29"/>
  <c r="CK18" i="29"/>
  <c r="Z18" i="29"/>
  <c r="CG18" i="29"/>
  <c r="BW18" i="29"/>
  <c r="BV18" i="29"/>
  <c r="BU18" i="29"/>
  <c r="BN18" i="29"/>
  <c r="CA18" i="29"/>
  <c r="CD18" i="29" s="1"/>
  <c r="AK18" i="29"/>
  <c r="AU18" i="29" s="1"/>
  <c r="BT18" i="29"/>
  <c r="BS18" i="29"/>
  <c r="BL18" i="29"/>
  <c r="BM18" i="29"/>
  <c r="BZ18" i="29" s="1"/>
  <c r="CC18" i="29" s="1"/>
  <c r="BO18" i="29"/>
  <c r="BQ18" i="29" s="1"/>
  <c r="BR18" i="29" s="1"/>
  <c r="BP18" i="29"/>
  <c r="BI18" i="29"/>
  <c r="AM18" i="29"/>
  <c r="AW18" i="29" s="1"/>
  <c r="AJ18" i="29"/>
  <c r="BA18" i="29"/>
  <c r="AI18" i="29"/>
  <c r="AS18" i="29"/>
  <c r="AL18" i="29"/>
  <c r="AV18" i="29"/>
  <c r="DG17" i="29"/>
  <c r="DH17" i="29"/>
  <c r="DI17" i="29"/>
  <c r="I17" i="29"/>
  <c r="L17" i="29"/>
  <c r="CP17" i="29"/>
  <c r="H17" i="29"/>
  <c r="CJ17" i="29" s="1"/>
  <c r="Z17" i="29"/>
  <c r="O17" i="29"/>
  <c r="CG17" i="29"/>
  <c r="CH17" i="29" s="1"/>
  <c r="AJ17" i="29"/>
  <c r="CV17" i="29" s="1"/>
  <c r="CX17" i="29" s="1"/>
  <c r="AK17" i="29"/>
  <c r="BW17" i="29"/>
  <c r="BX17" i="29" s="1"/>
  <c r="BY17" i="29" s="1"/>
  <c r="BU17" i="29"/>
  <c r="BN17" i="29"/>
  <c r="CA17" i="29"/>
  <c r="CD17" i="29" s="1"/>
  <c r="BT17" i="29"/>
  <c r="BP17" i="29"/>
  <c r="BO17" i="29"/>
  <c r="BL17" i="29"/>
  <c r="BQ17" i="29" s="1"/>
  <c r="BR17" i="29" s="1"/>
  <c r="BM17" i="29"/>
  <c r="BZ17" i="29"/>
  <c r="BI17" i="29"/>
  <c r="AM17" i="29"/>
  <c r="AW17" i="29" s="1"/>
  <c r="BD17" i="29"/>
  <c r="R17" i="29"/>
  <c r="BC17" i="29" s="1"/>
  <c r="AL17" i="29"/>
  <c r="AU17" i="29"/>
  <c r="AI17" i="29"/>
  <c r="AP17" i="29" s="1"/>
  <c r="BB17" i="29"/>
  <c r="AG17" i="29"/>
  <c r="AH17" i="29"/>
  <c r="BV17" i="29"/>
  <c r="N17" i="29"/>
  <c r="DB17" i="29" s="1"/>
  <c r="DH16" i="29"/>
  <c r="DG16" i="29"/>
  <c r="DI16" i="29"/>
  <c r="O16" i="29"/>
  <c r="AI16" i="29"/>
  <c r="CR16" i="29" s="1"/>
  <c r="AJ16" i="29"/>
  <c r="AK16" i="29"/>
  <c r="R16" i="29"/>
  <c r="AL16" i="29"/>
  <c r="I16" i="29"/>
  <c r="L16" i="29"/>
  <c r="CP16" i="29"/>
  <c r="H16" i="29"/>
  <c r="CJ16" i="29" s="1"/>
  <c r="Z16" i="29"/>
  <c r="AH16" i="29" s="1"/>
  <c r="BM16" i="29"/>
  <c r="BZ16" i="29" s="1"/>
  <c r="BT16" i="29"/>
  <c r="BN16" i="29"/>
  <c r="CA16" i="29" s="1"/>
  <c r="CD16" i="29" s="1"/>
  <c r="BU16" i="29"/>
  <c r="BW16" i="29"/>
  <c r="BS16" i="29"/>
  <c r="BV16" i="29"/>
  <c r="BP16" i="29"/>
  <c r="BL16" i="29"/>
  <c r="BI16" i="29"/>
  <c r="AM16" i="29"/>
  <c r="BD16" i="29"/>
  <c r="AW16" i="29"/>
  <c r="AU16" i="29"/>
  <c r="AS16" i="29"/>
  <c r="BC16" i="29"/>
  <c r="BB16" i="29"/>
  <c r="AG16" i="29"/>
  <c r="CG16" i="29"/>
  <c r="CH16" i="29" s="1"/>
  <c r="N16" i="29"/>
  <c r="DB16" i="29"/>
  <c r="AV16" i="29"/>
  <c r="DG15" i="29"/>
  <c r="DI15" i="29" s="1"/>
  <c r="DH15" i="29"/>
  <c r="I15" i="29"/>
  <c r="CG15" i="29" s="1"/>
  <c r="CH15" i="29" s="1"/>
  <c r="O15" i="29"/>
  <c r="AJ15" i="29"/>
  <c r="AK15" i="29"/>
  <c r="BN15" i="29"/>
  <c r="CA15" i="29" s="1"/>
  <c r="BU15" i="29"/>
  <c r="CD15" i="29"/>
  <c r="BW15" i="29"/>
  <c r="BT15" i="29"/>
  <c r="BP15" i="29"/>
  <c r="BM15" i="29"/>
  <c r="BZ15" i="29" s="1"/>
  <c r="BL15" i="29"/>
  <c r="BI15" i="29"/>
  <c r="AM15" i="29"/>
  <c r="BD15" i="29" s="1"/>
  <c r="BA15" i="29"/>
  <c r="AW15" i="29"/>
  <c r="AU15" i="29"/>
  <c r="AI15" i="29"/>
  <c r="AS15" i="29" s="1"/>
  <c r="AL15" i="29"/>
  <c r="R15" i="29"/>
  <c r="BC15" i="29"/>
  <c r="BB15" i="29"/>
  <c r="AG15" i="29"/>
  <c r="Z15" i="29"/>
  <c r="CM15" i="29" s="1"/>
  <c r="BV15" i="29"/>
  <c r="BS15" i="29"/>
  <c r="BX15" i="29" s="1"/>
  <c r="BY15" i="29" s="1"/>
  <c r="N15" i="29"/>
  <c r="DB15" i="29" s="1"/>
  <c r="L15" i="29"/>
  <c r="CP15" i="29"/>
  <c r="H15" i="29"/>
  <c r="A15" i="29"/>
  <c r="A16" i="29"/>
  <c r="A17" i="29" s="1"/>
  <c r="A18" i="29" s="1"/>
  <c r="A19" i="29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71" i="29" s="1"/>
  <c r="A72" i="29" s="1"/>
  <c r="A73" i="29" s="1"/>
  <c r="A74" i="29" s="1"/>
  <c r="A75" i="29" s="1"/>
  <c r="A76" i="29" s="1"/>
  <c r="A77" i="29" s="1"/>
  <c r="A78" i="29" s="1"/>
  <c r="A79" i="29" s="1"/>
  <c r="A80" i="29" s="1"/>
  <c r="A81" i="29" s="1"/>
  <c r="A82" i="29" s="1"/>
  <c r="A83" i="29" s="1"/>
  <c r="A84" i="29" s="1"/>
  <c r="A85" i="29" s="1"/>
  <c r="A86" i="29" s="1"/>
  <c r="A87" i="29" s="1"/>
  <c r="A88" i="29" s="1"/>
  <c r="A89" i="29" s="1"/>
  <c r="A90" i="29" s="1"/>
  <c r="A91" i="29" s="1"/>
  <c r="A92" i="29" s="1"/>
  <c r="A93" i="29" s="1"/>
  <c r="A94" i="29" s="1"/>
  <c r="A95" i="29" s="1"/>
  <c r="A96" i="29" s="1"/>
  <c r="A97" i="29" s="1"/>
  <c r="A98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110" i="29" s="1"/>
  <c r="A111" i="29" s="1"/>
  <c r="A112" i="29" s="1"/>
  <c r="A113" i="29" s="1"/>
  <c r="A114" i="29" s="1"/>
  <c r="A115" i="29" s="1"/>
  <c r="A116" i="29" s="1"/>
  <c r="A117" i="29" s="1"/>
  <c r="A118" i="29" s="1"/>
  <c r="A119" i="29" s="1"/>
  <c r="A120" i="29" s="1"/>
  <c r="A121" i="29" s="1"/>
  <c r="A122" i="29" s="1"/>
  <c r="A123" i="29" s="1"/>
  <c r="A124" i="29" s="1"/>
  <c r="A125" i="29" s="1"/>
  <c r="A126" i="29" s="1"/>
  <c r="A127" i="29" s="1"/>
  <c r="A128" i="29" s="1"/>
  <c r="A129" i="29" s="1"/>
  <c r="A130" i="29" s="1"/>
  <c r="A131" i="29" s="1"/>
  <c r="A132" i="29" s="1"/>
  <c r="A133" i="29" s="1"/>
  <c r="A134" i="29" s="1"/>
  <c r="A135" i="29" s="1"/>
  <c r="A136" i="29" s="1"/>
  <c r="A137" i="29" s="1"/>
  <c r="A138" i="29" s="1"/>
  <c r="A139" i="29" s="1"/>
  <c r="A140" i="29" s="1"/>
  <c r="A141" i="29" s="1"/>
  <c r="A146" i="29" s="1"/>
  <c r="A147" i="29" s="1"/>
  <c r="A148" i="29" s="1"/>
  <c r="A149" i="29" s="1"/>
  <c r="A150" i="29" s="1"/>
  <c r="A151" i="29" s="1"/>
  <c r="A152" i="29" s="1"/>
  <c r="A153" i="29" s="1"/>
  <c r="A154" i="29" s="1"/>
  <c r="A155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DH14" i="29"/>
  <c r="DI14" i="29" s="1"/>
  <c r="DG14" i="29"/>
  <c r="AJ14" i="29"/>
  <c r="CV14" i="29" s="1"/>
  <c r="AK14" i="29"/>
  <c r="I14" i="29"/>
  <c r="L14" i="29"/>
  <c r="CP14" i="29"/>
  <c r="BW14" i="29"/>
  <c r="BU14" i="29"/>
  <c r="CA14" i="29" s="1"/>
  <c r="CD14" i="29" s="1"/>
  <c r="CD143" i="29" s="1"/>
  <c r="BN14" i="29"/>
  <c r="BT14" i="29"/>
  <c r="BZ14" i="29" s="1"/>
  <c r="O14" i="29"/>
  <c r="BS14" i="29" s="1"/>
  <c r="BP14" i="29"/>
  <c r="BO14" i="29"/>
  <c r="BM14" i="29"/>
  <c r="BL14" i="29"/>
  <c r="BQ14" i="29"/>
  <c r="BI14" i="29"/>
  <c r="AM14" i="29"/>
  <c r="AO14" i="29" s="1"/>
  <c r="AU14" i="29"/>
  <c r="AL14" i="29"/>
  <c r="AV14" i="29" s="1"/>
  <c r="AI14" i="29"/>
  <c r="CN14" i="29" s="1"/>
  <c r="AG14" i="29"/>
  <c r="Z14" i="29"/>
  <c r="AH14" i="29"/>
  <c r="R14" i="29"/>
  <c r="BV14" i="29"/>
  <c r="N14" i="29"/>
  <c r="CZ14" i="29"/>
  <c r="H14" i="29"/>
  <c r="BI13" i="29"/>
  <c r="BI12" i="29"/>
  <c r="C9" i="29"/>
  <c r="D9" i="29" s="1"/>
  <c r="E9" i="29" s="1"/>
  <c r="F9" i="29" s="1"/>
  <c r="G9" i="29" s="1"/>
  <c r="H9" i="29" s="1"/>
  <c r="I9" i="29" s="1"/>
  <c r="J9" i="29" s="1"/>
  <c r="K9" i="29" s="1"/>
  <c r="L9" i="29" s="1"/>
  <c r="M9" i="29" s="1"/>
  <c r="N9" i="29" s="1"/>
  <c r="O9" i="29" s="1"/>
  <c r="P9" i="29" s="1"/>
  <c r="Q9" i="29" s="1"/>
  <c r="R9" i="29" s="1"/>
  <c r="S9" i="29" s="1"/>
  <c r="T9" i="29" s="1"/>
  <c r="U9" i="29" s="1"/>
  <c r="V9" i="29" s="1"/>
  <c r="W9" i="29" s="1"/>
  <c r="X9" i="29" s="1"/>
  <c r="Y9" i="29" s="1"/>
  <c r="Z9" i="29" s="1"/>
  <c r="AA9" i="29" s="1"/>
  <c r="AB9" i="29" s="1"/>
  <c r="AC9" i="29" s="1"/>
  <c r="AD9" i="29" s="1"/>
  <c r="AE9" i="29" s="1"/>
  <c r="AF9" i="29" s="1"/>
  <c r="AG9" i="29" s="1"/>
  <c r="AH9" i="29" s="1"/>
  <c r="AI9" i="29" s="1"/>
  <c r="AJ9" i="29" s="1"/>
  <c r="AK9" i="29" s="1"/>
  <c r="AL9" i="29" s="1"/>
  <c r="AM9" i="29" s="1"/>
  <c r="AN9" i="29" s="1"/>
  <c r="AO9" i="29" s="1"/>
  <c r="AP9" i="29" s="1"/>
  <c r="AQ9" i="29" s="1"/>
  <c r="AR9" i="29" s="1"/>
  <c r="AS9" i="29" s="1"/>
  <c r="AT9" i="29" s="1"/>
  <c r="AU9" i="29" s="1"/>
  <c r="AV9" i="29" s="1"/>
  <c r="AW9" i="29" s="1"/>
  <c r="AX9" i="29" s="1"/>
  <c r="AY9" i="29" s="1"/>
  <c r="AZ9" i="29" s="1"/>
  <c r="BA9" i="29" s="1"/>
  <c r="BB9" i="29" s="1"/>
  <c r="BC9" i="29" s="1"/>
  <c r="BD9" i="29" s="1"/>
  <c r="BE9" i="29" s="1"/>
  <c r="BF9" i="29" s="1"/>
  <c r="BG9" i="29" s="1"/>
  <c r="BH9" i="29" s="1"/>
  <c r="BI9" i="29" s="1"/>
  <c r="BL9" i="29" s="1"/>
  <c r="BM9" i="29" s="1"/>
  <c r="BN9" i="29" s="1"/>
  <c r="BO9" i="29" s="1"/>
  <c r="BP9" i="29" s="1"/>
  <c r="BQ9" i="29" s="1"/>
  <c r="BR9" i="29" s="1"/>
  <c r="BS9" i="29" s="1"/>
  <c r="BT9" i="29" s="1"/>
  <c r="BU9" i="29" s="1"/>
  <c r="BV9" i="29" s="1"/>
  <c r="BW9" i="29" s="1"/>
  <c r="BX9" i="29" s="1"/>
  <c r="BY9" i="29" s="1"/>
  <c r="BZ9" i="29" s="1"/>
  <c r="CA9" i="29" s="1"/>
  <c r="CB9" i="29" s="1"/>
  <c r="CC9" i="29" s="1"/>
  <c r="CD9" i="29" s="1"/>
  <c r="CE9" i="29" s="1"/>
  <c r="CF9" i="29" s="1"/>
  <c r="CG9" i="29" s="1"/>
  <c r="CH9" i="29" s="1"/>
  <c r="CI9" i="29" s="1"/>
  <c r="CJ9" i="29" s="1"/>
  <c r="CK9" i="29" s="1"/>
  <c r="CL9" i="29" s="1"/>
  <c r="CM9" i="29" s="1"/>
  <c r="CN9" i="29" s="1"/>
  <c r="CO9" i="29" s="1"/>
  <c r="CP9" i="29" s="1"/>
  <c r="CQ9" i="29" s="1"/>
  <c r="CR9" i="29" s="1"/>
  <c r="CS9" i="29"/>
  <c r="CT9" i="29" s="1"/>
  <c r="CU9" i="29" s="1"/>
  <c r="CV9" i="29" s="1"/>
  <c r="CW9" i="29" s="1"/>
  <c r="CX9" i="29" s="1"/>
  <c r="CY9" i="29" s="1"/>
  <c r="CZ9" i="29" s="1"/>
  <c r="CO8" i="29"/>
  <c r="AN8" i="29"/>
  <c r="AD8" i="29"/>
  <c r="AC8" i="29"/>
  <c r="AB8" i="29"/>
  <c r="AA8" i="29"/>
  <c r="W8" i="29"/>
  <c r="V8" i="29"/>
  <c r="T8" i="29"/>
  <c r="R7" i="29"/>
  <c r="O7" i="29"/>
  <c r="BH7" i="29"/>
  <c r="N7" i="29"/>
  <c r="I7" i="29"/>
  <c r="BG7" i="29"/>
  <c r="BI7" i="29"/>
  <c r="Z6" i="29"/>
  <c r="CK5" i="29"/>
  <c r="CJ5" i="29"/>
  <c r="C1" i="29"/>
  <c r="D1" i="29" s="1"/>
  <c r="E1" i="29" s="1"/>
  <c r="F1" i="29" s="1"/>
  <c r="G1" i="29" s="1"/>
  <c r="H1" i="29" s="1"/>
  <c r="I1" i="29" s="1"/>
  <c r="J1" i="29"/>
  <c r="K1" i="29" s="1"/>
  <c r="L1" i="29" s="1"/>
  <c r="M1" i="29" s="1"/>
  <c r="N1" i="29" s="1"/>
  <c r="O1" i="29" s="1"/>
  <c r="P1" i="29" s="1"/>
  <c r="Q1" i="29" s="1"/>
  <c r="R1" i="29" s="1"/>
  <c r="S1" i="29" s="1"/>
  <c r="T1" i="29" s="1"/>
  <c r="U1" i="29" s="1"/>
  <c r="V1" i="29" s="1"/>
  <c r="W1" i="29" s="1"/>
  <c r="X1" i="29" s="1"/>
  <c r="Y1" i="29" s="1"/>
  <c r="Z1" i="29" s="1"/>
  <c r="AA1" i="29" s="1"/>
  <c r="AB1" i="29" s="1"/>
  <c r="AC1" i="29" s="1"/>
  <c r="AD1" i="29" s="1"/>
  <c r="AE1" i="29" s="1"/>
  <c r="AF1" i="29" s="1"/>
  <c r="AG1" i="29" s="1"/>
  <c r="AH1" i="29" s="1"/>
  <c r="AI1" i="29" s="1"/>
  <c r="AJ1" i="29" s="1"/>
  <c r="AK1" i="29" s="1"/>
  <c r="AL1" i="29" s="1"/>
  <c r="AM1" i="29" s="1"/>
  <c r="AN1" i="29" s="1"/>
  <c r="AO1" i="29" s="1"/>
  <c r="AP1" i="29" s="1"/>
  <c r="AQ1" i="29" s="1"/>
  <c r="AR1" i="29" s="1"/>
  <c r="AS1" i="29" s="1"/>
  <c r="AT1" i="29" s="1"/>
  <c r="AU1" i="29" s="1"/>
  <c r="AV1" i="29" s="1"/>
  <c r="AW1" i="29" s="1"/>
  <c r="AX1" i="29" s="1"/>
  <c r="AY1" i="29" s="1"/>
  <c r="AZ1" i="29" s="1"/>
  <c r="BA1" i="29" s="1"/>
  <c r="BB1" i="29" s="1"/>
  <c r="BC1" i="29" s="1"/>
  <c r="BD1" i="29" s="1"/>
  <c r="BE1" i="29" s="1"/>
  <c r="BF1" i="29" s="1"/>
  <c r="BG1" i="29" s="1"/>
  <c r="BH1" i="29" s="1"/>
  <c r="BI1" i="29" s="1"/>
  <c r="BL1" i="29" s="1"/>
  <c r="BM1" i="29" s="1"/>
  <c r="BN1" i="29" s="1"/>
  <c r="BO1" i="29" s="1"/>
  <c r="BP1" i="29" s="1"/>
  <c r="BQ1" i="29" s="1"/>
  <c r="BR1" i="29" s="1"/>
  <c r="BS1" i="29" s="1"/>
  <c r="BT1" i="29" s="1"/>
  <c r="BU1" i="29" s="1"/>
  <c r="BV1" i="29" s="1"/>
  <c r="BW1" i="29" s="1"/>
  <c r="BX1" i="29" s="1"/>
  <c r="BY1" i="29" s="1"/>
  <c r="BZ1" i="29" s="1"/>
  <c r="CA1" i="29" s="1"/>
  <c r="CB1" i="29" s="1"/>
  <c r="CC1" i="29" s="1"/>
  <c r="CD1" i="29" s="1"/>
  <c r="CE1" i="29" s="1"/>
  <c r="CF1" i="29" s="1"/>
  <c r="CG1" i="29" s="1"/>
  <c r="CH1" i="29" s="1"/>
  <c r="CI1" i="29" s="1"/>
  <c r="CJ1" i="29" s="1"/>
  <c r="CK1" i="29" s="1"/>
  <c r="CL1" i="29" s="1"/>
  <c r="CM1" i="29" s="1"/>
  <c r="CN1" i="29" s="1"/>
  <c r="CO1" i="29" s="1"/>
  <c r="CP1" i="29" s="1"/>
  <c r="CQ1" i="29" s="1"/>
  <c r="CR1" i="29" s="1"/>
  <c r="CS1" i="29" s="1"/>
  <c r="CT1" i="29" s="1"/>
  <c r="CU1" i="29" s="1"/>
  <c r="CV1" i="29" s="1"/>
  <c r="CW1" i="29" s="1"/>
  <c r="CX1" i="29" s="1"/>
  <c r="CY1" i="29" s="1"/>
  <c r="CZ1" i="29" s="1"/>
  <c r="D1" i="11"/>
  <c r="E1" i="11" s="1"/>
  <c r="F1" i="11" s="1"/>
  <c r="G1" i="11" s="1"/>
  <c r="H1" i="11" s="1"/>
  <c r="I1" i="11" s="1"/>
  <c r="J1" i="11" s="1"/>
  <c r="K1" i="11" s="1"/>
  <c r="L1" i="11" s="1"/>
  <c r="M1" i="11" s="1"/>
  <c r="N1" i="11" s="1"/>
  <c r="O1" i="11" s="1"/>
  <c r="P1" i="11" s="1"/>
  <c r="Q1" i="11" s="1"/>
  <c r="R1" i="11" s="1"/>
  <c r="S1" i="11" s="1"/>
  <c r="AK59" i="29"/>
  <c r="AP59" i="29" s="1"/>
  <c r="CP59" i="29"/>
  <c r="AG59" i="29"/>
  <c r="CS59" i="29"/>
  <c r="CQ36" i="29"/>
  <c r="BR14" i="29"/>
  <c r="CQ41" i="29"/>
  <c r="CW40" i="29"/>
  <c r="CX40" i="29"/>
  <c r="AO23" i="29"/>
  <c r="CZ23" i="29"/>
  <c r="AQ23" i="29"/>
  <c r="DB27" i="29"/>
  <c r="BH34" i="29"/>
  <c r="CK41" i="29"/>
  <c r="DB41" i="29"/>
  <c r="BB44" i="29"/>
  <c r="CV44" i="29"/>
  <c r="CX44" i="29" s="1"/>
  <c r="CW44" i="29"/>
  <c r="AU44" i="29"/>
  <c r="CZ46" i="29"/>
  <c r="CQ46" i="29"/>
  <c r="AQ46" i="29"/>
  <c r="AZ46" i="29"/>
  <c r="CR46" i="29"/>
  <c r="AS46" i="29"/>
  <c r="CN46" i="29"/>
  <c r="CT46" i="29" s="1"/>
  <c r="CZ53" i="29"/>
  <c r="DB53" i="29"/>
  <c r="CK53" i="29"/>
  <c r="CC53" i="29"/>
  <c r="CS56" i="29"/>
  <c r="BS56" i="29"/>
  <c r="BD57" i="29"/>
  <c r="AW57" i="29"/>
  <c r="AO61" i="29"/>
  <c r="CY61" i="29"/>
  <c r="CO61" i="29"/>
  <c r="AQ61" i="29"/>
  <c r="AZ61" i="29"/>
  <c r="CN61" i="29"/>
  <c r="AP61" i="29"/>
  <c r="BC62" i="29"/>
  <c r="BV62" i="29"/>
  <c r="AW69" i="29"/>
  <c r="BD69" i="29"/>
  <c r="BB71" i="29"/>
  <c r="AO71" i="29"/>
  <c r="CZ71" i="29"/>
  <c r="CY71" i="29"/>
  <c r="CO71" i="29"/>
  <c r="AU71" i="29"/>
  <c r="CV71" i="29"/>
  <c r="AG75" i="29"/>
  <c r="CK75" i="29"/>
  <c r="CS75" i="29"/>
  <c r="BS75" i="29"/>
  <c r="AS31" i="29"/>
  <c r="AH31" i="29"/>
  <c r="CO14" i="29"/>
  <c r="CY15" i="29"/>
  <c r="CN15" i="29"/>
  <c r="CT15" i="29" s="1"/>
  <c r="CQ15" i="29"/>
  <c r="CZ15" i="29"/>
  <c r="AZ17" i="29"/>
  <c r="CS17" i="29"/>
  <c r="CQ17" i="29"/>
  <c r="AT17" i="29"/>
  <c r="AV17" i="29"/>
  <c r="CW17" i="29"/>
  <c r="AT19" i="29"/>
  <c r="CW19" i="29"/>
  <c r="CH19" i="29"/>
  <c r="CR19" i="29"/>
  <c r="AZ21" i="29"/>
  <c r="CS21" i="29"/>
  <c r="CQ21" i="29"/>
  <c r="AT21" i="29"/>
  <c r="CW21" i="29"/>
  <c r="CV21" i="29"/>
  <c r="CX21" i="29" s="1"/>
  <c r="Z22" i="29"/>
  <c r="AG22" i="29"/>
  <c r="CM22" i="29"/>
  <c r="AI22" i="29"/>
  <c r="CY22" i="29"/>
  <c r="CP22" i="29"/>
  <c r="CY23" i="29"/>
  <c r="CP24" i="29"/>
  <c r="CG24" i="29"/>
  <c r="CH24" i="29" s="1"/>
  <c r="AS24" i="29"/>
  <c r="CP26" i="29"/>
  <c r="CN26" i="29"/>
  <c r="CT26" i="29" s="1"/>
  <c r="CU26" i="29" s="1"/>
  <c r="CG26" i="29"/>
  <c r="CH26" i="29"/>
  <c r="AS26" i="29"/>
  <c r="AP26" i="29"/>
  <c r="CK27" i="29"/>
  <c r="CL27" i="29" s="1"/>
  <c r="CK28" i="29"/>
  <c r="CB29" i="29"/>
  <c r="CO30" i="29"/>
  <c r="CC34" i="29"/>
  <c r="BH40" i="29"/>
  <c r="BB41" i="29"/>
  <c r="AU41" i="29"/>
  <c r="CA43" i="29"/>
  <c r="CD43" i="29" s="1"/>
  <c r="BQ43" i="29"/>
  <c r="BR43" i="29"/>
  <c r="CN44" i="29"/>
  <c r="CN47" i="29"/>
  <c r="CY47" i="29"/>
  <c r="AS47" i="29"/>
  <c r="BC51" i="29"/>
  <c r="CW51" i="29"/>
  <c r="CA58" i="29"/>
  <c r="CY65" i="29"/>
  <c r="AQ65" i="29"/>
  <c r="AR65" i="29" s="1"/>
  <c r="AO65" i="29"/>
  <c r="AZ65" i="29"/>
  <c r="AP65" i="29"/>
  <c r="BB72" i="29"/>
  <c r="BC72" i="29"/>
  <c r="BD98" i="29"/>
  <c r="AW98" i="29"/>
  <c r="AZ99" i="29"/>
  <c r="AS99" i="29"/>
  <c r="AQ99" i="29"/>
  <c r="AO99" i="29"/>
  <c r="AP99" i="29"/>
  <c r="CC88" i="30"/>
  <c r="CB88" i="30"/>
  <c r="CK25" i="29"/>
  <c r="BB29" i="29"/>
  <c r="AU29" i="29"/>
  <c r="CY37" i="29"/>
  <c r="CO15" i="29"/>
  <c r="BX18" i="29"/>
  <c r="BY18" i="29" s="1"/>
  <c r="CJ19" i="29"/>
  <c r="CL19" i="29"/>
  <c r="AP20" i="29"/>
  <c r="BL22" i="29"/>
  <c r="AA147" i="29"/>
  <c r="CR23" i="29"/>
  <c r="BS23" i="29"/>
  <c r="BX23" i="29"/>
  <c r="BY23" i="29" s="1"/>
  <c r="AV23" i="29"/>
  <c r="CB23" i="29"/>
  <c r="CO23" i="29"/>
  <c r="BD24" i="29"/>
  <c r="BL25" i="29"/>
  <c r="CB25" i="29"/>
  <c r="DB25" i="29"/>
  <c r="AO26" i="29"/>
  <c r="AQ26" i="29"/>
  <c r="AR26" i="29" s="1"/>
  <c r="BD26" i="29"/>
  <c r="BV27" i="29"/>
  <c r="BC27" i="29"/>
  <c r="CM27" i="29"/>
  <c r="CK29" i="29"/>
  <c r="CQ29" i="29"/>
  <c r="BQ30" i="29"/>
  <c r="BR30" i="29" s="1"/>
  <c r="CB30" i="29"/>
  <c r="DI30" i="29"/>
  <c r="AZ31" i="29"/>
  <c r="BX31" i="29"/>
  <c r="BY31" i="29" s="1"/>
  <c r="CH32" i="29"/>
  <c r="BB32" i="29"/>
  <c r="BF32" i="29"/>
  <c r="AU32" i="29"/>
  <c r="BC33" i="29"/>
  <c r="CJ34" i="29"/>
  <c r="CY34" i="29"/>
  <c r="CV35" i="29"/>
  <c r="CX35" i="29" s="1"/>
  <c r="BA35" i="29"/>
  <c r="CO35" i="29"/>
  <c r="CH35" i="29"/>
  <c r="AT35" i="29"/>
  <c r="CZ35" i="29"/>
  <c r="CN35" i="29"/>
  <c r="CR35" i="29"/>
  <c r="AQ35" i="29"/>
  <c r="CY35" i="29"/>
  <c r="BX36" i="29"/>
  <c r="BY36" i="29"/>
  <c r="AV37" i="29"/>
  <c r="AP37" i="29"/>
  <c r="CP38" i="29"/>
  <c r="CZ40" i="29"/>
  <c r="BA40" i="29"/>
  <c r="AO40" i="29"/>
  <c r="AT40" i="29"/>
  <c r="AX40" i="29"/>
  <c r="CN40" i="29"/>
  <c r="BV41" i="29"/>
  <c r="CQ44" i="29"/>
  <c r="CY45" i="29"/>
  <c r="CR45" i="29"/>
  <c r="AQ45" i="29"/>
  <c r="CO45" i="29"/>
  <c r="AZ45" i="29"/>
  <c r="AO45" i="29"/>
  <c r="CZ45" i="29"/>
  <c r="AS45" i="29"/>
  <c r="CQ45" i="29"/>
  <c r="AH45" i="29"/>
  <c r="BQ46" i="29"/>
  <c r="BR46" i="29" s="1"/>
  <c r="CA49" i="29"/>
  <c r="CD49" i="29" s="1"/>
  <c r="BC53" i="29"/>
  <c r="BV53" i="29"/>
  <c r="BB53" i="29"/>
  <c r="AU53" i="29"/>
  <c r="CV53" i="29"/>
  <c r="CN55" i="29"/>
  <c r="CG55" i="29"/>
  <c r="CH55" i="29" s="1"/>
  <c r="AS55" i="29"/>
  <c r="CO55" i="29"/>
  <c r="BL55" i="29"/>
  <c r="CP55" i="29"/>
  <c r="BQ56" i="29"/>
  <c r="BR56" i="29"/>
  <c r="BA58" i="29"/>
  <c r="CS62" i="29"/>
  <c r="DB115" i="29"/>
  <c r="CZ115" i="29"/>
  <c r="CK115" i="29"/>
  <c r="AQ115" i="29"/>
  <c r="AR115" i="29"/>
  <c r="CQ115" i="29"/>
  <c r="AO115" i="29"/>
  <c r="AZ115" i="29"/>
  <c r="AP115" i="29"/>
  <c r="DB14" i="29"/>
  <c r="DB143" i="29"/>
  <c r="CK14" i="29"/>
  <c r="AP14" i="29"/>
  <c r="AV15" i="29"/>
  <c r="AO15" i="29"/>
  <c r="CR15" i="29"/>
  <c r="AZ16" i="29"/>
  <c r="CS16" i="29"/>
  <c r="CW16" i="29"/>
  <c r="BO16" i="29"/>
  <c r="CY17" i="29"/>
  <c r="CM17" i="29"/>
  <c r="CN17" i="29"/>
  <c r="CT17" i="29" s="1"/>
  <c r="CU17" i="29" s="1"/>
  <c r="CZ17" i="29"/>
  <c r="AO18" i="29"/>
  <c r="CB18" i="29"/>
  <c r="CN18" i="29"/>
  <c r="AZ20" i="29"/>
  <c r="AT20" i="29"/>
  <c r="CW20" i="29"/>
  <c r="BO20" i="29"/>
  <c r="CV20" i="29"/>
  <c r="CY21" i="29"/>
  <c r="CZ21" i="29"/>
  <c r="AV22" i="29"/>
  <c r="CQ23" i="29"/>
  <c r="CK24" i="29"/>
  <c r="CK26" i="29"/>
  <c r="CL26" i="29" s="1"/>
  <c r="BB27" i="29"/>
  <c r="CC32" i="29"/>
  <c r="CK33" i="29"/>
  <c r="DB33" i="29"/>
  <c r="BQ34" i="29"/>
  <c r="BR34" i="29" s="1"/>
  <c r="AV35" i="29"/>
  <c r="AO36" i="29"/>
  <c r="AZ36" i="29"/>
  <c r="CO36" i="29"/>
  <c r="AS36" i="29"/>
  <c r="CY36" i="29"/>
  <c r="AQ36" i="29"/>
  <c r="AR36" i="29" s="1"/>
  <c r="CR36" i="29"/>
  <c r="CZ37" i="29"/>
  <c r="CN37" i="29"/>
  <c r="BA37" i="29"/>
  <c r="AO37" i="29"/>
  <c r="AT37" i="29"/>
  <c r="CW37" i="29"/>
  <c r="BQ39" i="29"/>
  <c r="BR39" i="29"/>
  <c r="CS40" i="29"/>
  <c r="CR40" i="29"/>
  <c r="AZ40" i="29"/>
  <c r="BS40" i="29"/>
  <c r="BX40" i="29" s="1"/>
  <c r="BY40" i="29" s="1"/>
  <c r="BZ40" i="29"/>
  <c r="CQ40" i="29"/>
  <c r="CB42" i="29"/>
  <c r="CH44" i="29"/>
  <c r="AQ44" i="29"/>
  <c r="CZ44" i="29"/>
  <c r="CO46" i="29"/>
  <c r="CK47" i="29"/>
  <c r="DB47" i="29"/>
  <c r="CM47" i="29"/>
  <c r="O47" i="29"/>
  <c r="CP49" i="29"/>
  <c r="BG49" i="29"/>
  <c r="BI49" i="29" s="1"/>
  <c r="O50" i="29"/>
  <c r="CG50" i="29"/>
  <c r="AJ50" i="29"/>
  <c r="CH50" i="29" s="1"/>
  <c r="CC65" i="29"/>
  <c r="BV72" i="29"/>
  <c r="BX72" i="29"/>
  <c r="BY72" i="29" s="1"/>
  <c r="BL109" i="29"/>
  <c r="CO109" i="29"/>
  <c r="CG109" i="29"/>
  <c r="CH109" i="29"/>
  <c r="AS109" i="29"/>
  <c r="CN109" i="29"/>
  <c r="CP109" i="29"/>
  <c r="AZ14" i="29"/>
  <c r="CS14" i="29"/>
  <c r="CQ14" i="29"/>
  <c r="AT14" i="29"/>
  <c r="CW14" i="29"/>
  <c r="AQ14" i="29"/>
  <c r="BA14" i="29"/>
  <c r="CR14" i="29"/>
  <c r="AP15" i="29"/>
  <c r="AQ15" i="29"/>
  <c r="CO17" i="29"/>
  <c r="BS17" i="29"/>
  <c r="CO18" i="29"/>
  <c r="AQ18" i="29"/>
  <c r="BC18" i="29"/>
  <c r="CZ18" i="29"/>
  <c r="AY19" i="29"/>
  <c r="BX19" i="29"/>
  <c r="BY19" i="29" s="1"/>
  <c r="CV19" i="29"/>
  <c r="CX19" i="29"/>
  <c r="BS21" i="29"/>
  <c r="BX21" i="29"/>
  <c r="BY21" i="29" s="1"/>
  <c r="CC21" i="29"/>
  <c r="CK22" i="29"/>
  <c r="CW22" i="29"/>
  <c r="AT22" i="29"/>
  <c r="BO22" i="29"/>
  <c r="CJ22" i="29"/>
  <c r="CV22" i="29"/>
  <c r="AZ23" i="29"/>
  <c r="CM24" i="29"/>
  <c r="CP25" i="29"/>
  <c r="CG25" i="29"/>
  <c r="AS25" i="29"/>
  <c r="AP25" i="29"/>
  <c r="CM26" i="29"/>
  <c r="CY26" i="29"/>
  <c r="CP27" i="29"/>
  <c r="CG27" i="29"/>
  <c r="CH27" i="29"/>
  <c r="AP27" i="29"/>
  <c r="BD27" i="29"/>
  <c r="BD28" i="29"/>
  <c r="AW28" i="29"/>
  <c r="AW48" i="29"/>
  <c r="AW56" i="29"/>
  <c r="AW58" i="29"/>
  <c r="AW65" i="29"/>
  <c r="AW66" i="29"/>
  <c r="AW70" i="29"/>
  <c r="AW82" i="29"/>
  <c r="AW86" i="29"/>
  <c r="AW87" i="29"/>
  <c r="AW88" i="29"/>
  <c r="AW90" i="29"/>
  <c r="AW107" i="29"/>
  <c r="AW109" i="29"/>
  <c r="AW111" i="29"/>
  <c r="AW112" i="29"/>
  <c r="AW113" i="29"/>
  <c r="AW114" i="29"/>
  <c r="AW115" i="29"/>
  <c r="AW116" i="29"/>
  <c r="AW117" i="29"/>
  <c r="AW118" i="29"/>
  <c r="AW133" i="29"/>
  <c r="AW134" i="29"/>
  <c r="AM136" i="29"/>
  <c r="AW136" i="29"/>
  <c r="AW137" i="29"/>
  <c r="AW138" i="29"/>
  <c r="AW140" i="29"/>
  <c r="DB28" i="29"/>
  <c r="CP34" i="29"/>
  <c r="AV34" i="29"/>
  <c r="BQ35" i="29"/>
  <c r="BR35" i="29"/>
  <c r="CC35" i="29"/>
  <c r="BQ36" i="29"/>
  <c r="BR36" i="29" s="1"/>
  <c r="BZ36" i="29"/>
  <c r="BH37" i="29"/>
  <c r="CG37" i="29"/>
  <c r="CH37" i="29" s="1"/>
  <c r="CS37" i="29"/>
  <c r="AZ37" i="29"/>
  <c r="CQ37" i="29"/>
  <c r="CS38" i="29"/>
  <c r="AZ38" i="29"/>
  <c r="CR38" i="29"/>
  <c r="BS38" i="29"/>
  <c r="BX38" i="29" s="1"/>
  <c r="BY38" i="29" s="1"/>
  <c r="CQ38" i="29"/>
  <c r="BH38" i="29"/>
  <c r="AT38" i="29"/>
  <c r="CW38" i="29"/>
  <c r="CC38" i="29"/>
  <c r="CV38" i="29"/>
  <c r="CP39" i="29"/>
  <c r="AV39" i="29"/>
  <c r="AP41" i="29"/>
  <c r="CW41" i="29"/>
  <c r="CP42" i="29"/>
  <c r="BL42" i="29"/>
  <c r="BQ42" i="29"/>
  <c r="BR42" i="29" s="1"/>
  <c r="AS42" i="29"/>
  <c r="CG42" i="29"/>
  <c r="CH42" i="29" s="1"/>
  <c r="AH42" i="29"/>
  <c r="AP44" i="29"/>
  <c r="AQ51" i="29"/>
  <c r="AR51" i="29"/>
  <c r="CM52" i="29"/>
  <c r="CJ52" i="29"/>
  <c r="BC52" i="29"/>
  <c r="CY52" i="29"/>
  <c r="AV52" i="29"/>
  <c r="CM53" i="29"/>
  <c r="CZ55" i="29"/>
  <c r="CM55" i="29"/>
  <c r="CK55" i="29"/>
  <c r="CV55" i="29"/>
  <c r="CX55" i="29" s="1"/>
  <c r="CW55" i="29"/>
  <c r="BA55" i="29"/>
  <c r="AT55" i="29"/>
  <c r="DB55" i="29"/>
  <c r="CV58" i="29"/>
  <c r="AO58" i="29"/>
  <c r="CK68" i="29"/>
  <c r="AH68" i="29"/>
  <c r="BB69" i="29"/>
  <c r="BC69" i="29"/>
  <c r="CV69" i="29"/>
  <c r="AO69" i="29"/>
  <c r="AU69" i="29"/>
  <c r="CZ69" i="29"/>
  <c r="CN71" i="29"/>
  <c r="CS72" i="29"/>
  <c r="CZ73" i="29"/>
  <c r="CN73" i="29"/>
  <c r="CT73" i="29" s="1"/>
  <c r="CQ73" i="29"/>
  <c r="AS73" i="29"/>
  <c r="CY73" i="29"/>
  <c r="CR73" i="29"/>
  <c r="AQ73" i="29"/>
  <c r="CO73" i="29"/>
  <c r="BV92" i="29"/>
  <c r="BX92" i="29" s="1"/>
  <c r="BY92" i="29" s="1"/>
  <c r="BA26" i="29"/>
  <c r="CZ30" i="29"/>
  <c r="CN30" i="29"/>
  <c r="CY30" i="29"/>
  <c r="AZ30" i="29"/>
  <c r="CR30" i="29"/>
  <c r="AS30" i="29"/>
  <c r="AQ30" i="29"/>
  <c r="CQ53" i="29"/>
  <c r="CT53" i="29" s="1"/>
  <c r="CU53" i="29" s="1"/>
  <c r="AO53" i="29"/>
  <c r="AQ53" i="29"/>
  <c r="AR53" i="29"/>
  <c r="CY53" i="29"/>
  <c r="AP53" i="29"/>
  <c r="AZ53" i="29"/>
  <c r="CO53" i="29"/>
  <c r="BB14" i="29"/>
  <c r="AS14" i="29"/>
  <c r="BC14" i="29"/>
  <c r="CG14" i="29"/>
  <c r="AZ15" i="29"/>
  <c r="CS15" i="29"/>
  <c r="AT15" i="29"/>
  <c r="CW15" i="29"/>
  <c r="BO15" i="29"/>
  <c r="BQ15" i="29"/>
  <c r="BR15" i="29" s="1"/>
  <c r="CJ15" i="29"/>
  <c r="CV15" i="29"/>
  <c r="CY16" i="29"/>
  <c r="CM16" i="29"/>
  <c r="BQ16" i="29"/>
  <c r="BR16" i="29" s="1"/>
  <c r="AO17" i="29"/>
  <c r="BA17" i="29"/>
  <c r="CR17" i="29"/>
  <c r="AT18" i="29"/>
  <c r="AY18" i="29" s="1"/>
  <c r="CW18" i="29"/>
  <c r="CH18" i="29"/>
  <c r="CR18" i="29"/>
  <c r="AH19" i="29"/>
  <c r="AR19" i="29" s="1"/>
  <c r="AO19" i="29"/>
  <c r="BA19" i="29"/>
  <c r="CN19" i="29"/>
  <c r="CY20" i="29"/>
  <c r="CM20" i="29"/>
  <c r="BQ20" i="29"/>
  <c r="BR20" i="29" s="1"/>
  <c r="CN20" i="29"/>
  <c r="CZ20" i="29"/>
  <c r="BA21" i="29"/>
  <c r="CB21" i="29"/>
  <c r="CR21" i="29"/>
  <c r="CQ22" i="29"/>
  <c r="AZ22" i="29"/>
  <c r="CP23" i="29"/>
  <c r="AP23" i="29"/>
  <c r="BL24" i="29"/>
  <c r="BQ24" i="29" s="1"/>
  <c r="BR24" i="29" s="1"/>
  <c r="CB24" i="29"/>
  <c r="DB24" i="29"/>
  <c r="AO25" i="29"/>
  <c r="BD25" i="29"/>
  <c r="BL26" i="29"/>
  <c r="BQ26" i="29"/>
  <c r="BR26" i="29" s="1"/>
  <c r="CO26" i="29"/>
  <c r="DB26" i="29"/>
  <c r="AO27" i="29"/>
  <c r="AZ27" i="29"/>
  <c r="AQ27" i="29"/>
  <c r="AR27" i="29" s="1"/>
  <c r="CW27" i="29"/>
  <c r="CX27" i="29" s="1"/>
  <c r="BV28" i="29"/>
  <c r="CV29" i="29"/>
  <c r="CY29" i="29"/>
  <c r="AP30" i="29"/>
  <c r="CK31" i="29"/>
  <c r="CL31" i="29"/>
  <c r="BD32" i="29"/>
  <c r="AT33" i="29"/>
  <c r="AY33" i="29"/>
  <c r="CR33" i="29"/>
  <c r="CW33" i="29"/>
  <c r="CX33" i="29"/>
  <c r="BX33" i="29"/>
  <c r="BY33" i="29" s="1"/>
  <c r="CZ33" i="29"/>
  <c r="BX34" i="29"/>
  <c r="BY34" i="29"/>
  <c r="CJ35" i="29"/>
  <c r="CQ35" i="29"/>
  <c r="AU36" i="29"/>
  <c r="CV36" i="29"/>
  <c r="CX36" i="29" s="1"/>
  <c r="CG38" i="29"/>
  <c r="CH38" i="29" s="1"/>
  <c r="CZ38" i="29"/>
  <c r="CM40" i="29"/>
  <c r="CY40" i="29"/>
  <c r="AO41" i="29"/>
  <c r="AS41" i="29"/>
  <c r="CO41" i="29"/>
  <c r="AQ41" i="29"/>
  <c r="AR41" i="29"/>
  <c r="CZ41" i="29"/>
  <c r="AH43" i="29"/>
  <c r="CJ43" i="29"/>
  <c r="CL43" i="29"/>
  <c r="CM43" i="29"/>
  <c r="BD43" i="29"/>
  <c r="DB46" i="29"/>
  <c r="CG49" i="29"/>
  <c r="CH49" i="29"/>
  <c r="AB147" i="29"/>
  <c r="AG50" i="29"/>
  <c r="CM50" i="29" s="1"/>
  <c r="BT50" i="29"/>
  <c r="BZ50" i="29" s="1"/>
  <c r="BQ50" i="29"/>
  <c r="BR50" i="29" s="1"/>
  <c r="AP51" i="29"/>
  <c r="AU51" i="29"/>
  <c r="CR53" i="29"/>
  <c r="BY54" i="29"/>
  <c r="CB58" i="29"/>
  <c r="CK59" i="29"/>
  <c r="BB60" i="29"/>
  <c r="AU60" i="29"/>
  <c r="CO60" i="29"/>
  <c r="AQ60" i="29"/>
  <c r="AR60" i="29" s="1"/>
  <c r="AO60" i="29"/>
  <c r="CW60" i="29"/>
  <c r="CX60" i="29"/>
  <c r="CC62" i="29"/>
  <c r="CA62" i="29"/>
  <c r="CB62" i="29" s="1"/>
  <c r="AP64" i="29"/>
  <c r="BD65" i="29"/>
  <c r="BD66" i="29"/>
  <c r="AZ73" i="29"/>
  <c r="CC78" i="29"/>
  <c r="CB78" i="29"/>
  <c r="AH91" i="29"/>
  <c r="CK15" i="29"/>
  <c r="CK16" i="29"/>
  <c r="CL16" i="29"/>
  <c r="CK17" i="29"/>
  <c r="CL17" i="29" s="1"/>
  <c r="AP18" i="29"/>
  <c r="CQ18" i="29"/>
  <c r="AP19" i="29"/>
  <c r="CQ19" i="29"/>
  <c r="CK20" i="29"/>
  <c r="CL20" i="29"/>
  <c r="BS24" i="29"/>
  <c r="BS25" i="29"/>
  <c r="BX25" i="29"/>
  <c r="BY25" i="29" s="1"/>
  <c r="BS26" i="29"/>
  <c r="BX26" i="29"/>
  <c r="BY26" i="29" s="1"/>
  <c r="BS27" i="29"/>
  <c r="BX27" i="29" s="1"/>
  <c r="BY27" i="29" s="1"/>
  <c r="BG28" i="29"/>
  <c r="BI28" i="29"/>
  <c r="CG28" i="29"/>
  <c r="AS29" i="29"/>
  <c r="CR29" i="29"/>
  <c r="CJ30" i="29"/>
  <c r="CL30" i="29" s="1"/>
  <c r="CV30" i="29"/>
  <c r="CX30" i="29" s="1"/>
  <c r="AU31" i="29"/>
  <c r="BA31" i="29"/>
  <c r="AS32" i="29"/>
  <c r="CR32" i="29"/>
  <c r="BH33" i="29"/>
  <c r="BI33" i="29"/>
  <c r="CO33" i="29"/>
  <c r="AT34" i="29"/>
  <c r="AX34" i="29"/>
  <c r="AZ34" i="29"/>
  <c r="CS34" i="29"/>
  <c r="CM36" i="29"/>
  <c r="BL37" i="29"/>
  <c r="AP38" i="29"/>
  <c r="DB38" i="29"/>
  <c r="AT39" i="29"/>
  <c r="AZ39" i="29"/>
  <c r="CS39" i="29"/>
  <c r="CG40" i="29"/>
  <c r="CH40" i="29"/>
  <c r="CS41" i="29"/>
  <c r="AZ41" i="29"/>
  <c r="AT41" i="29"/>
  <c r="CV41" i="29"/>
  <c r="CX41" i="29" s="1"/>
  <c r="BI41" i="29"/>
  <c r="CY42" i="29"/>
  <c r="CM42" i="29"/>
  <c r="CJ42" i="29"/>
  <c r="CL42" i="29" s="1"/>
  <c r="CS44" i="29"/>
  <c r="CR44" i="29"/>
  <c r="BS44" i="29"/>
  <c r="BH44" i="29"/>
  <c r="CY44" i="29"/>
  <c r="BA44" i="29"/>
  <c r="BD44" i="29"/>
  <c r="BL44" i="29"/>
  <c r="BQ44" i="29" s="1"/>
  <c r="BR44" i="29" s="1"/>
  <c r="CP44" i="29"/>
  <c r="DI44" i="29"/>
  <c r="CB45" i="29"/>
  <c r="CC45" i="29"/>
  <c r="BX46" i="29"/>
  <c r="BY46" i="29" s="1"/>
  <c r="AH48" i="29"/>
  <c r="BX48" i="29"/>
  <c r="BY48" i="29"/>
  <c r="CS51" i="29"/>
  <c r="AZ51" i="29"/>
  <c r="CR51" i="29"/>
  <c r="BS51" i="29"/>
  <c r="BX51" i="29" s="1"/>
  <c r="BY51" i="29" s="1"/>
  <c r="BH51" i="29"/>
  <c r="CY51" i="29"/>
  <c r="AT51" i="29"/>
  <c r="CL51" i="29"/>
  <c r="CV51" i="29"/>
  <c r="CS53" i="29"/>
  <c r="CW53" i="29"/>
  <c r="BQ53" i="29"/>
  <c r="BR53" i="29"/>
  <c r="AO55" i="29"/>
  <c r="AQ55" i="29"/>
  <c r="AR55" i="29" s="1"/>
  <c r="BX57" i="29"/>
  <c r="BY57" i="29" s="1"/>
  <c r="BB62" i="29"/>
  <c r="CZ62" i="29"/>
  <c r="CR62" i="29"/>
  <c r="AO62" i="29"/>
  <c r="CQ62" i="29"/>
  <c r="CN62" i="29"/>
  <c r="CT62" i="29" s="1"/>
  <c r="CU62" i="29" s="1"/>
  <c r="AU62" i="29"/>
  <c r="CW62" i="29"/>
  <c r="CN63" i="29"/>
  <c r="CT63" i="29" s="1"/>
  <c r="CQ63" i="29"/>
  <c r="CU63" i="29"/>
  <c r="AO63" i="29"/>
  <c r="CO63" i="29"/>
  <c r="AP63" i="29"/>
  <c r="AS63" i="29"/>
  <c r="BH63" i="29"/>
  <c r="BI63" i="29"/>
  <c r="AS65" i="29"/>
  <c r="BL65" i="29"/>
  <c r="CO65" i="29"/>
  <c r="CN65" i="29"/>
  <c r="CT65" i="29" s="1"/>
  <c r="CU65" i="29" s="1"/>
  <c r="CQ65" i="29"/>
  <c r="BG65" i="29"/>
  <c r="CG65" i="29"/>
  <c r="CH65" i="29" s="1"/>
  <c r="CM68" i="29"/>
  <c r="BD68" i="29"/>
  <c r="BV69" i="29"/>
  <c r="CS69" i="29"/>
  <c r="BF72" i="29"/>
  <c r="CZ72" i="29"/>
  <c r="CR72" i="29"/>
  <c r="AO72" i="29"/>
  <c r="CQ72" i="29"/>
  <c r="CN72" i="29"/>
  <c r="CT72" i="29"/>
  <c r="AU72" i="29"/>
  <c r="CA74" i="29"/>
  <c r="CD74" i="29" s="1"/>
  <c r="BQ74" i="29"/>
  <c r="BR74" i="29" s="1"/>
  <c r="CP75" i="29"/>
  <c r="BL75" i="29"/>
  <c r="BQ75" i="29"/>
  <c r="BR75" i="29" s="1"/>
  <c r="AI75" i="29"/>
  <c r="Z75" i="29"/>
  <c r="CD81" i="29"/>
  <c r="CD87" i="29"/>
  <c r="CB87" i="29"/>
  <c r="CJ88" i="29"/>
  <c r="CL88" i="29" s="1"/>
  <c r="CM88" i="29"/>
  <c r="CY88" i="29"/>
  <c r="BD88" i="29"/>
  <c r="CC90" i="29"/>
  <c r="CB90" i="29"/>
  <c r="CX92" i="29"/>
  <c r="CC103" i="29"/>
  <c r="BB104" i="29"/>
  <c r="AU104" i="29"/>
  <c r="CO104" i="29"/>
  <c r="CN104" i="29"/>
  <c r="CZ104" i="29"/>
  <c r="CY104" i="29"/>
  <c r="CD105" i="29"/>
  <c r="CB105" i="29"/>
  <c r="CC109" i="29"/>
  <c r="CY18" i="29"/>
  <c r="CY19" i="29"/>
  <c r="DB22" i="29"/>
  <c r="AS23" i="29"/>
  <c r="CG23" i="29"/>
  <c r="CH23" i="29"/>
  <c r="CN23" i="29"/>
  <c r="CT23" i="29"/>
  <c r="CP28" i="29"/>
  <c r="AO29" i="29"/>
  <c r="CN29" i="29"/>
  <c r="CT29" i="29"/>
  <c r="CU29" i="29" s="1"/>
  <c r="CZ29" i="29"/>
  <c r="AO32" i="29"/>
  <c r="CN32" i="29"/>
  <c r="CZ32" i="29"/>
  <c r="BL33" i="29"/>
  <c r="BQ33" i="29"/>
  <c r="BR33" i="29" s="1"/>
  <c r="CQ33" i="29"/>
  <c r="CO34" i="29"/>
  <c r="DB34" i="29"/>
  <c r="BE35" i="29"/>
  <c r="BH39" i="29"/>
  <c r="BI39" i="29"/>
  <c r="CO39" i="29"/>
  <c r="DB39" i="29"/>
  <c r="CO40" i="29"/>
  <c r="BO40" i="29"/>
  <c r="BQ40" i="29"/>
  <c r="BR40" i="29" s="1"/>
  <c r="CY41" i="29"/>
  <c r="CM41" i="29"/>
  <c r="CJ41" i="29"/>
  <c r="CL41" i="29"/>
  <c r="BA41" i="29"/>
  <c r="BS41" i="29"/>
  <c r="BX41" i="29" s="1"/>
  <c r="BY41" i="29" s="1"/>
  <c r="CR41" i="29"/>
  <c r="AO42" i="29"/>
  <c r="AQ42" i="29"/>
  <c r="AR42" i="29"/>
  <c r="CZ42" i="29"/>
  <c r="AP43" i="29"/>
  <c r="DI45" i="29"/>
  <c r="CJ47" i="29"/>
  <c r="CL47" i="29" s="1"/>
  <c r="CR48" i="29"/>
  <c r="AO48" i="29"/>
  <c r="AQ48" i="29"/>
  <c r="AR48" i="29" s="1"/>
  <c r="AU49" i="29"/>
  <c r="CK49" i="29"/>
  <c r="CW49" i="29"/>
  <c r="CX49" i="29" s="1"/>
  <c r="DB50" i="29"/>
  <c r="CZ50" i="29"/>
  <c r="CO50" i="29"/>
  <c r="AQ50" i="29"/>
  <c r="AS50" i="29"/>
  <c r="CZ51" i="29"/>
  <c r="CZ52" i="29"/>
  <c r="CN52" i="29"/>
  <c r="AQ52" i="29"/>
  <c r="AR52" i="29" s="1"/>
  <c r="AZ52" i="29"/>
  <c r="AP52" i="29"/>
  <c r="CO52" i="29"/>
  <c r="CD53" i="29"/>
  <c r="BS55" i="29"/>
  <c r="BX55" i="29" s="1"/>
  <c r="BY55" i="29" s="1"/>
  <c r="AZ55" i="29"/>
  <c r="CQ55" i="29"/>
  <c r="CS55" i="29"/>
  <c r="BA56" i="29"/>
  <c r="CW56" i="29"/>
  <c r="CX56" i="29"/>
  <c r="CK57" i="29"/>
  <c r="CL57" i="29" s="1"/>
  <c r="AH57" i="29"/>
  <c r="AP57" i="29"/>
  <c r="CZ59" i="29"/>
  <c r="CN59" i="29"/>
  <c r="AQ59" i="29"/>
  <c r="CY59" i="29"/>
  <c r="CR59" i="29"/>
  <c r="CQ59" i="29"/>
  <c r="AO59" i="29"/>
  <c r="BO60" i="29"/>
  <c r="CP60" i="29"/>
  <c r="CG63" i="29"/>
  <c r="CH63" i="29"/>
  <c r="CS63" i="29"/>
  <c r="AZ63" i="29"/>
  <c r="AU63" i="29"/>
  <c r="CD63" i="29"/>
  <c r="BB63" i="29"/>
  <c r="CN64" i="29"/>
  <c r="CQ64" i="29"/>
  <c r="CT64" i="29"/>
  <c r="CU64" i="29" s="1"/>
  <c r="CG64" i="29"/>
  <c r="CH64" i="29" s="1"/>
  <c r="AS64" i="29"/>
  <c r="CO64" i="29"/>
  <c r="CK65" i="29"/>
  <c r="CL65" i="29" s="1"/>
  <c r="CM65" i="29"/>
  <c r="DB65" i="29"/>
  <c r="CP65" i="29"/>
  <c r="BL66" i="29"/>
  <c r="CP66" i="29"/>
  <c r="CO66" i="29"/>
  <c r="AS66" i="29"/>
  <c r="CB66" i="29"/>
  <c r="BB67" i="29"/>
  <c r="BC67" i="29"/>
  <c r="BF67" i="29"/>
  <c r="BE67" i="29"/>
  <c r="BL69" i="29"/>
  <c r="BQ69" i="29" s="1"/>
  <c r="BR69" i="29"/>
  <c r="CO69" i="29"/>
  <c r="AS69" i="29"/>
  <c r="CN69" i="29"/>
  <c r="CM69" i="29"/>
  <c r="AH69" i="29"/>
  <c r="CC69" i="29"/>
  <c r="CB69" i="29"/>
  <c r="CP69" i="29"/>
  <c r="CM70" i="29"/>
  <c r="AH70" i="29"/>
  <c r="BD70" i="29"/>
  <c r="CV76" i="29"/>
  <c r="AT76" i="29"/>
  <c r="CW76" i="29"/>
  <c r="CS77" i="29"/>
  <c r="BS77" i="29"/>
  <c r="BX77" i="29" s="1"/>
  <c r="BY77" i="29" s="1"/>
  <c r="AG77" i="29"/>
  <c r="CK77" i="29" s="1"/>
  <c r="CK98" i="29"/>
  <c r="CL98" i="29" s="1"/>
  <c r="AH98" i="29"/>
  <c r="CA103" i="29"/>
  <c r="CD103" i="29"/>
  <c r="BB105" i="29"/>
  <c r="AU105" i="29"/>
  <c r="CR105" i="29"/>
  <c r="CW105" i="29"/>
  <c r="CH105" i="29"/>
  <c r="CV105" i="29"/>
  <c r="CX105" i="29" s="1"/>
  <c r="CQ105" i="29"/>
  <c r="CT105" i="29" s="1"/>
  <c r="CU105" i="29" s="1"/>
  <c r="CB106" i="29"/>
  <c r="CD106" i="29"/>
  <c r="BL28" i="29"/>
  <c r="AP29" i="29"/>
  <c r="CO29" i="29"/>
  <c r="AP32" i="29"/>
  <c r="CO32" i="29"/>
  <c r="AQ34" i="29"/>
  <c r="AR34" i="29"/>
  <c r="CV34" i="29"/>
  <c r="CX34" i="29" s="1"/>
  <c r="AN146" i="29"/>
  <c r="AN143" i="29"/>
  <c r="BO37" i="29"/>
  <c r="AQ39" i="29"/>
  <c r="CV39" i="29"/>
  <c r="CV42" i="29"/>
  <c r="BA42" i="29"/>
  <c r="CR42" i="29"/>
  <c r="DB42" i="29"/>
  <c r="CZ43" i="29"/>
  <c r="CN43" i="29"/>
  <c r="CQ43" i="29"/>
  <c r="AO43" i="29"/>
  <c r="AQ43" i="29"/>
  <c r="AR43" i="29"/>
  <c r="BX43" i="29"/>
  <c r="BY43" i="29"/>
  <c r="CR43" i="29"/>
  <c r="AS44" i="29"/>
  <c r="CO44" i="29"/>
  <c r="AS48" i="29"/>
  <c r="BL48" i="29"/>
  <c r="BQ48" i="29"/>
  <c r="BR48" i="29" s="1"/>
  <c r="CN48" i="29"/>
  <c r="CG48" i="29"/>
  <c r="CH48" i="29"/>
  <c r="BG48" i="29"/>
  <c r="BI48" i="29" s="1"/>
  <c r="CW48" i="29"/>
  <c r="BA48" i="29"/>
  <c r="AT48" i="29"/>
  <c r="CC49" i="29"/>
  <c r="CB49" i="29"/>
  <c r="AX52" i="29"/>
  <c r="CC52" i="29"/>
  <c r="CL53" i="29"/>
  <c r="BD56" i="29"/>
  <c r="CZ57" i="29"/>
  <c r="CN57" i="29"/>
  <c r="CT57" i="29"/>
  <c r="CU57" i="29" s="1"/>
  <c r="AS57" i="29"/>
  <c r="CY57" i="29"/>
  <c r="CR57" i="29"/>
  <c r="AZ57" i="29"/>
  <c r="CO57" i="29"/>
  <c r="AO57" i="29"/>
  <c r="AQ57" i="29"/>
  <c r="AQ64" i="29"/>
  <c r="AR64" i="29"/>
  <c r="AO64" i="29"/>
  <c r="BX64" i="29"/>
  <c r="BY64" i="29" s="1"/>
  <c r="AP66" i="29"/>
  <c r="AO67" i="29"/>
  <c r="AU67" i="29"/>
  <c r="BL70" i="29"/>
  <c r="BQ70" i="29" s="1"/>
  <c r="BR70" i="29" s="1"/>
  <c r="CP70" i="29"/>
  <c r="CG70" i="29"/>
  <c r="CH70" i="29" s="1"/>
  <c r="AS70" i="29"/>
  <c r="CQ71" i="29"/>
  <c r="AV71" i="29"/>
  <c r="CB71" i="29"/>
  <c r="CH71" i="29"/>
  <c r="AV72" i="29"/>
  <c r="AX72" i="29" s="1"/>
  <c r="AY72" i="29"/>
  <c r="BD73" i="29"/>
  <c r="BC74" i="29"/>
  <c r="AV74" i="29"/>
  <c r="CC76" i="29"/>
  <c r="CB76" i="29"/>
  <c r="CJ78" i="29"/>
  <c r="CL78" i="29" s="1"/>
  <c r="AH78" i="29"/>
  <c r="CH79" i="29"/>
  <c r="AT79" i="29"/>
  <c r="CC79" i="29"/>
  <c r="BA79" i="29"/>
  <c r="CW79" i="29"/>
  <c r="CX79" i="29" s="1"/>
  <c r="CV79" i="29"/>
  <c r="BC87" i="29"/>
  <c r="AV87" i="29"/>
  <c r="AY87" i="29"/>
  <c r="AO87" i="29"/>
  <c r="CZ87" i="29"/>
  <c r="CO87" i="29"/>
  <c r="CN87" i="29"/>
  <c r="CT87" i="29" s="1"/>
  <c r="CU87" i="29" s="1"/>
  <c r="CQ87" i="29"/>
  <c r="AH87" i="29"/>
  <c r="CC88" i="29"/>
  <c r="CB88" i="29"/>
  <c r="AZ96" i="29"/>
  <c r="CS96" i="29"/>
  <c r="CQ96" i="29"/>
  <c r="CR96" i="29"/>
  <c r="BS96" i="29"/>
  <c r="BX96" i="29" s="1"/>
  <c r="BY96" i="29" s="1"/>
  <c r="CV96" i="29"/>
  <c r="BA96" i="29"/>
  <c r="AT96" i="29"/>
  <c r="AP96" i="29"/>
  <c r="BV101" i="29"/>
  <c r="CC104" i="29"/>
  <c r="CF114" i="29"/>
  <c r="CE114" i="29"/>
  <c r="AZ18" i="29"/>
  <c r="AZ19" i="29"/>
  <c r="BA23" i="29"/>
  <c r="BA24" i="29"/>
  <c r="BA25" i="29"/>
  <c r="BF26" i="29"/>
  <c r="BA27" i="29"/>
  <c r="BM28" i="29"/>
  <c r="BZ28" i="29" s="1"/>
  <c r="BS28" i="29"/>
  <c r="BX28" i="29" s="1"/>
  <c r="BY28" i="29" s="1"/>
  <c r="AZ33" i="29"/>
  <c r="CM33" i="29"/>
  <c r="BA36" i="29"/>
  <c r="CM38" i="29"/>
  <c r="AV41" i="29"/>
  <c r="CB41" i="29"/>
  <c r="AT42" i="29"/>
  <c r="CC42" i="29"/>
  <c r="CW43" i="29"/>
  <c r="CX43" i="29"/>
  <c r="BA43" i="29"/>
  <c r="AS43" i="29"/>
  <c r="AZ43" i="29"/>
  <c r="AH44" i="29"/>
  <c r="AO44" i="29"/>
  <c r="BG44" i="29"/>
  <c r="BI44" i="29" s="1"/>
  <c r="CK44" i="29"/>
  <c r="CX45" i="29"/>
  <c r="CJ46" i="29"/>
  <c r="CY46" i="29"/>
  <c r="CM46" i="29"/>
  <c r="CK48" i="29"/>
  <c r="CL48" i="29"/>
  <c r="CZ48" i="29"/>
  <c r="CV48" i="29"/>
  <c r="CX48" i="29" s="1"/>
  <c r="AO51" i="29"/>
  <c r="BA51" i="29"/>
  <c r="CQ51" i="29"/>
  <c r="CQ52" i="29"/>
  <c r="CZ54" i="29"/>
  <c r="CN54" i="29"/>
  <c r="AS54" i="29"/>
  <c r="CY54" i="29"/>
  <c r="CR54" i="29"/>
  <c r="AZ54" i="29"/>
  <c r="CQ54" i="29"/>
  <c r="AQ54" i="29"/>
  <c r="AR54" i="29" s="1"/>
  <c r="AP54" i="29"/>
  <c r="CY55" i="29"/>
  <c r="CN56" i="29"/>
  <c r="CG56" i="29"/>
  <c r="CH56" i="29"/>
  <c r="AS56" i="29"/>
  <c r="CO56" i="29"/>
  <c r="BA57" i="29"/>
  <c r="AT57" i="29"/>
  <c r="CV57" i="29"/>
  <c r="CH57" i="29"/>
  <c r="AT58" i="29"/>
  <c r="CW58" i="29"/>
  <c r="CH58" i="29"/>
  <c r="CO58" i="29"/>
  <c r="CG60" i="29"/>
  <c r="CH60" i="29" s="1"/>
  <c r="CS60" i="29"/>
  <c r="AZ60" i="29"/>
  <c r="BH60" i="29"/>
  <c r="AT60" i="29"/>
  <c r="BA60" i="29"/>
  <c r="AP62" i="29"/>
  <c r="AV62" i="29"/>
  <c r="BQ62" i="29"/>
  <c r="BR62" i="29"/>
  <c r="CZ64" i="29"/>
  <c r="CK64" i="29"/>
  <c r="CL64" i="29" s="1"/>
  <c r="DB64" i="29"/>
  <c r="BL64" i="29"/>
  <c r="BQ64" i="29"/>
  <c r="BR64" i="29" s="1"/>
  <c r="CZ65" i="29"/>
  <c r="CK66" i="29"/>
  <c r="CS67" i="29"/>
  <c r="BV67" i="29"/>
  <c r="CN67" i="29"/>
  <c r="BB68" i="29"/>
  <c r="AO68" i="29"/>
  <c r="CY68" i="29"/>
  <c r="CO68" i="29"/>
  <c r="AU68" i="29"/>
  <c r="AV68" i="29"/>
  <c r="AY68" i="29"/>
  <c r="CN68" i="29"/>
  <c r="CT68" i="29" s="1"/>
  <c r="CU68" i="29" s="1"/>
  <c r="CQ68" i="29"/>
  <c r="AP72" i="29"/>
  <c r="CA72" i="29"/>
  <c r="CD72" i="29"/>
  <c r="CW72" i="29"/>
  <c r="CK73" i="29"/>
  <c r="AH73" i="29"/>
  <c r="CH76" i="29"/>
  <c r="BB77" i="29"/>
  <c r="AU77" i="29"/>
  <c r="BD77" i="29"/>
  <c r="CV77" i="29"/>
  <c r="CM78" i="29"/>
  <c r="CC82" i="29"/>
  <c r="CB82" i="29"/>
  <c r="CC83" i="29"/>
  <c r="CB83" i="29"/>
  <c r="CC86" i="29"/>
  <c r="CB86" i="29"/>
  <c r="CC91" i="29"/>
  <c r="CB91" i="29"/>
  <c r="CW103" i="29"/>
  <c r="BA103" i="29"/>
  <c r="CV103" i="29"/>
  <c r="AT103" i="29"/>
  <c r="AY103" i="29" s="1"/>
  <c r="CO103" i="29"/>
  <c r="AQ103" i="29"/>
  <c r="AR103" i="29" s="1"/>
  <c r="CN103" i="29"/>
  <c r="CZ103" i="29"/>
  <c r="CY103" i="29"/>
  <c r="CH103" i="29"/>
  <c r="CY112" i="29"/>
  <c r="CM112" i="29"/>
  <c r="CJ112" i="29"/>
  <c r="CL112" i="29"/>
  <c r="CW78" i="29"/>
  <c r="CV78" i="29"/>
  <c r="CX78" i="29"/>
  <c r="BA78" i="29"/>
  <c r="AT78" i="29"/>
  <c r="CB89" i="29"/>
  <c r="CC89" i="29"/>
  <c r="AZ94" i="29"/>
  <c r="CS94" i="29"/>
  <c r="CQ94" i="29"/>
  <c r="CR94" i="29"/>
  <c r="BS94" i="29"/>
  <c r="BX94" i="29"/>
  <c r="BY94" i="29" s="1"/>
  <c r="CV94" i="29"/>
  <c r="CX94" i="29"/>
  <c r="BA94" i="29"/>
  <c r="AT94" i="29"/>
  <c r="AP94" i="29"/>
  <c r="CW96" i="29"/>
  <c r="CS46" i="29"/>
  <c r="CH52" i="29"/>
  <c r="AU54" i="29"/>
  <c r="CM54" i="29"/>
  <c r="AV55" i="29"/>
  <c r="CZ58" i="29"/>
  <c r="CN58" i="29"/>
  <c r="AS58" i="29"/>
  <c r="AP58" i="29"/>
  <c r="CZ60" i="29"/>
  <c r="CN60" i="29"/>
  <c r="AP60" i="29"/>
  <c r="CK60" i="29"/>
  <c r="CL60" i="29"/>
  <c r="CR61" i="29"/>
  <c r="BS61" i="29"/>
  <c r="BX61" i="29"/>
  <c r="BY61" i="29" s="1"/>
  <c r="CQ61" i="29"/>
  <c r="BA61" i="29"/>
  <c r="CV62" i="29"/>
  <c r="CX62" i="29" s="1"/>
  <c r="CZ63" i="29"/>
  <c r="BA63" i="29"/>
  <c r="AT63" i="29"/>
  <c r="DB63" i="29"/>
  <c r="AO66" i="29"/>
  <c r="CR67" i="29"/>
  <c r="AQ67" i="29"/>
  <c r="AR67" i="29" s="1"/>
  <c r="AS67" i="29"/>
  <c r="CO67" i="29"/>
  <c r="CY67" i="29"/>
  <c r="BC68" i="29"/>
  <c r="CR71" i="29"/>
  <c r="CM71" i="29"/>
  <c r="CV72" i="29"/>
  <c r="CW73" i="29"/>
  <c r="CX73" i="29" s="1"/>
  <c r="BD74" i="29"/>
  <c r="AI76" i="29"/>
  <c r="BL76" i="29"/>
  <c r="BQ76" i="29" s="1"/>
  <c r="BR76" i="29" s="1"/>
  <c r="CP76" i="29"/>
  <c r="BC77" i="29"/>
  <c r="AV77" i="29"/>
  <c r="CD77" i="29"/>
  <c r="AI79" i="29"/>
  <c r="CP79" i="29"/>
  <c r="DI80" i="29"/>
  <c r="BL82" i="29"/>
  <c r="BQ82" i="29" s="1"/>
  <c r="BR82" i="29" s="1"/>
  <c r="BO82" i="29"/>
  <c r="CP82" i="29"/>
  <c r="CO82" i="29"/>
  <c r="CN82" i="29"/>
  <c r="CG82" i="29"/>
  <c r="CH82" i="29"/>
  <c r="BG82" i="29"/>
  <c r="BI82" i="29" s="1"/>
  <c r="AS82" i="29"/>
  <c r="CY82" i="29"/>
  <c r="AQ83" i="29"/>
  <c r="BC84" i="29"/>
  <c r="CR86" i="29"/>
  <c r="BX86" i="29"/>
  <c r="BY86" i="29"/>
  <c r="CY87" i="29"/>
  <c r="CZ88" i="29"/>
  <c r="AO88" i="29"/>
  <c r="DB94" i="29"/>
  <c r="CZ94" i="29"/>
  <c r="CM94" i="29"/>
  <c r="AO94" i="29"/>
  <c r="CY94" i="29"/>
  <c r="AQ94" i="29"/>
  <c r="AR94" i="29"/>
  <c r="DB96" i="29"/>
  <c r="CZ96" i="29"/>
  <c r="CM96" i="29"/>
  <c r="AO96" i="29"/>
  <c r="CY96" i="29"/>
  <c r="AQ96" i="29"/>
  <c r="AR96" i="29" s="1"/>
  <c r="AP100" i="29"/>
  <c r="CJ101" i="29"/>
  <c r="CL101" i="29" s="1"/>
  <c r="CY101" i="29"/>
  <c r="CM101" i="29"/>
  <c r="CR103" i="29"/>
  <c r="BQ103" i="29"/>
  <c r="BR103" i="29"/>
  <c r="CR104" i="29"/>
  <c r="BX104" i="29"/>
  <c r="BY104" i="29" s="1"/>
  <c r="CO105" i="29"/>
  <c r="BX105" i="29"/>
  <c r="BY105" i="29"/>
  <c r="CS106" i="29"/>
  <c r="CQ106" i="29"/>
  <c r="BS106" i="29"/>
  <c r="BX106" i="29"/>
  <c r="BY106" i="29" s="1"/>
  <c r="CC107" i="29"/>
  <c r="CB107" i="29"/>
  <c r="CQ108" i="29"/>
  <c r="CR108" i="29"/>
  <c r="BS108" i="29"/>
  <c r="BX108" i="29" s="1"/>
  <c r="BY108" i="29" s="1"/>
  <c r="BH108" i="29"/>
  <c r="BI108" i="29"/>
  <c r="CB108" i="29"/>
  <c r="CS108" i="29"/>
  <c r="CM109" i="29"/>
  <c r="AH109" i="29"/>
  <c r="BD109" i="29"/>
  <c r="BV110" i="29"/>
  <c r="BC110" i="29"/>
  <c r="BC112" i="29"/>
  <c r="CZ112" i="29"/>
  <c r="AV112" i="29"/>
  <c r="CN112" i="29"/>
  <c r="CO112" i="29"/>
  <c r="CN113" i="29"/>
  <c r="CT113" i="29"/>
  <c r="AS113" i="29"/>
  <c r="BL113" i="29"/>
  <c r="BQ113" i="29" s="1"/>
  <c r="BR113" i="29" s="1"/>
  <c r="CO113" i="29"/>
  <c r="AV117" i="29"/>
  <c r="BO117" i="29"/>
  <c r="CO125" i="29"/>
  <c r="AZ125" i="29"/>
  <c r="CZ125" i="29"/>
  <c r="CN125" i="29"/>
  <c r="CT125" i="29" s="1"/>
  <c r="CU125" i="29" s="1"/>
  <c r="CQ125" i="29"/>
  <c r="AS125" i="29"/>
  <c r="CY125" i="29"/>
  <c r="CR125" i="29"/>
  <c r="AQ125" i="29"/>
  <c r="AR125" i="29"/>
  <c r="AO125" i="29"/>
  <c r="CB63" i="29"/>
  <c r="BA64" i="29"/>
  <c r="CB64" i="29"/>
  <c r="CR65" i="29"/>
  <c r="BS65" i="29"/>
  <c r="BA65" i="29"/>
  <c r="BC71" i="29"/>
  <c r="BF71" i="29"/>
  <c r="BA73" i="29"/>
  <c r="CH73" i="29"/>
  <c r="BX74" i="29"/>
  <c r="BY74" i="29"/>
  <c r="CJ76" i="29"/>
  <c r="BB78" i="29"/>
  <c r="AU78" i="29"/>
  <c r="CD78" i="29"/>
  <c r="CW83" i="29"/>
  <c r="CX83" i="29" s="1"/>
  <c r="CV83" i="29"/>
  <c r="BA83" i="29"/>
  <c r="AT83" i="29"/>
  <c r="CZ83" i="29"/>
  <c r="CN83" i="29"/>
  <c r="CW84" i="29"/>
  <c r="BO85" i="29"/>
  <c r="CO85" i="29"/>
  <c r="BC86" i="29"/>
  <c r="AV86" i="29"/>
  <c r="AY86" i="29"/>
  <c r="AO86" i="29"/>
  <c r="CM87" i="29"/>
  <c r="CJ87" i="29"/>
  <c r="CL87" i="29"/>
  <c r="BD87" i="29"/>
  <c r="BL88" i="29"/>
  <c r="CP88" i="29"/>
  <c r="CO88" i="29"/>
  <c r="CN88" i="29"/>
  <c r="CT88" i="29" s="1"/>
  <c r="CU88" i="29" s="1"/>
  <c r="CQ88" i="29"/>
  <c r="CG88" i="29"/>
  <c r="CH88" i="29"/>
  <c r="BG88" i="29"/>
  <c r="BI88" i="29"/>
  <c r="AS88" i="29"/>
  <c r="AS90" i="29"/>
  <c r="BL90" i="29"/>
  <c r="BQ90" i="29"/>
  <c r="BR90" i="29" s="1"/>
  <c r="CP90" i="29"/>
  <c r="CO90" i="29"/>
  <c r="BD90" i="29"/>
  <c r="CN90" i="29"/>
  <c r="BQ92" i="29"/>
  <c r="BR92" i="29"/>
  <c r="CC94" i="29"/>
  <c r="CB94" i="29"/>
  <c r="CC96" i="29"/>
  <c r="CB96" i="29"/>
  <c r="BB103" i="29"/>
  <c r="AU103" i="29"/>
  <c r="BC104" i="29"/>
  <c r="AV104" i="29"/>
  <c r="CH104" i="29"/>
  <c r="BC105" i="29"/>
  <c r="AV105" i="29"/>
  <c r="BA106" i="29"/>
  <c r="CB112" i="29"/>
  <c r="BO114" i="29"/>
  <c r="AV114" i="29"/>
  <c r="AQ135" i="29"/>
  <c r="AR135" i="29" s="1"/>
  <c r="AP135" i="29"/>
  <c r="AO135" i="29"/>
  <c r="CR135" i="29"/>
  <c r="CQ135" i="29"/>
  <c r="BU136" i="29"/>
  <c r="CA136" i="29" s="1"/>
  <c r="AH141" i="29"/>
  <c r="BC46" i="30"/>
  <c r="BV46" i="30"/>
  <c r="CN53" i="29"/>
  <c r="CG53" i="29"/>
  <c r="CH53" i="29"/>
  <c r="AS53" i="29"/>
  <c r="CP53" i="29"/>
  <c r="AO56" i="29"/>
  <c r="AV56" i="29"/>
  <c r="BC56" i="29"/>
  <c r="CY60" i="29"/>
  <c r="CM60" i="29"/>
  <c r="AS60" i="29"/>
  <c r="AS61" i="29"/>
  <c r="BL61" i="29"/>
  <c r="BQ61" i="29"/>
  <c r="BR61" i="29"/>
  <c r="AV61" i="29"/>
  <c r="CG61" i="29"/>
  <c r="CH61" i="29"/>
  <c r="CP61" i="29"/>
  <c r="CP62" i="29"/>
  <c r="CO62" i="29"/>
  <c r="CY62" i="29"/>
  <c r="CY63" i="29"/>
  <c r="CM63" i="29"/>
  <c r="CV63" i="29"/>
  <c r="CW63" i="29"/>
  <c r="CX63" i="29"/>
  <c r="AT64" i="29"/>
  <c r="CV64" i="29"/>
  <c r="CX64" i="29"/>
  <c r="AT65" i="29"/>
  <c r="CV65" i="29"/>
  <c r="CX65" i="29" s="1"/>
  <c r="BO66" i="29"/>
  <c r="CZ66" i="29"/>
  <c r="CJ67" i="29"/>
  <c r="CL67" i="29" s="1"/>
  <c r="BX68" i="29"/>
  <c r="BY68" i="29"/>
  <c r="CJ68" i="29"/>
  <c r="CL68" i="29" s="1"/>
  <c r="CK69" i="29"/>
  <c r="CL69" i="29" s="1"/>
  <c r="AP69" i="29"/>
  <c r="CP72" i="29"/>
  <c r="CO72" i="29"/>
  <c r="CY72" i="29"/>
  <c r="CM73" i="29"/>
  <c r="CJ73" i="29"/>
  <c r="CL73" i="29" s="1"/>
  <c r="AG74" i="29"/>
  <c r="CK74" i="29"/>
  <c r="CV75" i="29"/>
  <c r="CX75" i="29"/>
  <c r="BA75" i="29"/>
  <c r="AT75" i="29"/>
  <c r="BL79" i="29"/>
  <c r="BQ79" i="29" s="1"/>
  <c r="BR79" i="29" s="1"/>
  <c r="CJ79" i="29"/>
  <c r="CL79" i="29" s="1"/>
  <c r="AS81" i="29"/>
  <c r="CN81" i="29"/>
  <c r="BB83" i="29"/>
  <c r="AU83" i="29"/>
  <c r="CR83" i="29"/>
  <c r="BA84" i="29"/>
  <c r="AT84" i="29"/>
  <c r="AU84" i="29"/>
  <c r="AX84" i="29"/>
  <c r="AY84" i="29"/>
  <c r="CM85" i="29"/>
  <c r="CK85" i="29"/>
  <c r="CL85" i="29"/>
  <c r="CY85" i="29"/>
  <c r="AQ85" i="29"/>
  <c r="AR85" i="29" s="1"/>
  <c r="AP85" i="29"/>
  <c r="CB85" i="29"/>
  <c r="CM86" i="29"/>
  <c r="CJ86" i="29"/>
  <c r="CL86" i="29"/>
  <c r="AH86" i="29"/>
  <c r="BD86" i="29"/>
  <c r="CN86" i="29"/>
  <c r="CW86" i="29"/>
  <c r="AV88" i="29"/>
  <c r="AP88" i="29"/>
  <c r="CZ89" i="29"/>
  <c r="CV89" i="29"/>
  <c r="AO90" i="29"/>
  <c r="BB91" i="29"/>
  <c r="AU91" i="29"/>
  <c r="AX91" i="29" s="1"/>
  <c r="AV91" i="29"/>
  <c r="CO91" i="29"/>
  <c r="BQ91" i="29"/>
  <c r="BR91" i="29"/>
  <c r="BB92" i="29"/>
  <c r="AU92" i="29"/>
  <c r="AY92" i="29" s="1"/>
  <c r="CC92" i="29"/>
  <c r="CB92" i="29"/>
  <c r="DB93" i="29"/>
  <c r="CZ93" i="29"/>
  <c r="CM93" i="29"/>
  <c r="AO93" i="29"/>
  <c r="CY93" i="29"/>
  <c r="AQ93" i="29"/>
  <c r="CR93" i="29"/>
  <c r="CK94" i="29"/>
  <c r="CL94" i="29" s="1"/>
  <c r="DB95" i="29"/>
  <c r="CZ95" i="29"/>
  <c r="CM95" i="29"/>
  <c r="AO95" i="29"/>
  <c r="CY95" i="29"/>
  <c r="AQ95" i="29"/>
  <c r="AR95" i="29"/>
  <c r="CR95" i="29"/>
  <c r="CK96" i="29"/>
  <c r="CL96" i="29" s="1"/>
  <c r="AO97" i="29"/>
  <c r="CO97" i="29"/>
  <c r="AZ97" i="29"/>
  <c r="CZ97" i="29"/>
  <c r="CN97" i="29"/>
  <c r="AS97" i="29"/>
  <c r="CY97" i="29"/>
  <c r="AQ97" i="29"/>
  <c r="AR97" i="29"/>
  <c r="CB98" i="29"/>
  <c r="BQ101" i="29"/>
  <c r="BR101" i="29"/>
  <c r="BS102" i="29"/>
  <c r="BX102" i="29"/>
  <c r="BY102" i="29"/>
  <c r="CJ104" i="29"/>
  <c r="CL104" i="29" s="1"/>
  <c r="AH104" i="29"/>
  <c r="CM104" i="29"/>
  <c r="CM105" i="29"/>
  <c r="AH105" i="29"/>
  <c r="CO106" i="29"/>
  <c r="AQ106" i="29"/>
  <c r="AR106" i="29"/>
  <c r="CN107" i="29"/>
  <c r="BL107" i="29"/>
  <c r="BQ107" i="29"/>
  <c r="BR107" i="29" s="1"/>
  <c r="AS107" i="29"/>
  <c r="BD107" i="29"/>
  <c r="AQ109" i="29"/>
  <c r="AR109" i="29"/>
  <c r="CQ112" i="29"/>
  <c r="CC127" i="29"/>
  <c r="CB127" i="29"/>
  <c r="CD129" i="29"/>
  <c r="CC138" i="29"/>
  <c r="CB138" i="29"/>
  <c r="AV53" i="29"/>
  <c r="CZ56" i="29"/>
  <c r="AP56" i="29"/>
  <c r="CK56" i="29"/>
  <c r="CL56" i="29" s="1"/>
  <c r="AC139" i="29"/>
  <c r="BU139" i="29" s="1"/>
  <c r="BX139" i="29" s="1"/>
  <c r="BY139" i="29" s="1"/>
  <c r="DB60" i="29"/>
  <c r="CS61" i="29"/>
  <c r="BI62" i="29"/>
  <c r="CG62" i="29"/>
  <c r="CH62" i="29" s="1"/>
  <c r="CY64" i="29"/>
  <c r="AV67" i="29"/>
  <c r="CR68" i="29"/>
  <c r="CR69" i="29"/>
  <c r="AQ69" i="29"/>
  <c r="AR69" i="29"/>
  <c r="CS70" i="29"/>
  <c r="BG72" i="29"/>
  <c r="BI72" i="29" s="1"/>
  <c r="CG72" i="29"/>
  <c r="CH72" i="29"/>
  <c r="CV74" i="29"/>
  <c r="CX74" i="29"/>
  <c r="CW77" i="29"/>
  <c r="BL78" i="29"/>
  <c r="BQ78" i="29" s="1"/>
  <c r="BR78" i="29" s="1"/>
  <c r="AI78" i="29"/>
  <c r="CP78" i="29"/>
  <c r="CS78" i="29"/>
  <c r="CB79" i="29"/>
  <c r="CO80" i="29"/>
  <c r="AZ80" i="29"/>
  <c r="CZ80" i="29"/>
  <c r="CN80" i="29"/>
  <c r="AS80" i="29"/>
  <c r="CY80" i="29"/>
  <c r="CR80" i="29"/>
  <c r="AQ80" i="29"/>
  <c r="AR80" i="29"/>
  <c r="AP80" i="29"/>
  <c r="AO81" i="29"/>
  <c r="BO81" i="29"/>
  <c r="CZ82" i="29"/>
  <c r="AO82" i="29"/>
  <c r="CD83" i="29"/>
  <c r="CH83" i="29"/>
  <c r="BH84" i="29"/>
  <c r="BI84" i="29" s="1"/>
  <c r="CG84" i="29"/>
  <c r="CH84" i="29"/>
  <c r="CS84" i="29"/>
  <c r="AZ84" i="29"/>
  <c r="CR84" i="29"/>
  <c r="BS84" i="29"/>
  <c r="BX84" i="29"/>
  <c r="BY84" i="29" s="1"/>
  <c r="BB84" i="29"/>
  <c r="CL84" i="29"/>
  <c r="DI84" i="29"/>
  <c r="BQ86" i="29"/>
  <c r="BR86" i="29"/>
  <c r="CO86" i="29"/>
  <c r="CZ86" i="29"/>
  <c r="BA89" i="29"/>
  <c r="CW89" i="29"/>
  <c r="CQ89" i="29"/>
  <c r="AT89" i="29"/>
  <c r="BB89" i="29"/>
  <c r="CK90" i="29"/>
  <c r="BG90" i="29"/>
  <c r="BX90" i="29"/>
  <c r="BY90" i="29" s="1"/>
  <c r="BC91" i="29"/>
  <c r="AY91" i="29"/>
  <c r="CH91" i="29"/>
  <c r="CY91" i="29"/>
  <c r="BC92" i="29"/>
  <c r="CS92" i="29"/>
  <c r="AZ93" i="29"/>
  <c r="CS93" i="29"/>
  <c r="CV93" i="29"/>
  <c r="BA93" i="29"/>
  <c r="AT93" i="29"/>
  <c r="CW93" i="29"/>
  <c r="CO94" i="29"/>
  <c r="AZ95" i="29"/>
  <c r="CS95" i="29"/>
  <c r="CV95" i="29"/>
  <c r="CX95" i="29" s="1"/>
  <c r="CW95" i="29"/>
  <c r="BA95" i="29"/>
  <c r="AT95" i="29"/>
  <c r="CO96" i="29"/>
  <c r="CV97" i="29"/>
  <c r="CX97" i="29" s="1"/>
  <c r="CW97" i="29"/>
  <c r="BA97" i="29"/>
  <c r="CH97" i="29"/>
  <c r="AT97" i="29"/>
  <c r="BQ97" i="29"/>
  <c r="BR97" i="29" s="1"/>
  <c r="BB101" i="29"/>
  <c r="AU101" i="29"/>
  <c r="CK102" i="29"/>
  <c r="CL102" i="29" s="1"/>
  <c r="DB102" i="29"/>
  <c r="CZ102" i="29"/>
  <c r="AO102" i="29"/>
  <c r="CN102" i="29"/>
  <c r="CT102" i="29" s="1"/>
  <c r="CQ102" i="29"/>
  <c r="AQ102" i="29"/>
  <c r="BQ102" i="29"/>
  <c r="BR102" i="29" s="1"/>
  <c r="CJ105" i="29"/>
  <c r="CL105" i="29"/>
  <c r="AP106" i="29"/>
  <c r="CC106" i="29"/>
  <c r="AO107" i="29"/>
  <c r="CG107" i="29"/>
  <c r="CH107" i="29"/>
  <c r="AP108" i="29"/>
  <c r="AT108" i="29"/>
  <c r="AV108" i="29"/>
  <c r="CJ109" i="29"/>
  <c r="AO110" i="29"/>
  <c r="CB111" i="29"/>
  <c r="CG113" i="29"/>
  <c r="CH113" i="29" s="1"/>
  <c r="BD116" i="29"/>
  <c r="CF118" i="29"/>
  <c r="CE118" i="29"/>
  <c r="BB127" i="29"/>
  <c r="AU127" i="29"/>
  <c r="CY127" i="29"/>
  <c r="CH78" i="29"/>
  <c r="CM81" i="29"/>
  <c r="CK81" i="29"/>
  <c r="CY81" i="29"/>
  <c r="AQ81" i="29"/>
  <c r="AR81" i="29"/>
  <c r="AP81" i="29"/>
  <c r="BD82" i="29"/>
  <c r="BV82" i="29"/>
  <c r="BX82" i="29"/>
  <c r="BY82" i="29" s="1"/>
  <c r="CF84" i="29"/>
  <c r="CE84" i="29"/>
  <c r="AV85" i="29"/>
  <c r="AY85" i="29" s="1"/>
  <c r="CQ86" i="29"/>
  <c r="CR87" i="29"/>
  <c r="BX87" i="29"/>
  <c r="BY87" i="29"/>
  <c r="CO89" i="29"/>
  <c r="CJ91" i="29"/>
  <c r="CL91" i="29"/>
  <c r="CM91" i="29"/>
  <c r="CJ92" i="29"/>
  <c r="CL92" i="29" s="1"/>
  <c r="CY92" i="29"/>
  <c r="CM92" i="29"/>
  <c r="CC93" i="29"/>
  <c r="CB93" i="29"/>
  <c r="CC95" i="29"/>
  <c r="CB95" i="29"/>
  <c r="CC97" i="29"/>
  <c r="CB97" i="29"/>
  <c r="CM98" i="29"/>
  <c r="BC101" i="29"/>
  <c r="CS101" i="29"/>
  <c r="AZ102" i="29"/>
  <c r="CG102" i="29"/>
  <c r="CH102" i="29" s="1"/>
  <c r="CW102" i="29"/>
  <c r="BA102" i="29"/>
  <c r="CV102" i="29"/>
  <c r="AT102" i="29"/>
  <c r="CY102" i="29"/>
  <c r="BX103" i="29"/>
  <c r="BY103" i="29"/>
  <c r="CQ104" i="29"/>
  <c r="CZ105" i="29"/>
  <c r="CW106" i="29"/>
  <c r="CV106" i="29"/>
  <c r="CX106" i="29" s="1"/>
  <c r="CN106" i="29"/>
  <c r="CT106" i="29" s="1"/>
  <c r="CU106" i="29" s="1"/>
  <c r="AT106" i="29"/>
  <c r="AY106" i="29" s="1"/>
  <c r="AV106" i="29"/>
  <c r="CW108" i="29"/>
  <c r="CX108" i="29" s="1"/>
  <c r="CV108" i="29"/>
  <c r="CN108" i="29"/>
  <c r="BA108" i="29"/>
  <c r="BF108" i="29" s="1"/>
  <c r="CZ109" i="29"/>
  <c r="AO109" i="29"/>
  <c r="BC109" i="29"/>
  <c r="BF109" i="29" s="1"/>
  <c r="CR109" i="29"/>
  <c r="AT110" i="29"/>
  <c r="CW110" i="29"/>
  <c r="CX110" i="29" s="1"/>
  <c r="CV110" i="29"/>
  <c r="BA110" i="29"/>
  <c r="BD113" i="29"/>
  <c r="CL115" i="29"/>
  <c r="BQ117" i="29"/>
  <c r="BR117" i="29" s="1"/>
  <c r="CO120" i="29"/>
  <c r="AZ120" i="29"/>
  <c r="CZ120" i="29"/>
  <c r="CN120" i="29"/>
  <c r="AS120" i="29"/>
  <c r="CY120" i="29"/>
  <c r="CR120" i="29"/>
  <c r="AQ120" i="29"/>
  <c r="AR120" i="29"/>
  <c r="CQ120" i="29"/>
  <c r="AO120" i="29"/>
  <c r="CO122" i="29"/>
  <c r="AZ122" i="29"/>
  <c r="CZ122" i="29"/>
  <c r="CN122" i="29"/>
  <c r="CT122" i="29" s="1"/>
  <c r="CU122" i="29" s="1"/>
  <c r="CQ122" i="29"/>
  <c r="AS122" i="29"/>
  <c r="CY122" i="29"/>
  <c r="CR122" i="29"/>
  <c r="AQ122" i="29"/>
  <c r="AR122" i="29" s="1"/>
  <c r="AO122" i="29"/>
  <c r="AP125" i="29"/>
  <c r="AO128" i="29"/>
  <c r="AQ128" i="29"/>
  <c r="AR128" i="29" s="1"/>
  <c r="R128" i="29"/>
  <c r="CQ128" i="29" s="1"/>
  <c r="AP128" i="29"/>
  <c r="BB129" i="29"/>
  <c r="AU129" i="29"/>
  <c r="CW129" i="29"/>
  <c r="CX129" i="29" s="1"/>
  <c r="BD134" i="29"/>
  <c r="CB137" i="29"/>
  <c r="CC137" i="29"/>
  <c r="BQ31" i="30"/>
  <c r="BR31" i="30"/>
  <c r="BZ31" i="30"/>
  <c r="CS110" i="29"/>
  <c r="AZ110" i="29"/>
  <c r="CR110" i="29"/>
  <c r="BS110" i="29"/>
  <c r="BX110" i="29"/>
  <c r="BY110" i="29"/>
  <c r="AP110" i="29"/>
  <c r="BH110" i="29"/>
  <c r="DI110" i="29"/>
  <c r="CY113" i="29"/>
  <c r="CM113" i="29"/>
  <c r="BD114" i="29"/>
  <c r="CG114" i="29"/>
  <c r="CH114" i="29"/>
  <c r="CP114" i="29"/>
  <c r="BD117" i="29"/>
  <c r="CG117" i="29"/>
  <c r="CH117" i="29" s="1"/>
  <c r="AK119" i="29"/>
  <c r="CO119" i="29"/>
  <c r="CN119" i="29"/>
  <c r="CG119" i="29"/>
  <c r="BG119" i="29"/>
  <c r="AS119" i="29"/>
  <c r="DI123" i="29"/>
  <c r="CC126" i="29"/>
  <c r="CB126" i="29"/>
  <c r="CX126" i="29"/>
  <c r="AQ127" i="29"/>
  <c r="AR127" i="29"/>
  <c r="CD127" i="29"/>
  <c r="CO129" i="29"/>
  <c r="CV129" i="29"/>
  <c r="AZ132" i="29"/>
  <c r="CG132" i="29"/>
  <c r="CH132" i="29" s="1"/>
  <c r="AI136" i="29"/>
  <c r="AZ136" i="29"/>
  <c r="CC25" i="30"/>
  <c r="CB25" i="30"/>
  <c r="BC29" i="30"/>
  <c r="AV29" i="30"/>
  <c r="BX32" i="30"/>
  <c r="BY32" i="30"/>
  <c r="CA32" i="30"/>
  <c r="BD39" i="30"/>
  <c r="AW39" i="30"/>
  <c r="CV81" i="29"/>
  <c r="CX81" i="29" s="1"/>
  <c r="CW81" i="29"/>
  <c r="CV85" i="29"/>
  <c r="BO88" i="29"/>
  <c r="AP90" i="29"/>
  <c r="DB90" i="29"/>
  <c r="CY106" i="29"/>
  <c r="CM106" i="29"/>
  <c r="AP107" i="29"/>
  <c r="CQ107" i="29"/>
  <c r="AV109" i="29"/>
  <c r="BO109" i="29"/>
  <c r="CY110" i="29"/>
  <c r="BM110" i="29"/>
  <c r="BZ110" i="29" s="1"/>
  <c r="Z110" i="29"/>
  <c r="BB110" i="29"/>
  <c r="CN110" i="29"/>
  <c r="CY111" i="29"/>
  <c r="CM111" i="29"/>
  <c r="CO111" i="29"/>
  <c r="BD112" i="29"/>
  <c r="CG112" i="29"/>
  <c r="CH112" i="29" s="1"/>
  <c r="CP112" i="29"/>
  <c r="AO113" i="29"/>
  <c r="AP114" i="29"/>
  <c r="AZ114" i="29"/>
  <c r="BL114" i="29"/>
  <c r="BQ114" i="29" s="1"/>
  <c r="BR114" i="29" s="1"/>
  <c r="AS115" i="29"/>
  <c r="CB115" i="29"/>
  <c r="CY116" i="29"/>
  <c r="CM116" i="29"/>
  <c r="CK117" i="29"/>
  <c r="CL117" i="29" s="1"/>
  <c r="AQ117" i="29"/>
  <c r="AR117" i="29" s="1"/>
  <c r="AS117" i="29"/>
  <c r="CY118" i="29"/>
  <c r="CM118" i="29"/>
  <c r="AP119" i="29"/>
  <c r="CC121" i="29"/>
  <c r="CR127" i="29"/>
  <c r="BS127" i="29"/>
  <c r="BX127" i="29" s="1"/>
  <c r="BY127" i="29" s="1"/>
  <c r="CQ127" i="29"/>
  <c r="AZ127" i="29"/>
  <c r="CG127" i="29"/>
  <c r="CH127" i="29" s="1"/>
  <c r="AZ128" i="29"/>
  <c r="CR128" i="29"/>
  <c r="BS128" i="29"/>
  <c r="CS128" i="29"/>
  <c r="CC128" i="29"/>
  <c r="CB128" i="29"/>
  <c r="O156" i="29"/>
  <c r="BH129" i="29"/>
  <c r="CS129" i="29"/>
  <c r="AZ129" i="29"/>
  <c r="CR129" i="29"/>
  <c r="BS129" i="29"/>
  <c r="BX129" i="29" s="1"/>
  <c r="BY129" i="29" s="1"/>
  <c r="AO130" i="29"/>
  <c r="CO130" i="29"/>
  <c r="AZ130" i="29"/>
  <c r="CZ130" i="29"/>
  <c r="CN130" i="29"/>
  <c r="AS130" i="29"/>
  <c r="CY130" i="29"/>
  <c r="CR130" i="29"/>
  <c r="AQ130" i="29"/>
  <c r="AR130" i="29" s="1"/>
  <c r="BS132" i="29"/>
  <c r="CB134" i="29"/>
  <c r="CP135" i="29"/>
  <c r="CO135" i="29"/>
  <c r="CN135" i="29"/>
  <c r="CG135" i="29"/>
  <c r="CH135" i="29" s="1"/>
  <c r="BG135" i="29"/>
  <c r="BI135" i="29" s="1"/>
  <c r="AS135" i="29"/>
  <c r="CC135" i="29"/>
  <c r="CB135" i="29"/>
  <c r="CK137" i="29"/>
  <c r="CL137" i="29"/>
  <c r="BP140" i="29"/>
  <c r="DG140" i="29"/>
  <c r="DI140" i="29" s="1"/>
  <c r="AS140" i="29"/>
  <c r="AZ140" i="29"/>
  <c r="BQ21" i="30"/>
  <c r="BR21" i="30" s="1"/>
  <c r="BZ21" i="30"/>
  <c r="V139" i="29"/>
  <c r="CM64" i="29"/>
  <c r="CW66" i="29"/>
  <c r="CQ67" i="29"/>
  <c r="CW67" i="29"/>
  <c r="CX67" i="29" s="1"/>
  <c r="AP68" i="29"/>
  <c r="CW68" i="29"/>
  <c r="CX68" i="29"/>
  <c r="CQ69" i="29"/>
  <c r="CW69" i="29"/>
  <c r="CW70" i="29"/>
  <c r="AP71" i="29"/>
  <c r="CW71" i="29"/>
  <c r="AI74" i="29"/>
  <c r="AI77" i="29"/>
  <c r="BL81" i="29"/>
  <c r="BQ81" i="29" s="1"/>
  <c r="BR81" i="29" s="1"/>
  <c r="CQ81" i="29"/>
  <c r="BB82" i="29"/>
  <c r="AZ83" i="29"/>
  <c r="CO83" i="29"/>
  <c r="CM84" i="29"/>
  <c r="BL85" i="29"/>
  <c r="CQ85" i="29"/>
  <c r="CW85" i="29"/>
  <c r="AP86" i="29"/>
  <c r="BB86" i="29"/>
  <c r="AP87" i="29"/>
  <c r="BB87" i="29"/>
  <c r="CW87" i="29"/>
  <c r="BB88" i="29"/>
  <c r="BV88" i="29"/>
  <c r="CR89" i="29"/>
  <c r="AQ90" i="29"/>
  <c r="AO91" i="29"/>
  <c r="BA91" i="29"/>
  <c r="BE91" i="29" s="1"/>
  <c r="CV91" i="29"/>
  <c r="AO92" i="29"/>
  <c r="BA92" i="29"/>
  <c r="BF92" i="29" s="1"/>
  <c r="BG92" i="29"/>
  <c r="BI92" i="29" s="1"/>
  <c r="CG92" i="29"/>
  <c r="CH92" i="29"/>
  <c r="CN92" i="29"/>
  <c r="CT92" i="29" s="1"/>
  <c r="CU92" i="29" s="1"/>
  <c r="CZ92" i="29"/>
  <c r="AS93" i="29"/>
  <c r="BO93" i="29"/>
  <c r="BQ93" i="29"/>
  <c r="BR93" i="29" s="1"/>
  <c r="CG93" i="29"/>
  <c r="CH93" i="29" s="1"/>
  <c r="CN93" i="29"/>
  <c r="AS94" i="29"/>
  <c r="BO94" i="29"/>
  <c r="BQ94" i="29" s="1"/>
  <c r="BR94" i="29" s="1"/>
  <c r="CG94" i="29"/>
  <c r="CH94" i="29"/>
  <c r="CN94" i="29"/>
  <c r="CT94" i="29"/>
  <c r="CU94" i="29" s="1"/>
  <c r="AS95" i="29"/>
  <c r="BO95" i="29"/>
  <c r="BQ95" i="29" s="1"/>
  <c r="BR95" i="29" s="1"/>
  <c r="CG95" i="29"/>
  <c r="CH95" i="29" s="1"/>
  <c r="CN95" i="29"/>
  <c r="CT95" i="29" s="1"/>
  <c r="CU95" i="29" s="1"/>
  <c r="AS96" i="29"/>
  <c r="BO96" i="29"/>
  <c r="BQ96" i="29" s="1"/>
  <c r="BR96" i="29" s="1"/>
  <c r="CG96" i="29"/>
  <c r="CH96" i="29" s="1"/>
  <c r="CN96" i="29"/>
  <c r="CT96" i="29"/>
  <c r="CU96" i="29" s="1"/>
  <c r="BS98" i="29"/>
  <c r="BX98" i="29" s="1"/>
  <c r="BY98" i="29" s="1"/>
  <c r="AO100" i="29"/>
  <c r="AO101" i="29"/>
  <c r="BA101" i="29"/>
  <c r="BG101" i="29"/>
  <c r="CG101" i="29"/>
  <c r="CH101" i="29" s="1"/>
  <c r="CN101" i="29"/>
  <c r="CZ101" i="29"/>
  <c r="AS102" i="29"/>
  <c r="CO102" i="29"/>
  <c r="AZ103" i="29"/>
  <c r="CJ103" i="29"/>
  <c r="CL103" i="29"/>
  <c r="AO104" i="29"/>
  <c r="BA104" i="29"/>
  <c r="BF104" i="29" s="1"/>
  <c r="CV104" i="29"/>
  <c r="AO105" i="29"/>
  <c r="BA105" i="29"/>
  <c r="BE105" i="29" s="1"/>
  <c r="CG106" i="29"/>
  <c r="CH106" i="29"/>
  <c r="AQ107" i="29"/>
  <c r="AR107" i="29" s="1"/>
  <c r="CK107" i="29"/>
  <c r="CL107" i="29" s="1"/>
  <c r="CR107" i="29"/>
  <c r="CZ107" i="29"/>
  <c r="CG108" i="29"/>
  <c r="CH108" i="29" s="1"/>
  <c r="CO108" i="29"/>
  <c r="CK109" i="29"/>
  <c r="AP109" i="29"/>
  <c r="BE109" i="29"/>
  <c r="AS110" i="29"/>
  <c r="BO110" i="29"/>
  <c r="BQ110" i="29"/>
  <c r="BR110" i="29" s="1"/>
  <c r="CO110" i="29"/>
  <c r="BD111" i="29"/>
  <c r="CG111" i="29"/>
  <c r="CH111" i="29"/>
  <c r="CZ111" i="29"/>
  <c r="AO112" i="29"/>
  <c r="AQ113" i="29"/>
  <c r="AP113" i="29"/>
  <c r="AZ113" i="29"/>
  <c r="CJ113" i="29"/>
  <c r="CL113" i="29"/>
  <c r="DI113" i="29"/>
  <c r="AS114" i="29"/>
  <c r="BC115" i="29"/>
  <c r="CN115" i="29"/>
  <c r="CT115" i="29" s="1"/>
  <c r="CU115" i="29" s="1"/>
  <c r="CG116" i="29"/>
  <c r="CH116" i="29" s="1"/>
  <c r="CN117" i="29"/>
  <c r="BD118" i="29"/>
  <c r="CG118" i="29"/>
  <c r="CH118" i="29" s="1"/>
  <c r="BA119" i="29"/>
  <c r="AT119" i="29"/>
  <c r="BL119" i="29"/>
  <c r="BO119" i="29"/>
  <c r="BQ119" i="29"/>
  <c r="BR119" i="29"/>
  <c r="AO121" i="29"/>
  <c r="CO123" i="29"/>
  <c r="AZ123" i="29"/>
  <c r="CZ123" i="29"/>
  <c r="CN123" i="29"/>
  <c r="CT123" i="29" s="1"/>
  <c r="CU123" i="29" s="1"/>
  <c r="AS123" i="29"/>
  <c r="CY123" i="29"/>
  <c r="CR123" i="29"/>
  <c r="AQ123" i="29"/>
  <c r="AR123" i="29"/>
  <c r="AP123" i="29"/>
  <c r="CX123" i="29"/>
  <c r="CB124" i="29"/>
  <c r="CC124" i="29"/>
  <c r="CQ124" i="29"/>
  <c r="AO126" i="29"/>
  <c r="CO126" i="29"/>
  <c r="AZ126" i="29"/>
  <c r="CZ126" i="29"/>
  <c r="CN126" i="29"/>
  <c r="CT126" i="29"/>
  <c r="CU126" i="29"/>
  <c r="AS126" i="29"/>
  <c r="CY126" i="29"/>
  <c r="CR126" i="29"/>
  <c r="AQ126" i="29"/>
  <c r="AR126" i="29"/>
  <c r="DI126" i="29"/>
  <c r="DI129" i="29"/>
  <c r="CQ130" i="29"/>
  <c r="AP131" i="29"/>
  <c r="CB131" i="29"/>
  <c r="AP132" i="29"/>
  <c r="BQ132" i="29"/>
  <c r="BR132" i="29" s="1"/>
  <c r="CX133" i="29"/>
  <c r="BA137" i="29"/>
  <c r="BE137" i="29" s="1"/>
  <c r="AG139" i="29"/>
  <c r="CK139" i="29" s="1"/>
  <c r="CL139" i="29" s="1"/>
  <c r="CC14" i="30"/>
  <c r="CC147" i="30"/>
  <c r="AH15" i="30"/>
  <c r="CM15" i="30" s="1"/>
  <c r="CO15" i="30"/>
  <c r="CC16" i="30"/>
  <c r="CB16" i="30"/>
  <c r="BQ26" i="30"/>
  <c r="BR26" i="30" s="1"/>
  <c r="BZ26" i="30"/>
  <c r="DA37" i="30"/>
  <c r="AO37" i="30"/>
  <c r="AS37" i="30"/>
  <c r="CP37" i="30"/>
  <c r="AQ37" i="30"/>
  <c r="AR37" i="30" s="1"/>
  <c r="AP37" i="30"/>
  <c r="CQ37" i="30"/>
  <c r="AQ62" i="29"/>
  <c r="AR62" i="29"/>
  <c r="BS67" i="29"/>
  <c r="BX67" i="29" s="1"/>
  <c r="BY67" i="29" s="1"/>
  <c r="AQ68" i="29"/>
  <c r="AR68" i="29" s="1"/>
  <c r="BS69" i="29"/>
  <c r="BX69" i="29"/>
  <c r="BY69" i="29" s="1"/>
  <c r="BS70" i="29"/>
  <c r="BX70" i="29" s="1"/>
  <c r="BY70" i="29" s="1"/>
  <c r="AQ71" i="29"/>
  <c r="AR71" i="29"/>
  <c r="AQ72" i="29"/>
  <c r="BS81" i="29"/>
  <c r="BX81" i="29" s="1"/>
  <c r="BY81" i="29" s="1"/>
  <c r="CR81" i="29"/>
  <c r="AQ82" i="29"/>
  <c r="AH83" i="29"/>
  <c r="AO83" i="29"/>
  <c r="AO84" i="29"/>
  <c r="CN84" i="29"/>
  <c r="CT84" i="29" s="1"/>
  <c r="CU84" i="29" s="1"/>
  <c r="CZ84" i="29"/>
  <c r="BS85" i="29"/>
  <c r="BX85" i="29" s="1"/>
  <c r="BY85" i="29"/>
  <c r="CR85" i="29"/>
  <c r="AQ86" i="29"/>
  <c r="AR86" i="29" s="1"/>
  <c r="AQ87" i="29"/>
  <c r="AR87" i="29" s="1"/>
  <c r="AQ88" i="29"/>
  <c r="AR88" i="29" s="1"/>
  <c r="AH89" i="29"/>
  <c r="AR89" i="29"/>
  <c r="AO89" i="29"/>
  <c r="AZ89" i="29"/>
  <c r="CY89" i="29"/>
  <c r="CQ90" i="29"/>
  <c r="AP91" i="29"/>
  <c r="CW91" i="29"/>
  <c r="CO92" i="29"/>
  <c r="CO101" i="29"/>
  <c r="AO103" i="29"/>
  <c r="CQ103" i="29"/>
  <c r="AP104" i="29"/>
  <c r="CW104" i="29"/>
  <c r="CY105" i="29"/>
  <c r="AP105" i="29"/>
  <c r="CN105" i="29"/>
  <c r="AO106" i="29"/>
  <c r="AO108" i="29"/>
  <c r="CQ109" i="29"/>
  <c r="CW109" i="29"/>
  <c r="CG110" i="29"/>
  <c r="CH110" i="29"/>
  <c r="CP110" i="29"/>
  <c r="CZ110" i="29"/>
  <c r="AO111" i="29"/>
  <c r="AQ112" i="29"/>
  <c r="AR112" i="29" s="1"/>
  <c r="AP112" i="29"/>
  <c r="AZ112" i="29"/>
  <c r="BL112" i="29"/>
  <c r="BQ112" i="29" s="1"/>
  <c r="BR112" i="29" s="1"/>
  <c r="DI112" i="29"/>
  <c r="BC114" i="29"/>
  <c r="CN114" i="29"/>
  <c r="CX114" i="29"/>
  <c r="CY115" i="29"/>
  <c r="CM115" i="29"/>
  <c r="BO115" i="29"/>
  <c r="BQ115" i="29"/>
  <c r="BR115" i="29" s="1"/>
  <c r="CO115" i="29"/>
  <c r="AV116" i="29"/>
  <c r="BC117" i="29"/>
  <c r="BF117" i="29"/>
  <c r="CB117" i="29"/>
  <c r="CO117" i="29"/>
  <c r="AV118" i="29"/>
  <c r="CP119" i="29"/>
  <c r="CO121" i="29"/>
  <c r="AZ121" i="29"/>
  <c r="CZ121" i="29"/>
  <c r="CN121" i="29"/>
  <c r="CT121" i="29"/>
  <c r="CU121" i="29" s="1"/>
  <c r="AS121" i="29"/>
  <c r="CY121" i="29"/>
  <c r="CR121" i="29"/>
  <c r="AQ121" i="29"/>
  <c r="AR121" i="29"/>
  <c r="AP121" i="29"/>
  <c r="DI122" i="29"/>
  <c r="CL123" i="29"/>
  <c r="DI125" i="29"/>
  <c r="CS127" i="29"/>
  <c r="CY128" i="29"/>
  <c r="CL128" i="29"/>
  <c r="CL129" i="29"/>
  <c r="CY131" i="29"/>
  <c r="L131" i="29"/>
  <c r="CN131" i="29" s="1"/>
  <c r="CW132" i="29"/>
  <c r="CV132" i="29"/>
  <c r="CX132" i="29" s="1"/>
  <c r="BA132" i="29"/>
  <c r="AT132" i="29"/>
  <c r="CC132" i="29"/>
  <c r="CB132" i="29"/>
  <c r="CM133" i="29"/>
  <c r="BD133" i="29"/>
  <c r="BQ133" i="29"/>
  <c r="BR133" i="29" s="1"/>
  <c r="CB133" i="29"/>
  <c r="CV135" i="29"/>
  <c r="CX135" i="29" s="1"/>
  <c r="BP136" i="29"/>
  <c r="BP146" i="29"/>
  <c r="W136" i="29"/>
  <c r="DI138" i="29"/>
  <c r="CA14" i="30"/>
  <c r="BC18" i="30"/>
  <c r="AV18" i="30"/>
  <c r="CT18" i="30"/>
  <c r="DA18" i="30"/>
  <c r="DJ8" i="30"/>
  <c r="DD63" i="30"/>
  <c r="CJ63" i="30"/>
  <c r="CK63" i="30"/>
  <c r="CL63" i="30" s="1"/>
  <c r="O63" i="30"/>
  <c r="DB63" i="30"/>
  <c r="AT80" i="29"/>
  <c r="AZ81" i="29"/>
  <c r="CQ82" i="29"/>
  <c r="AP83" i="29"/>
  <c r="AP84" i="29"/>
  <c r="AZ85" i="29"/>
  <c r="AP89" i="29"/>
  <c r="CN89" i="29"/>
  <c r="CT89" i="29"/>
  <c r="CU89" i="29" s="1"/>
  <c r="AQ91" i="29"/>
  <c r="AQ92" i="29"/>
  <c r="AR92" i="29"/>
  <c r="AQ101" i="29"/>
  <c r="AR101" i="29" s="1"/>
  <c r="AP103" i="29"/>
  <c r="AQ104" i="29"/>
  <c r="AR104" i="29" s="1"/>
  <c r="AQ105" i="29"/>
  <c r="AR105" i="29" s="1"/>
  <c r="CJ106" i="29"/>
  <c r="CL106" i="29" s="1"/>
  <c r="CY107" i="29"/>
  <c r="CM107" i="29"/>
  <c r="CJ108" i="29"/>
  <c r="CL108" i="29"/>
  <c r="BX109" i="29"/>
  <c r="BY109" i="29" s="1"/>
  <c r="CV109" i="29"/>
  <c r="BG110" i="29"/>
  <c r="BI110" i="29"/>
  <c r="CQ110" i="29"/>
  <c r="AQ111" i="29"/>
  <c r="AR111" i="29" s="1"/>
  <c r="AP111" i="29"/>
  <c r="AZ111" i="29"/>
  <c r="CJ111" i="29"/>
  <c r="CL111" i="29"/>
  <c r="DI111" i="29"/>
  <c r="BC113" i="29"/>
  <c r="CX113" i="29"/>
  <c r="CY114" i="29"/>
  <c r="CM114" i="29"/>
  <c r="BD115" i="29"/>
  <c r="CG115" i="29"/>
  <c r="CH115" i="29" s="1"/>
  <c r="CJ116" i="29"/>
  <c r="CL116" i="29"/>
  <c r="CY117" i="29"/>
  <c r="CM117" i="29"/>
  <c r="CP117" i="29"/>
  <c r="CL118" i="29"/>
  <c r="CY119" i="29"/>
  <c r="CB120" i="29"/>
  <c r="CC120" i="29"/>
  <c r="DI120" i="29"/>
  <c r="CL121" i="29"/>
  <c r="CB122" i="29"/>
  <c r="CC122" i="29"/>
  <c r="CO124" i="29"/>
  <c r="AZ124" i="29"/>
  <c r="CZ124" i="29"/>
  <c r="CN124" i="29"/>
  <c r="CT124" i="29"/>
  <c r="CU124" i="29" s="1"/>
  <c r="AS124" i="29"/>
  <c r="CY124" i="29"/>
  <c r="CR124" i="29"/>
  <c r="AQ124" i="29"/>
  <c r="AR124" i="29" s="1"/>
  <c r="AP124" i="29"/>
  <c r="CX124" i="29"/>
  <c r="CB125" i="29"/>
  <c r="CC125" i="29"/>
  <c r="CL127" i="29"/>
  <c r="AP127" i="29"/>
  <c r="AT127" i="29"/>
  <c r="AP129" i="29"/>
  <c r="AT129" i="29"/>
  <c r="AX129" i="29" s="1"/>
  <c r="AY129" i="29"/>
  <c r="CC129" i="29"/>
  <c r="CB129" i="29"/>
  <c r="CC130" i="29"/>
  <c r="CB130" i="29"/>
  <c r="BB131" i="29"/>
  <c r="AU131" i="29"/>
  <c r="CD131" i="29"/>
  <c r="CH131" i="29"/>
  <c r="BC134" i="29"/>
  <c r="BB135" i="29"/>
  <c r="AU135" i="29"/>
  <c r="AZ139" i="29"/>
  <c r="AS139" i="29"/>
  <c r="CJ141" i="29"/>
  <c r="CM141" i="29"/>
  <c r="CB19" i="30"/>
  <c r="CC19" i="30"/>
  <c r="CC20" i="30"/>
  <c r="CB20" i="30"/>
  <c r="AH30" i="30"/>
  <c r="CM30" i="30"/>
  <c r="CK30" i="30"/>
  <c r="CL30" i="30" s="1"/>
  <c r="CN127" i="29"/>
  <c r="CZ127" i="29"/>
  <c r="CJ131" i="29"/>
  <c r="CL131" i="29" s="1"/>
  <c r="CK131" i="29"/>
  <c r="CV131" i="29"/>
  <c r="R132" i="29"/>
  <c r="CM132" i="29"/>
  <c r="CY132" i="29"/>
  <c r="AH133" i="29"/>
  <c r="AO133" i="29"/>
  <c r="CJ133" i="29"/>
  <c r="AH134" i="29"/>
  <c r="AO134" i="29"/>
  <c r="CJ134" i="29"/>
  <c r="CL134" i="29" s="1"/>
  <c r="BS135" i="29"/>
  <c r="BX135" i="29" s="1"/>
  <c r="BY135" i="29" s="1"/>
  <c r="R136" i="29"/>
  <c r="CK136" i="29"/>
  <c r="AO137" i="29"/>
  <c r="AU137" i="29"/>
  <c r="AX137" i="29" s="1"/>
  <c r="BF137" i="29"/>
  <c r="CQ137" i="29"/>
  <c r="CW137" i="29"/>
  <c r="CX137" i="29" s="1"/>
  <c r="AP138" i="29"/>
  <c r="CR138" i="29"/>
  <c r="AJ139" i="29"/>
  <c r="BM139" i="29"/>
  <c r="BZ139" i="29"/>
  <c r="CS139" i="29"/>
  <c r="DI144" i="29"/>
  <c r="N156" i="29"/>
  <c r="BI7" i="30"/>
  <c r="BC14" i="30"/>
  <c r="CC15" i="30"/>
  <c r="CB15" i="30"/>
  <c r="CB17" i="30"/>
  <c r="CJ18" i="30"/>
  <c r="CL18" i="30" s="1"/>
  <c r="AH18" i="30"/>
  <c r="CM18" i="30"/>
  <c r="CO18" i="30"/>
  <c r="AO22" i="30"/>
  <c r="CJ29" i="30"/>
  <c r="CL29" i="30" s="1"/>
  <c r="CO29" i="30"/>
  <c r="AH29" i="30"/>
  <c r="CM29" i="30"/>
  <c r="CN29" i="30" s="1"/>
  <c r="AW30" i="30"/>
  <c r="CB36" i="30"/>
  <c r="CY44" i="30"/>
  <c r="AT44" i="30"/>
  <c r="CX44" i="30"/>
  <c r="CQ44" i="30"/>
  <c r="AO44" i="30"/>
  <c r="CP44" i="30"/>
  <c r="BA44" i="30"/>
  <c r="DA44" i="30"/>
  <c r="CC44" i="30"/>
  <c r="AQ44" i="30"/>
  <c r="AR44" i="30" s="1"/>
  <c r="AV56" i="30"/>
  <c r="AO56" i="30"/>
  <c r="CC56" i="30"/>
  <c r="BZ69" i="30"/>
  <c r="BQ69" i="30"/>
  <c r="BR69" i="30"/>
  <c r="CC103" i="30"/>
  <c r="CB103" i="30"/>
  <c r="AP116" i="29"/>
  <c r="CQ116" i="29"/>
  <c r="AP117" i="29"/>
  <c r="CQ117" i="29"/>
  <c r="AP118" i="29"/>
  <c r="CQ118" i="29"/>
  <c r="AG119" i="29"/>
  <c r="CM119" i="29"/>
  <c r="CS119" i="29"/>
  <c r="CO127" i="29"/>
  <c r="DB127" i="29"/>
  <c r="CM128" i="29"/>
  <c r="CM129" i="29"/>
  <c r="CY129" i="29"/>
  <c r="AT131" i="29"/>
  <c r="CW131" i="29"/>
  <c r="AS132" i="29"/>
  <c r="CN132" i="29"/>
  <c r="CZ132" i="29"/>
  <c r="AP133" i="29"/>
  <c r="AV133" i="29"/>
  <c r="AY133" i="29"/>
  <c r="CK133" i="29"/>
  <c r="AP134" i="29"/>
  <c r="AV134" i="29"/>
  <c r="AX134" i="29"/>
  <c r="BX134" i="29"/>
  <c r="BY134" i="29"/>
  <c r="CQ134" i="29"/>
  <c r="AT135" i="29"/>
  <c r="AZ135" i="29"/>
  <c r="CM135" i="29"/>
  <c r="CS135" i="29"/>
  <c r="CY135" i="29"/>
  <c r="BS136" i="29"/>
  <c r="AP137" i="29"/>
  <c r="CR137" i="29"/>
  <c r="AQ138" i="29"/>
  <c r="AR138" i="29" s="1"/>
  <c r="CY138" i="29"/>
  <c r="AQ14" i="30"/>
  <c r="AQ15" i="30"/>
  <c r="BQ15" i="30"/>
  <c r="BR15" i="30"/>
  <c r="BQ18" i="30"/>
  <c r="BR18" i="30"/>
  <c r="CL19" i="30"/>
  <c r="AT25" i="30"/>
  <c r="AY25" i="30" s="1"/>
  <c r="BX30" i="30"/>
  <c r="BY30" i="30" s="1"/>
  <c r="BZ30" i="30"/>
  <c r="AH31" i="30"/>
  <c r="CM31" i="30"/>
  <c r="CN31" i="30" s="1"/>
  <c r="CO31" i="30"/>
  <c r="BD31" i="30"/>
  <c r="AW31" i="30"/>
  <c r="CX33" i="30"/>
  <c r="CP33" i="30"/>
  <c r="AO33" i="30"/>
  <c r="BA33" i="30"/>
  <c r="AT33" i="30"/>
  <c r="AY33" i="30"/>
  <c r="CY33" i="30"/>
  <c r="CQ33" i="30"/>
  <c r="AQ33" i="30"/>
  <c r="CB33" i="30"/>
  <c r="CC33" i="30"/>
  <c r="BD36" i="30"/>
  <c r="AW36" i="30"/>
  <c r="AP39" i="30"/>
  <c r="CC39" i="30"/>
  <c r="CB39" i="30"/>
  <c r="BA41" i="30"/>
  <c r="BB41" i="30"/>
  <c r="CC41" i="30"/>
  <c r="CB41" i="30"/>
  <c r="CF63" i="30"/>
  <c r="CE63" i="30"/>
  <c r="BS111" i="29"/>
  <c r="BX111" i="29" s="1"/>
  <c r="BY111" i="29"/>
  <c r="CR111" i="29"/>
  <c r="BS112" i="29"/>
  <c r="BX112" i="29" s="1"/>
  <c r="BY112" i="29" s="1"/>
  <c r="CR112" i="29"/>
  <c r="BS113" i="29"/>
  <c r="CR113" i="29"/>
  <c r="BS114" i="29"/>
  <c r="BX114" i="29" s="1"/>
  <c r="BY114" i="29" s="1"/>
  <c r="CR114" i="29"/>
  <c r="BS115" i="29"/>
  <c r="BX115" i="29" s="1"/>
  <c r="BY115" i="29" s="1"/>
  <c r="CR115" i="29"/>
  <c r="BS116" i="29"/>
  <c r="BX116" i="29" s="1"/>
  <c r="BY116" i="29" s="1"/>
  <c r="CR116" i="29"/>
  <c r="BS117" i="29"/>
  <c r="BX117" i="29" s="1"/>
  <c r="BY117" i="29" s="1"/>
  <c r="CR117" i="29"/>
  <c r="BS118" i="29"/>
  <c r="BX118" i="29" s="1"/>
  <c r="BY118" i="29" s="1"/>
  <c r="CR118" i="29"/>
  <c r="AO119" i="29"/>
  <c r="CZ119" i="29"/>
  <c r="AO127" i="29"/>
  <c r="BA127" i="29"/>
  <c r="CP127" i="29"/>
  <c r="CV127" i="29"/>
  <c r="CW127" i="29"/>
  <c r="CX127" i="29" s="1"/>
  <c r="L128" i="29"/>
  <c r="CN128" i="29" s="1"/>
  <c r="CT128" i="29" s="1"/>
  <c r="CU128" i="29" s="1"/>
  <c r="AS128" i="29"/>
  <c r="CG128" i="29"/>
  <c r="CH128" i="29"/>
  <c r="CZ128" i="29"/>
  <c r="AO129" i="29"/>
  <c r="BA129" i="29"/>
  <c r="BG129" i="29"/>
  <c r="CG129" i="29"/>
  <c r="CH129" i="29"/>
  <c r="CN129" i="29"/>
  <c r="CT129" i="29"/>
  <c r="CU129" i="29" s="1"/>
  <c r="CZ129" i="29"/>
  <c r="AO131" i="29"/>
  <c r="BA131" i="29"/>
  <c r="CO132" i="29"/>
  <c r="DB132" i="29"/>
  <c r="O133" i="29"/>
  <c r="AQ133" i="29"/>
  <c r="AR133" i="29" s="1"/>
  <c r="AQ134" i="29"/>
  <c r="CR134" i="29"/>
  <c r="BA135" i="29"/>
  <c r="BO135" i="29"/>
  <c r="BQ135" i="29"/>
  <c r="BR135" i="29" s="1"/>
  <c r="CZ135" i="29"/>
  <c r="AK136" i="29"/>
  <c r="AQ137" i="29"/>
  <c r="AR137" i="29"/>
  <c r="CN138" i="29"/>
  <c r="CT138" i="29"/>
  <c r="CU138" i="29" s="1"/>
  <c r="AL139" i="29"/>
  <c r="BO139" i="29"/>
  <c r="DA14" i="30"/>
  <c r="DA15" i="30"/>
  <c r="AQ18" i="30"/>
  <c r="AR18" i="30"/>
  <c r="DB21" i="30"/>
  <c r="AO21" i="30"/>
  <c r="CY21" i="30"/>
  <c r="CP21" i="30"/>
  <c r="CX21" i="30"/>
  <c r="AT21" i="30"/>
  <c r="AQ21" i="30"/>
  <c r="BA21" i="30"/>
  <c r="DB26" i="30"/>
  <c r="AO26" i="30"/>
  <c r="CY26" i="30"/>
  <c r="CP26" i="30"/>
  <c r="CX26" i="30"/>
  <c r="AT26" i="30"/>
  <c r="AQ26" i="30"/>
  <c r="AR26" i="30" s="1"/>
  <c r="BA26" i="30"/>
  <c r="CQ28" i="30"/>
  <c r="DA28" i="30"/>
  <c r="AO28" i="30"/>
  <c r="AS28" i="30"/>
  <c r="CP28" i="30"/>
  <c r="AP28" i="30"/>
  <c r="CC28" i="30"/>
  <c r="CB28" i="30"/>
  <c r="DB28" i="30"/>
  <c r="AO29" i="30"/>
  <c r="CA29" i="30"/>
  <c r="DB69" i="30"/>
  <c r="AT69" i="30"/>
  <c r="AQ69" i="30"/>
  <c r="AO69" i="30"/>
  <c r="DA69" i="30"/>
  <c r="CY69" i="30"/>
  <c r="CP69" i="30"/>
  <c r="CX69" i="30"/>
  <c r="BA69" i="30"/>
  <c r="AT120" i="29"/>
  <c r="AT121" i="29"/>
  <c r="AT122" i="29"/>
  <c r="AT125" i="29"/>
  <c r="CM131" i="29"/>
  <c r="AH132" i="29"/>
  <c r="AR132" i="29" s="1"/>
  <c r="AO132" i="29"/>
  <c r="AX133" i="29"/>
  <c r="CN137" i="29"/>
  <c r="AS138" i="29"/>
  <c r="CK141" i="29"/>
  <c r="CB141" i="29"/>
  <c r="CU14" i="30"/>
  <c r="AZ14" i="30"/>
  <c r="CT14" i="30"/>
  <c r="CG14" i="30"/>
  <c r="AJ143" i="30"/>
  <c r="CP14" i="30"/>
  <c r="BA14" i="30"/>
  <c r="AO14" i="30"/>
  <c r="DB14" i="30"/>
  <c r="AT14" i="30"/>
  <c r="CX14" i="30"/>
  <c r="AH16" i="30"/>
  <c r="AR16" i="30"/>
  <c r="BD16" i="30"/>
  <c r="AW16" i="30"/>
  <c r="CY20" i="30"/>
  <c r="BA20" i="30"/>
  <c r="CX20" i="30"/>
  <c r="AT20" i="30"/>
  <c r="AW20" i="30"/>
  <c r="AX20" i="30" s="1"/>
  <c r="BB23" i="30"/>
  <c r="AU23" i="30"/>
  <c r="CC24" i="30"/>
  <c r="BA25" i="30"/>
  <c r="CY25" i="30"/>
  <c r="CX25" i="30"/>
  <c r="AW25" i="30"/>
  <c r="AX25" i="30"/>
  <c r="CP27" i="30"/>
  <c r="AZ28" i="30"/>
  <c r="AP31" i="30"/>
  <c r="V149" i="30"/>
  <c r="V148" i="30"/>
  <c r="BS33" i="30"/>
  <c r="R33" i="30"/>
  <c r="CU33" i="30"/>
  <c r="BH33" i="30"/>
  <c r="CG33" i="30"/>
  <c r="CH33" i="30" s="1"/>
  <c r="BG33" i="30"/>
  <c r="BI33" i="30" s="1"/>
  <c r="CC34" i="30"/>
  <c r="CB34" i="30"/>
  <c r="CA35" i="30"/>
  <c r="CD35" i="30"/>
  <c r="BX35" i="30"/>
  <c r="BY35" i="30" s="1"/>
  <c r="BA36" i="30"/>
  <c r="AH42" i="30"/>
  <c r="AR42" i="30"/>
  <c r="CO42" i="30"/>
  <c r="CC49" i="30"/>
  <c r="CB49" i="30"/>
  <c r="DA51" i="30"/>
  <c r="AV51" i="30"/>
  <c r="AO51" i="30"/>
  <c r="DB51" i="30"/>
  <c r="CK59" i="30"/>
  <c r="AT60" i="30"/>
  <c r="AY60" i="30"/>
  <c r="CC70" i="30"/>
  <c r="CB70" i="30"/>
  <c r="AG76" i="30"/>
  <c r="CK76" i="30"/>
  <c r="AQ129" i="29"/>
  <c r="AR129" i="29"/>
  <c r="AQ131" i="29"/>
  <c r="AR131" i="29"/>
  <c r="CN133" i="29"/>
  <c r="CN134" i="29"/>
  <c r="CT134" i="29" s="1"/>
  <c r="AG152" i="29"/>
  <c r="AG153" i="29" s="1"/>
  <c r="BB14" i="30"/>
  <c r="AU14" i="30"/>
  <c r="BM143" i="30"/>
  <c r="BM147" i="30"/>
  <c r="BQ14" i="30"/>
  <c r="CY14" i="30"/>
  <c r="BS15" i="30"/>
  <c r="AZ15" i="30"/>
  <c r="R15" i="30"/>
  <c r="CS15" i="30"/>
  <c r="CU15" i="30"/>
  <c r="CG15" i="30"/>
  <c r="CH15" i="30"/>
  <c r="AX16" i="30"/>
  <c r="CO16" i="30"/>
  <c r="R21" i="30"/>
  <c r="CG21" i="30"/>
  <c r="CH21" i="30" s="1"/>
  <c r="BS21" i="30"/>
  <c r="AZ21" i="30"/>
  <c r="CO22" i="30"/>
  <c r="AH22" i="30"/>
  <c r="CM22" i="30" s="1"/>
  <c r="CB23" i="30"/>
  <c r="CG26" i="30"/>
  <c r="CH26" i="30"/>
  <c r="R26" i="30"/>
  <c r="CT26" i="30"/>
  <c r="BS26" i="30"/>
  <c r="AZ26" i="30"/>
  <c r="CO27" i="30"/>
  <c r="CJ27" i="30"/>
  <c r="CL27" i="30" s="1"/>
  <c r="AH27" i="30"/>
  <c r="CM27" i="30"/>
  <c r="CK34" i="30"/>
  <c r="CM34" i="30"/>
  <c r="O34" i="30"/>
  <c r="DB34" i="30"/>
  <c r="CJ34" i="30"/>
  <c r="CL34" i="30"/>
  <c r="BS48" i="30"/>
  <c r="BX48" i="30"/>
  <c r="BY48" i="30" s="1"/>
  <c r="CU48" i="30"/>
  <c r="CG48" i="30"/>
  <c r="CH48" i="30" s="1"/>
  <c r="CT48" i="30"/>
  <c r="CS48" i="30"/>
  <c r="BH48" i="30"/>
  <c r="BG48" i="30"/>
  <c r="AZ48" i="30"/>
  <c r="BB48" i="30"/>
  <c r="AU48" i="30"/>
  <c r="CY48" i="30"/>
  <c r="AP48" i="30"/>
  <c r="CP48" i="30"/>
  <c r="CC68" i="30"/>
  <c r="CB68" i="30"/>
  <c r="CY15" i="30"/>
  <c r="AY16" i="30"/>
  <c r="DA16" i="30"/>
  <c r="BZ18" i="30"/>
  <c r="CS18" i="30"/>
  <c r="CY18" i="30"/>
  <c r="AQ19" i="30"/>
  <c r="AH19" i="30"/>
  <c r="AR19" i="30" s="1"/>
  <c r="DB19" i="30"/>
  <c r="AZ19" i="30"/>
  <c r="AP19" i="30"/>
  <c r="CQ19" i="30"/>
  <c r="CP20" i="30"/>
  <c r="AO20" i="30"/>
  <c r="AQ20" i="30"/>
  <c r="AR20" i="30" s="1"/>
  <c r="AZ20" i="30"/>
  <c r="BQ20" i="30"/>
  <c r="BR20" i="30"/>
  <c r="DB20" i="30"/>
  <c r="DA21" i="30"/>
  <c r="BB22" i="30"/>
  <c r="CT23" i="30"/>
  <c r="CG23" i="30"/>
  <c r="CH23" i="30"/>
  <c r="BA23" i="30"/>
  <c r="CU23" i="30"/>
  <c r="CP25" i="30"/>
  <c r="AO25" i="30"/>
  <c r="AQ25" i="30"/>
  <c r="AR25" i="30"/>
  <c r="AZ25" i="30"/>
  <c r="BQ25" i="30"/>
  <c r="BR25" i="30"/>
  <c r="DB25" i="30"/>
  <c r="CQ26" i="30"/>
  <c r="BB27" i="30"/>
  <c r="BB29" i="30"/>
  <c r="CT29" i="30"/>
  <c r="CO30" i="30"/>
  <c r="BC31" i="30"/>
  <c r="BE31" i="30" s="1"/>
  <c r="BX31" i="30"/>
  <c r="BY31" i="30" s="1"/>
  <c r="CT32" i="30"/>
  <c r="DB33" i="30"/>
  <c r="AW34" i="30"/>
  <c r="AX34" i="30" s="1"/>
  <c r="BC35" i="30"/>
  <c r="CO35" i="30"/>
  <c r="DA35" i="30"/>
  <c r="CC36" i="30"/>
  <c r="R38" i="30"/>
  <c r="CS38" i="30" s="1"/>
  <c r="CV38" i="30" s="1"/>
  <c r="CW38" i="30" s="1"/>
  <c r="AZ38" i="30"/>
  <c r="BS38" i="30"/>
  <c r="BH38" i="30"/>
  <c r="CK39" i="30"/>
  <c r="DD39" i="30"/>
  <c r="CJ39" i="30"/>
  <c r="O39" i="30"/>
  <c r="CO39" i="30"/>
  <c r="DB39" i="30"/>
  <c r="CC40" i="30"/>
  <c r="CB40" i="30"/>
  <c r="DA40" i="30"/>
  <c r="AU41" i="30"/>
  <c r="CY41" i="30"/>
  <c r="AZ42" i="30"/>
  <c r="R42" i="30"/>
  <c r="CS42" i="30" s="1"/>
  <c r="CC42" i="30"/>
  <c r="CB42" i="30"/>
  <c r="CL43" i="30"/>
  <c r="BC43" i="30"/>
  <c r="AV43" i="30"/>
  <c r="DB43" i="30"/>
  <c r="AP44" i="30"/>
  <c r="BC45" i="30"/>
  <c r="AV45" i="30"/>
  <c r="CB45" i="30"/>
  <c r="CQ46" i="30"/>
  <c r="AJ156" i="30"/>
  <c r="CX47" i="30"/>
  <c r="DA47" i="30"/>
  <c r="AQ47" i="30"/>
  <c r="CY47" i="30"/>
  <c r="AO47" i="30"/>
  <c r="CQ47" i="30"/>
  <c r="AT47" i="30"/>
  <c r="CP49" i="30"/>
  <c r="AQ49" i="30"/>
  <c r="AO49" i="30"/>
  <c r="DA49" i="30"/>
  <c r="AS49" i="30"/>
  <c r="AH50" i="30"/>
  <c r="AR50" i="30" s="1"/>
  <c r="CC52" i="30"/>
  <c r="CB52" i="30"/>
  <c r="CL58" i="30"/>
  <c r="BD58" i="30"/>
  <c r="AW58" i="30"/>
  <c r="CO59" i="30"/>
  <c r="CC62" i="30"/>
  <c r="CB62" i="30"/>
  <c r="CO64" i="30"/>
  <c r="BD64" i="30"/>
  <c r="AW64" i="30"/>
  <c r="CA67" i="30"/>
  <c r="BQ67" i="30"/>
  <c r="BR67" i="30"/>
  <c r="DA68" i="30"/>
  <c r="CT68" i="30"/>
  <c r="CP68" i="30"/>
  <c r="AO68" i="30"/>
  <c r="DB68" i="30"/>
  <c r="AP68" i="30"/>
  <c r="CQ68" i="30"/>
  <c r="AZ68" i="30"/>
  <c r="AS68" i="30"/>
  <c r="BA84" i="30"/>
  <c r="CY84" i="30"/>
  <c r="AT84" i="30"/>
  <c r="AY84" i="30"/>
  <c r="CE84" i="30"/>
  <c r="CX84" i="30"/>
  <c r="CC84" i="30"/>
  <c r="AQ84" i="30"/>
  <c r="CP84" i="30"/>
  <c r="CV84" i="30" s="1"/>
  <c r="CW84" i="30" s="1"/>
  <c r="R84" i="30"/>
  <c r="CS84" i="30"/>
  <c r="AH84" i="30"/>
  <c r="CK104" i="30"/>
  <c r="CL104" i="30" s="1"/>
  <c r="AH104" i="30"/>
  <c r="CM104" i="30" s="1"/>
  <c r="CO120" i="30"/>
  <c r="CJ120" i="30"/>
  <c r="CK120" i="30"/>
  <c r="CL120" i="30" s="1"/>
  <c r="AH120" i="30"/>
  <c r="AH121" i="30"/>
  <c r="CO121" i="30"/>
  <c r="AS14" i="30"/>
  <c r="DN14" i="30"/>
  <c r="AT15" i="30"/>
  <c r="AY15" i="30" s="1"/>
  <c r="AU15" i="30"/>
  <c r="DB15" i="30"/>
  <c r="AO16" i="30"/>
  <c r="BA16" i="30"/>
  <c r="CJ16" i="30"/>
  <c r="CP16" i="30"/>
  <c r="DD16" i="30"/>
  <c r="AP17" i="30"/>
  <c r="CQ17" i="30"/>
  <c r="AT18" i="30"/>
  <c r="AX18" i="30" s="1"/>
  <c r="AU18" i="30"/>
  <c r="AZ18" i="30"/>
  <c r="DB18" i="30"/>
  <c r="AS19" i="30"/>
  <c r="CS19" i="30"/>
  <c r="DA19" i="30"/>
  <c r="CM20" i="30"/>
  <c r="CN20" i="30" s="1"/>
  <c r="CJ20" i="30"/>
  <c r="CL20" i="30"/>
  <c r="DD20" i="30"/>
  <c r="CD21" i="30"/>
  <c r="DN21" i="30"/>
  <c r="BD23" i="30"/>
  <c r="CX23" i="30"/>
  <c r="AH24" i="30"/>
  <c r="AO24" i="30"/>
  <c r="CJ24" i="30"/>
  <c r="CL24" i="30" s="1"/>
  <c r="CK24" i="30"/>
  <c r="DD25" i="30"/>
  <c r="CJ25" i="30"/>
  <c r="CL25" i="30"/>
  <c r="CM25" i="30"/>
  <c r="CN25" i="30" s="1"/>
  <c r="CD26" i="30"/>
  <c r="DN26" i="30"/>
  <c r="CQ27" i="30"/>
  <c r="BS28" i="30"/>
  <c r="CJ28" i="30"/>
  <c r="AO30" i="30"/>
  <c r="CT30" i="30"/>
  <c r="AH32" i="30"/>
  <c r="CM32" i="30" s="1"/>
  <c r="CK33" i="30"/>
  <c r="CL33" i="30" s="1"/>
  <c r="AH35" i="30"/>
  <c r="CM35" i="30" s="1"/>
  <c r="CN35" i="30" s="1"/>
  <c r="AN147" i="30"/>
  <c r="AN150" i="30"/>
  <c r="AP36" i="30"/>
  <c r="CM37" i="30"/>
  <c r="DD37" i="30"/>
  <c r="CJ37" i="30"/>
  <c r="O37" i="30"/>
  <c r="CY37" i="30"/>
  <c r="CB37" i="30"/>
  <c r="BA38" i="30"/>
  <c r="DN39" i="30"/>
  <c r="AH40" i="30"/>
  <c r="AO40" i="30"/>
  <c r="CO41" i="30"/>
  <c r="BD41" i="30"/>
  <c r="CQ41" i="30"/>
  <c r="AH43" i="30"/>
  <c r="CM43" i="30"/>
  <c r="CN43" i="30"/>
  <c r="AO43" i="30"/>
  <c r="CO43" i="30"/>
  <c r="CB44" i="30"/>
  <c r="AO45" i="30"/>
  <c r="CO46" i="30"/>
  <c r="BD46" i="30"/>
  <c r="AH47" i="30"/>
  <c r="AV47" i="30"/>
  <c r="CD48" i="30"/>
  <c r="CG49" i="30"/>
  <c r="CH49" i="30"/>
  <c r="CU49" i="30"/>
  <c r="BS49" i="30"/>
  <c r="BX49" i="30" s="1"/>
  <c r="BY49" i="30" s="1"/>
  <c r="CT49" i="30"/>
  <c r="BH49" i="30"/>
  <c r="CS49" i="30"/>
  <c r="BG49" i="30"/>
  <c r="BI49" i="30" s="1"/>
  <c r="AZ49" i="30"/>
  <c r="AY50" i="30"/>
  <c r="CA50" i="30"/>
  <c r="CD50" i="30" s="1"/>
  <c r="BQ50" i="30"/>
  <c r="BR50" i="30" s="1"/>
  <c r="CO51" i="30"/>
  <c r="AH51" i="30"/>
  <c r="CM51" i="30"/>
  <c r="CX52" i="30"/>
  <c r="CQ52" i="30"/>
  <c r="CH52" i="30"/>
  <c r="BB52" i="30"/>
  <c r="AU52" i="30"/>
  <c r="AX52" i="30" s="1"/>
  <c r="AT55" i="30"/>
  <c r="AX55" i="30"/>
  <c r="CC55" i="30"/>
  <c r="CB55" i="30"/>
  <c r="CJ56" i="30"/>
  <c r="AH56" i="30"/>
  <c r="CM56" i="30" s="1"/>
  <c r="CC58" i="30"/>
  <c r="CB58" i="30"/>
  <c r="CY60" i="30"/>
  <c r="AX60" i="30"/>
  <c r="DA60" i="30"/>
  <c r="CC60" i="30"/>
  <c r="BA60" i="30"/>
  <c r="CX60" i="30"/>
  <c r="DB61" i="30"/>
  <c r="BB61" i="30"/>
  <c r="AU61" i="30"/>
  <c r="BH61" i="30"/>
  <c r="CO63" i="30"/>
  <c r="AV65" i="30"/>
  <c r="AO65" i="30"/>
  <c r="CD66" i="30"/>
  <c r="CB66" i="30"/>
  <c r="CS68" i="30"/>
  <c r="BD75" i="30"/>
  <c r="AW75" i="30"/>
  <c r="DD94" i="30"/>
  <c r="CJ94" i="30"/>
  <c r="CL94" i="30" s="1"/>
  <c r="CK94" i="30"/>
  <c r="DB94" i="30"/>
  <c r="O94" i="30"/>
  <c r="CM94" i="30"/>
  <c r="AJ140" i="29"/>
  <c r="BM140" i="29"/>
  <c r="AO15" i="30"/>
  <c r="CJ15" i="30"/>
  <c r="CP15" i="30"/>
  <c r="DD15" i="30"/>
  <c r="AP16" i="30"/>
  <c r="CK16" i="30"/>
  <c r="CQ16" i="30"/>
  <c r="AQ17" i="30"/>
  <c r="AW17" i="30"/>
  <c r="BS17" i="30"/>
  <c r="CX17" i="30"/>
  <c r="AO18" i="30"/>
  <c r="CP18" i="30"/>
  <c r="CV18" i="30"/>
  <c r="CW18" i="30" s="1"/>
  <c r="CT19" i="30"/>
  <c r="R20" i="30"/>
  <c r="BD21" i="30"/>
  <c r="CO21" i="30"/>
  <c r="AT22" i="30"/>
  <c r="AX22" i="30"/>
  <c r="CP23" i="30"/>
  <c r="CY23" i="30"/>
  <c r="AQ24" i="30"/>
  <c r="AR24" i="30" s="1"/>
  <c r="AP24" i="30"/>
  <c r="R25" i="30"/>
  <c r="BD26" i="30"/>
  <c r="CO26" i="30"/>
  <c r="AO27" i="30"/>
  <c r="CB27" i="30"/>
  <c r="CK28" i="30"/>
  <c r="BI29" i="30"/>
  <c r="DB30" i="30"/>
  <c r="AQ30" i="30"/>
  <c r="AR30" i="30"/>
  <c r="CQ31" i="30"/>
  <c r="DA31" i="30"/>
  <c r="CT31" i="30"/>
  <c r="AO31" i="30"/>
  <c r="AQ31" i="30"/>
  <c r="CS32" i="30"/>
  <c r="AZ32" i="30"/>
  <c r="CP32" i="30"/>
  <c r="AQ32" i="30"/>
  <c r="AR32" i="30" s="1"/>
  <c r="AP32" i="30"/>
  <c r="CO32" i="30"/>
  <c r="CS35" i="30"/>
  <c r="AS35" i="30"/>
  <c r="CP35" i="30"/>
  <c r="AP35" i="30"/>
  <c r="AO35" i="30"/>
  <c r="CT35" i="30"/>
  <c r="DA36" i="30"/>
  <c r="CT36" i="30"/>
  <c r="CS36" i="30"/>
  <c r="CV36" i="30" s="1"/>
  <c r="CW36" i="30" s="1"/>
  <c r="AQ36" i="30"/>
  <c r="AR36" i="30" s="1"/>
  <c r="CQ36" i="30"/>
  <c r="AO36" i="30"/>
  <c r="AS36" i="30"/>
  <c r="CP36" i="30"/>
  <c r="AU37" i="30"/>
  <c r="CX37" i="30"/>
  <c r="BQ37" i="30"/>
  <c r="BR37" i="30"/>
  <c r="AS39" i="30"/>
  <c r="CQ39" i="30"/>
  <c r="CP39" i="30"/>
  <c r="AQ39" i="30"/>
  <c r="AR39" i="30"/>
  <c r="DA39" i="30"/>
  <c r="AO39" i="30"/>
  <c r="CP40" i="30"/>
  <c r="CQ42" i="30"/>
  <c r="DA43" i="30"/>
  <c r="CQ43" i="30"/>
  <c r="CS45" i="30"/>
  <c r="CX46" i="30"/>
  <c r="CM47" i="30"/>
  <c r="CJ47" i="30"/>
  <c r="CO47" i="30"/>
  <c r="BA47" i="30"/>
  <c r="AW50" i="30"/>
  <c r="AX50" i="30" s="1"/>
  <c r="AY51" i="30"/>
  <c r="AS54" i="30"/>
  <c r="CQ54" i="30"/>
  <c r="AO54" i="30"/>
  <c r="CP54" i="30"/>
  <c r="DA54" i="30"/>
  <c r="CT54" i="30"/>
  <c r="AZ54" i="30"/>
  <c r="CS54" i="30"/>
  <c r="AQ54" i="30"/>
  <c r="AR54" i="30"/>
  <c r="DN54" i="30"/>
  <c r="BQ57" i="30"/>
  <c r="BR57" i="30"/>
  <c r="CF60" i="30"/>
  <c r="CE60" i="30"/>
  <c r="AY64" i="30"/>
  <c r="BZ64" i="30"/>
  <c r="BQ64" i="30"/>
  <c r="BR64" i="30" s="1"/>
  <c r="CO65" i="30"/>
  <c r="AH65" i="30"/>
  <c r="CM65" i="30"/>
  <c r="AU66" i="30"/>
  <c r="AY66" i="30"/>
  <c r="AZ69" i="30"/>
  <c r="R69" i="30"/>
  <c r="CT69" i="30" s="1"/>
  <c r="BS69" i="30"/>
  <c r="CS69" i="30"/>
  <c r="CG69" i="30"/>
  <c r="CH69" i="30" s="1"/>
  <c r="CB72" i="30"/>
  <c r="CC72" i="30"/>
  <c r="CC77" i="30"/>
  <c r="CB77" i="30"/>
  <c r="CP83" i="30"/>
  <c r="AO83" i="30"/>
  <c r="DB83" i="30"/>
  <c r="AZ83" i="30"/>
  <c r="DA83" i="30"/>
  <c r="CT83" i="30"/>
  <c r="AS83" i="30"/>
  <c r="AQ83" i="30"/>
  <c r="AR83" i="30"/>
  <c r="CQ83" i="30"/>
  <c r="CS83" i="30"/>
  <c r="AP83" i="30"/>
  <c r="CP92" i="30"/>
  <c r="CV92" i="30" s="1"/>
  <c r="CW92" i="30" s="1"/>
  <c r="CS92" i="30"/>
  <c r="AO92" i="30"/>
  <c r="DB92" i="30"/>
  <c r="AZ92" i="30"/>
  <c r="DA92" i="30"/>
  <c r="CT92" i="30"/>
  <c r="AS92" i="30"/>
  <c r="AQ92" i="30"/>
  <c r="AR92" i="30" s="1"/>
  <c r="AP92" i="30"/>
  <c r="BT140" i="29"/>
  <c r="BX140" i="29" s="1"/>
  <c r="BY140" i="29" s="1"/>
  <c r="AP15" i="30"/>
  <c r="CK15" i="30"/>
  <c r="CQ15" i="30"/>
  <c r="BS16" i="30"/>
  <c r="CX16" i="30"/>
  <c r="R17" i="30"/>
  <c r="CS17" i="30"/>
  <c r="CV17" i="30" s="1"/>
  <c r="AP18" i="30"/>
  <c r="CQ18" i="30"/>
  <c r="AV19" i="30"/>
  <c r="CO20" i="30"/>
  <c r="CP22" i="30"/>
  <c r="AQ22" i="30"/>
  <c r="AR22" i="30" s="1"/>
  <c r="AP22" i="30"/>
  <c r="CQ22" i="30"/>
  <c r="DA22" i="30"/>
  <c r="AO23" i="30"/>
  <c r="BQ23" i="30"/>
  <c r="BR23" i="30"/>
  <c r="DB23" i="30"/>
  <c r="DB24" i="30"/>
  <c r="O24" i="30"/>
  <c r="CM24" i="30"/>
  <c r="CO25" i="30"/>
  <c r="AQ27" i="30"/>
  <c r="AR27" i="30"/>
  <c r="AP27" i="30"/>
  <c r="R28" i="30"/>
  <c r="CU28" i="30" s="1"/>
  <c r="CT28" i="30"/>
  <c r="CG28" i="30"/>
  <c r="CH28" i="30" s="1"/>
  <c r="BG28" i="30"/>
  <c r="BI28" i="30"/>
  <c r="AH28" i="30"/>
  <c r="CM28" i="30"/>
  <c r="CS29" i="30"/>
  <c r="AZ29" i="30"/>
  <c r="CP29" i="30"/>
  <c r="CV29" i="30"/>
  <c r="CW29" i="30" s="1"/>
  <c r="AQ29" i="30"/>
  <c r="AP29" i="30"/>
  <c r="CQ29" i="30"/>
  <c r="DA29" i="30"/>
  <c r="BA30" i="30"/>
  <c r="CP30" i="30"/>
  <c r="CX31" i="30"/>
  <c r="CQ32" i="30"/>
  <c r="DA32" i="30"/>
  <c r="BD33" i="30"/>
  <c r="AP34" i="30"/>
  <c r="CO34" i="30"/>
  <c r="CX34" i="30"/>
  <c r="AQ35" i="30"/>
  <c r="AR35" i="30" s="1"/>
  <c r="AZ35" i="30"/>
  <c r="BQ36" i="30"/>
  <c r="BR36" i="30"/>
  <c r="AR38" i="30"/>
  <c r="BG38" i="30"/>
  <c r="BI38" i="30" s="1"/>
  <c r="CC38" i="30"/>
  <c r="AP41" i="30"/>
  <c r="BQ41" i="30"/>
  <c r="BR41" i="30" s="1"/>
  <c r="BA42" i="30"/>
  <c r="AT42" i="30"/>
  <c r="AY42" i="30" s="1"/>
  <c r="CY42" i="30"/>
  <c r="BS42" i="30"/>
  <c r="CX42" i="30"/>
  <c r="CB43" i="30"/>
  <c r="DA45" i="30"/>
  <c r="DD46" i="30"/>
  <c r="DB46" i="30"/>
  <c r="CM46" i="30"/>
  <c r="CK46" i="30"/>
  <c r="O46" i="30"/>
  <c r="AY46" i="30"/>
  <c r="CB46" i="30"/>
  <c r="CJ46" i="30"/>
  <c r="CC48" i="30"/>
  <c r="CB48" i="30"/>
  <c r="CB57" i="30"/>
  <c r="CC57" i="30"/>
  <c r="R60" i="30"/>
  <c r="AH60" i="30"/>
  <c r="AZ60" i="30"/>
  <c r="CG60" i="30"/>
  <c r="CH60" i="30" s="1"/>
  <c r="BS60" i="30"/>
  <c r="BH60" i="30"/>
  <c r="BG60" i="30"/>
  <c r="AX64" i="30"/>
  <c r="CC65" i="30"/>
  <c r="BB77" i="30"/>
  <c r="AU77" i="30"/>
  <c r="CY77" i="30"/>
  <c r="CB81" i="30"/>
  <c r="CC81" i="30"/>
  <c r="AI74" i="30"/>
  <c r="AI75" i="30"/>
  <c r="AI77" i="30"/>
  <c r="AI99" i="30"/>
  <c r="AP14" i="30"/>
  <c r="CQ14" i="30"/>
  <c r="R16" i="30"/>
  <c r="AS17" i="30"/>
  <c r="CG17" i="30"/>
  <c r="CH17" i="30" s="1"/>
  <c r="CM19" i="30"/>
  <c r="CN19" i="30"/>
  <c r="AO19" i="30"/>
  <c r="CP19" i="30"/>
  <c r="CV19" i="30" s="1"/>
  <c r="CW19" i="30" s="1"/>
  <c r="AP20" i="30"/>
  <c r="CG20" i="30"/>
  <c r="CH20" i="30" s="1"/>
  <c r="CQ20" i="30"/>
  <c r="DA20" i="30"/>
  <c r="DD22" i="30"/>
  <c r="CJ22" i="30"/>
  <c r="CL22" i="30" s="1"/>
  <c r="O22" i="30"/>
  <c r="CY22" i="30"/>
  <c r="BQ22" i="30"/>
  <c r="BR22" i="30" s="1"/>
  <c r="DB22" i="30"/>
  <c r="CK23" i="30"/>
  <c r="DA23" i="30"/>
  <c r="AZ23" i="30"/>
  <c r="BS23" i="30"/>
  <c r="BX23" i="30" s="1"/>
  <c r="BY23" i="30" s="1"/>
  <c r="CS23" i="30"/>
  <c r="AS24" i="30"/>
  <c r="AP25" i="30"/>
  <c r="CG25" i="30"/>
  <c r="CH25" i="30" s="1"/>
  <c r="CQ25" i="30"/>
  <c r="DA25" i="30"/>
  <c r="O27" i="30"/>
  <c r="DB27" i="30"/>
  <c r="CX27" i="30"/>
  <c r="CC27" i="30"/>
  <c r="AR28" i="30"/>
  <c r="AW28" i="30"/>
  <c r="CO28" i="30"/>
  <c r="CX28" i="30"/>
  <c r="CY29" i="30"/>
  <c r="BQ29" i="30"/>
  <c r="BR29" i="30"/>
  <c r="DB29" i="30"/>
  <c r="AT30" i="30"/>
  <c r="CH30" i="30"/>
  <c r="CQ30" i="30"/>
  <c r="AT31" i="30"/>
  <c r="AY31" i="30"/>
  <c r="CP31" i="30"/>
  <c r="CV31" i="30"/>
  <c r="CW31" i="30" s="1"/>
  <c r="CY31" i="30"/>
  <c r="AS32" i="30"/>
  <c r="BQ32" i="30"/>
  <c r="BR32" i="30"/>
  <c r="DB32" i="30"/>
  <c r="CQ34" i="30"/>
  <c r="DA34" i="30"/>
  <c r="AO34" i="30"/>
  <c r="AQ34" i="30"/>
  <c r="AR34" i="30" s="1"/>
  <c r="AY34" i="30"/>
  <c r="CP34" i="30"/>
  <c r="CY34" i="30"/>
  <c r="CX35" i="30"/>
  <c r="BB35" i="30"/>
  <c r="BQ35" i="30"/>
  <c r="BR35" i="30" s="1"/>
  <c r="AV36" i="30"/>
  <c r="BX36" i="30"/>
  <c r="BY36" i="30" s="1"/>
  <c r="CK37" i="30"/>
  <c r="DB37" i="30"/>
  <c r="CY38" i="30"/>
  <c r="AT38" i="30"/>
  <c r="AX38" i="30"/>
  <c r="CX38" i="30"/>
  <c r="CQ38" i="30"/>
  <c r="AY38" i="30"/>
  <c r="CG38" i="30"/>
  <c r="CH38" i="30" s="1"/>
  <c r="BQ39" i="30"/>
  <c r="BR39" i="30" s="1"/>
  <c r="CM39" i="30"/>
  <c r="CQ40" i="30"/>
  <c r="BQ40" i="30"/>
  <c r="BR40" i="30" s="1"/>
  <c r="DB41" i="30"/>
  <c r="CP41" i="30"/>
  <c r="BQ42" i="30"/>
  <c r="BR42" i="30" s="1"/>
  <c r="CG42" i="30"/>
  <c r="CH42" i="30" s="1"/>
  <c r="DA42" i="30"/>
  <c r="CC45" i="30"/>
  <c r="CP45" i="30"/>
  <c r="AQ46" i="30"/>
  <c r="AR46" i="30"/>
  <c r="CC47" i="30"/>
  <c r="CB47" i="30"/>
  <c r="DB47" i="30"/>
  <c r="AS48" i="30"/>
  <c r="AO48" i="30"/>
  <c r="DB48" i="30"/>
  <c r="DA48" i="30"/>
  <c r="CQ48" i="30"/>
  <c r="AQ48" i="30"/>
  <c r="AR48" i="30"/>
  <c r="AP49" i="30"/>
  <c r="CQ49" i="30"/>
  <c r="CO50" i="30"/>
  <c r="BD50" i="30"/>
  <c r="BQ51" i="30"/>
  <c r="BR51" i="30"/>
  <c r="CK55" i="30"/>
  <c r="DB56" i="30"/>
  <c r="CB61" i="30"/>
  <c r="CD61" i="30"/>
  <c r="CY61" i="30"/>
  <c r="CO62" i="30"/>
  <c r="BD62" i="30"/>
  <c r="AW62" i="30"/>
  <c r="DB65" i="30"/>
  <c r="AQ68" i="30"/>
  <c r="AH68" i="30"/>
  <c r="AR68" i="30"/>
  <c r="R81" i="30"/>
  <c r="CS81" i="30" s="1"/>
  <c r="AZ81" i="30"/>
  <c r="BS81" i="30"/>
  <c r="BH81" i="30"/>
  <c r="BI81" i="30"/>
  <c r="CG81" i="30"/>
  <c r="CH81" i="30" s="1"/>
  <c r="CE82" i="30"/>
  <c r="CF82" i="30"/>
  <c r="CQ87" i="30"/>
  <c r="AO87" i="30"/>
  <c r="CP87" i="30"/>
  <c r="CV87" i="30" s="1"/>
  <c r="Q87" i="30"/>
  <c r="CS87" i="30"/>
  <c r="AS87" i="30"/>
  <c r="AQ87" i="30"/>
  <c r="AP87" i="30"/>
  <c r="CT87" i="30"/>
  <c r="AT19" i="30"/>
  <c r="AP21" i="30"/>
  <c r="CQ21" i="30"/>
  <c r="AP23" i="30"/>
  <c r="CQ23" i="30"/>
  <c r="CX24" i="30"/>
  <c r="AS26" i="30"/>
  <c r="DA26" i="30"/>
  <c r="AT27" i="30"/>
  <c r="AY27" i="30" s="1"/>
  <c r="AS30" i="30"/>
  <c r="AP33" i="30"/>
  <c r="AT40" i="30"/>
  <c r="CM40" i="30"/>
  <c r="CJ40" i="30"/>
  <c r="CL40" i="30"/>
  <c r="CN40" i="30" s="1"/>
  <c r="AS41" i="30"/>
  <c r="CX41" i="30"/>
  <c r="CM42" i="30"/>
  <c r="AT43" i="30"/>
  <c r="AY43" i="30"/>
  <c r="AZ43" i="30"/>
  <c r="CP43" i="30"/>
  <c r="AT45" i="30"/>
  <c r="AY45" i="30" s="1"/>
  <c r="AZ45" i="30"/>
  <c r="DB45" i="30"/>
  <c r="AK156" i="30"/>
  <c r="BB47" i="30"/>
  <c r="CX48" i="30"/>
  <c r="CY49" i="30"/>
  <c r="CM50" i="30"/>
  <c r="AO50" i="30"/>
  <c r="CK50" i="30"/>
  <c r="CY50" i="30"/>
  <c r="DD51" i="30"/>
  <c r="BA52" i="30"/>
  <c r="CO52" i="30"/>
  <c r="DB53" i="30"/>
  <c r="CP55" i="30"/>
  <c r="AO55" i="30"/>
  <c r="AQ55" i="30"/>
  <c r="CY55" i="30"/>
  <c r="AU56" i="30"/>
  <c r="CA56" i="30"/>
  <c r="CD56" i="30"/>
  <c r="CP56" i="30"/>
  <c r="CX56" i="30"/>
  <c r="AU57" i="30"/>
  <c r="BB57" i="30"/>
  <c r="CH57" i="30"/>
  <c r="CP57" i="30"/>
  <c r="AH58" i="30"/>
  <c r="CM58" i="30"/>
  <c r="AO58" i="30"/>
  <c r="AV58" i="30"/>
  <c r="CO58" i="30"/>
  <c r="AH59" i="30"/>
  <c r="CM59" i="30"/>
  <c r="AO59" i="30"/>
  <c r="CJ60" i="30"/>
  <c r="CL60" i="30" s="1"/>
  <c r="CN60" i="30" s="1"/>
  <c r="CQ60" i="30"/>
  <c r="AT61" i="30"/>
  <c r="AW61" i="30"/>
  <c r="AX61" i="30"/>
  <c r="BA61" i="30"/>
  <c r="DA61" i="30"/>
  <c r="AH62" i="30"/>
  <c r="AO62" i="30"/>
  <c r="AS63" i="30"/>
  <c r="DA63" i="30"/>
  <c r="AH64" i="30"/>
  <c r="CM64" i="30" s="1"/>
  <c r="AO64" i="30"/>
  <c r="CJ64" i="30"/>
  <c r="CY64" i="30"/>
  <c r="AU65" i="30"/>
  <c r="AX65" i="30"/>
  <c r="BB65" i="30"/>
  <c r="BQ65" i="30"/>
  <c r="BR65" i="30" s="1"/>
  <c r="DB66" i="30"/>
  <c r="AQ67" i="30"/>
  <c r="AR67" i="30"/>
  <c r="AP67" i="30"/>
  <c r="CK67" i="30"/>
  <c r="CY67" i="30"/>
  <c r="CP70" i="30"/>
  <c r="AO70" i="30"/>
  <c r="AQ70" i="30"/>
  <c r="DA71" i="30"/>
  <c r="CT71" i="30"/>
  <c r="AS71" i="30"/>
  <c r="CS71" i="30"/>
  <c r="CP71" i="30"/>
  <c r="CV71" i="30" s="1"/>
  <c r="CW71" i="30" s="1"/>
  <c r="AH71" i="30"/>
  <c r="AO71" i="30"/>
  <c r="AQ71" i="30"/>
  <c r="AR71" i="30"/>
  <c r="CQ71" i="30"/>
  <c r="CY72" i="30"/>
  <c r="DB72" i="30"/>
  <c r="AT72" i="30"/>
  <c r="AX72" i="30" s="1"/>
  <c r="AU72" i="30"/>
  <c r="DA72" i="30"/>
  <c r="DB73" i="30"/>
  <c r="AZ73" i="30"/>
  <c r="AQ73" i="30"/>
  <c r="AS73" i="30"/>
  <c r="CT73" i="30"/>
  <c r="CP73" i="30"/>
  <c r="AP73" i="30"/>
  <c r="BS75" i="30"/>
  <c r="BX75" i="30"/>
  <c r="BY75" i="30" s="1"/>
  <c r="CU75" i="30"/>
  <c r="DB84" i="30"/>
  <c r="CC85" i="30"/>
  <c r="CB85" i="30"/>
  <c r="CQ86" i="30"/>
  <c r="AO86" i="30"/>
  <c r="CP86" i="30"/>
  <c r="DB86" i="30"/>
  <c r="AS86" i="30"/>
  <c r="AQ86" i="30"/>
  <c r="AR86" i="30" s="1"/>
  <c r="DA86" i="30"/>
  <c r="BV86" i="30"/>
  <c r="BX86" i="30"/>
  <c r="BY86" i="30"/>
  <c r="CO88" i="30"/>
  <c r="BD88" i="30"/>
  <c r="CL90" i="30"/>
  <c r="AS91" i="30"/>
  <c r="CQ91" i="30"/>
  <c r="CP91" i="30"/>
  <c r="AQ91" i="30"/>
  <c r="DA91" i="30"/>
  <c r="AO91" i="30"/>
  <c r="BA93" i="30"/>
  <c r="CY93" i="30"/>
  <c r="AT93" i="30"/>
  <c r="AQ93" i="30"/>
  <c r="CX93" i="30"/>
  <c r="AU94" i="30"/>
  <c r="CY94" i="30"/>
  <c r="AZ95" i="30"/>
  <c r="R95" i="30"/>
  <c r="CS95" i="30" s="1"/>
  <c r="CT95" i="30"/>
  <c r="CG95" i="30"/>
  <c r="CH95" i="30"/>
  <c r="AV95" i="30"/>
  <c r="AY95" i="30" s="1"/>
  <c r="AQ95" i="30"/>
  <c r="BS95" i="30"/>
  <c r="BA98" i="30"/>
  <c r="AT98" i="30"/>
  <c r="CY98" i="30"/>
  <c r="CT98" i="30"/>
  <c r="DA98" i="30"/>
  <c r="AQ98" i="30"/>
  <c r="AH98" i="30"/>
  <c r="AR98" i="30" s="1"/>
  <c r="CN99" i="30"/>
  <c r="CM100" i="30"/>
  <c r="CN100" i="30" s="1"/>
  <c r="CW100" i="30"/>
  <c r="BC102" i="30"/>
  <c r="BV102" i="30"/>
  <c r="CC102" i="30"/>
  <c r="CB102" i="30"/>
  <c r="AP50" i="30"/>
  <c r="DB54" i="30"/>
  <c r="CM54" i="30"/>
  <c r="DD55" i="30"/>
  <c r="CJ55" i="30"/>
  <c r="DA55" i="30"/>
  <c r="AP58" i="30"/>
  <c r="CP58" i="30"/>
  <c r="CV58" i="30" s="1"/>
  <c r="CW58" i="30" s="1"/>
  <c r="CS58" i="30"/>
  <c r="AP59" i="30"/>
  <c r="AP62" i="30"/>
  <c r="CP62" i="30"/>
  <c r="CK64" i="30"/>
  <c r="CU66" i="30"/>
  <c r="CM67" i="30"/>
  <c r="CY71" i="30"/>
  <c r="BA71" i="30"/>
  <c r="AT71" i="30"/>
  <c r="CB73" i="30"/>
  <c r="CC73" i="30"/>
  <c r="CC75" i="30"/>
  <c r="CB75" i="30"/>
  <c r="CB76" i="30"/>
  <c r="CC76" i="30"/>
  <c r="CR77" i="30"/>
  <c r="BL77" i="30"/>
  <c r="BQ77" i="30" s="1"/>
  <c r="BR77" i="30"/>
  <c r="Z77" i="30"/>
  <c r="CD77" i="30"/>
  <c r="CJ78" i="30"/>
  <c r="CJ79" i="30"/>
  <c r="CC79" i="30"/>
  <c r="CB79" i="30"/>
  <c r="CK82" i="30"/>
  <c r="DD82" i="30"/>
  <c r="CJ82" i="30"/>
  <c r="O82" i="30"/>
  <c r="DB82" i="30"/>
  <c r="CO82" i="30"/>
  <c r="BV87" i="30"/>
  <c r="BC87" i="30"/>
  <c r="AU87" i="30"/>
  <c r="CX87" i="30"/>
  <c r="AV97" i="30"/>
  <c r="CT97" i="30"/>
  <c r="AO97" i="30"/>
  <c r="CB97" i="30"/>
  <c r="CC97" i="30"/>
  <c r="CP97" i="30"/>
  <c r="CV97" i="30" s="1"/>
  <c r="CW97" i="30" s="1"/>
  <c r="CS97" i="30"/>
  <c r="AH97" i="30"/>
  <c r="CM97" i="30" s="1"/>
  <c r="CN97" i="30" s="1"/>
  <c r="CC109" i="30"/>
  <c r="CB109" i="30"/>
  <c r="CP126" i="30"/>
  <c r="DB126" i="30"/>
  <c r="AZ126" i="30"/>
  <c r="DA126" i="30"/>
  <c r="CT126" i="30"/>
  <c r="AS126" i="30"/>
  <c r="CS126" i="30"/>
  <c r="AO126" i="30"/>
  <c r="CQ126" i="30"/>
  <c r="AQ126" i="30"/>
  <c r="AR126" i="30"/>
  <c r="AP126" i="30"/>
  <c r="AP40" i="30"/>
  <c r="BB40" i="30"/>
  <c r="DB40" i="30"/>
  <c r="AO41" i="30"/>
  <c r="DA41" i="30"/>
  <c r="DB42" i="30"/>
  <c r="AP43" i="30"/>
  <c r="BB43" i="30"/>
  <c r="CR43" i="30"/>
  <c r="AP45" i="30"/>
  <c r="BB45" i="30"/>
  <c r="BX45" i="30"/>
  <c r="BY45" i="30" s="1"/>
  <c r="CQ45" i="30"/>
  <c r="AO46" i="30"/>
  <c r="BA46" i="30"/>
  <c r="CY46" i="30"/>
  <c r="AM156" i="30"/>
  <c r="DB50" i="30"/>
  <c r="CQ51" i="30"/>
  <c r="AP51" i="30"/>
  <c r="CP51" i="30"/>
  <c r="AO52" i="30"/>
  <c r="CY52" i="30"/>
  <c r="CO54" i="30"/>
  <c r="DD54" i="30"/>
  <c r="O55" i="30"/>
  <c r="AH55" i="30"/>
  <c r="CM55" i="30"/>
  <c r="DB55" i="30"/>
  <c r="CQ56" i="30"/>
  <c r="AQ56" i="30"/>
  <c r="AR56" i="30" s="1"/>
  <c r="DA56" i="30"/>
  <c r="AP57" i="30"/>
  <c r="CX57" i="30"/>
  <c r="AQ58" i="30"/>
  <c r="AR58" i="30" s="1"/>
  <c r="CQ58" i="30"/>
  <c r="CP59" i="30"/>
  <c r="BQ60" i="30"/>
  <c r="BR60" i="30" s="1"/>
  <c r="DB60" i="30"/>
  <c r="AH61" i="30"/>
  <c r="CM61" i="30"/>
  <c r="CG61" i="30"/>
  <c r="CH61" i="30" s="1"/>
  <c r="CK62" i="30"/>
  <c r="CL62" i="30" s="1"/>
  <c r="AQ62" i="30"/>
  <c r="AR62" i="30"/>
  <c r="CJ62" i="30"/>
  <c r="BQ63" i="30"/>
  <c r="BR63" i="30"/>
  <c r="R64" i="30"/>
  <c r="CT64" i="30"/>
  <c r="CP65" i="30"/>
  <c r="AQ65" i="30"/>
  <c r="AP65" i="30"/>
  <c r="CQ65" i="30"/>
  <c r="CX65" i="30"/>
  <c r="BX66" i="30"/>
  <c r="BY66" i="30" s="1"/>
  <c r="CO66" i="30"/>
  <c r="DB67" i="30"/>
  <c r="BB68" i="30"/>
  <c r="BQ68" i="30"/>
  <c r="BR68" i="30" s="1"/>
  <c r="CX68" i="30"/>
  <c r="DD70" i="30"/>
  <c r="CJ70" i="30"/>
  <c r="DB70" i="30"/>
  <c r="O70" i="30"/>
  <c r="BD70" i="30"/>
  <c r="CK70" i="30"/>
  <c r="CH71" i="30"/>
  <c r="BD78" i="30"/>
  <c r="AW78" i="30"/>
  <c r="CF80" i="30"/>
  <c r="CE80" i="30"/>
  <c r="BD82" i="30"/>
  <c r="AW82" i="30"/>
  <c r="AP82" i="30"/>
  <c r="BQ82" i="30"/>
  <c r="BR82" i="30" s="1"/>
  <c r="CM85" i="30"/>
  <c r="DD85" i="30"/>
  <c r="CJ85" i="30"/>
  <c r="O85" i="30"/>
  <c r="CO85" i="30"/>
  <c r="DB85" i="30"/>
  <c r="CK85" i="30"/>
  <c r="CK88" i="30"/>
  <c r="CY90" i="30"/>
  <c r="CX90" i="30"/>
  <c r="AT90" i="30"/>
  <c r="BA90" i="30"/>
  <c r="AO90" i="30"/>
  <c r="CB90" i="30"/>
  <c r="CC90" i="30"/>
  <c r="BQ91" i="30"/>
  <c r="BR91" i="30"/>
  <c r="BZ92" i="30"/>
  <c r="BX92" i="30"/>
  <c r="BY92" i="30" s="1"/>
  <c r="CC95" i="30"/>
  <c r="CB95" i="30"/>
  <c r="BC96" i="30"/>
  <c r="CU96" i="30"/>
  <c r="CB96" i="30"/>
  <c r="CO97" i="30"/>
  <c r="AO101" i="30"/>
  <c r="AQ101" i="30"/>
  <c r="AS21" i="30"/>
  <c r="AY22" i="30"/>
  <c r="AS23" i="30"/>
  <c r="AP26" i="30"/>
  <c r="AT29" i="30"/>
  <c r="AY29" i="30" s="1"/>
  <c r="AP30" i="30"/>
  <c r="AT32" i="30"/>
  <c r="O40" i="30"/>
  <c r="AQ40" i="30"/>
  <c r="AR40" i="30"/>
  <c r="AO42" i="30"/>
  <c r="CJ42" i="30"/>
  <c r="CL42" i="30" s="1"/>
  <c r="CN42" i="30" s="1"/>
  <c r="CP42" i="30"/>
  <c r="CV42" i="30" s="1"/>
  <c r="CW42" i="30" s="1"/>
  <c r="DD42" i="30"/>
  <c r="AQ43" i="30"/>
  <c r="AR43" i="30"/>
  <c r="CS43" i="30"/>
  <c r="AQ45" i="30"/>
  <c r="AR45" i="30"/>
  <c r="CP46" i="30"/>
  <c r="AP46" i="30"/>
  <c r="DA46" i="30"/>
  <c r="AW47" i="30"/>
  <c r="BD47" i="30"/>
  <c r="AG49" i="30"/>
  <c r="CO49" i="30" s="1"/>
  <c r="AU49" i="30"/>
  <c r="BQ49" i="30"/>
  <c r="BR49" i="30" s="1"/>
  <c r="R50" i="30"/>
  <c r="DD50" i="30"/>
  <c r="AQ51" i="30"/>
  <c r="AR51" i="30"/>
  <c r="CB51" i="30"/>
  <c r="CJ51" i="30"/>
  <c r="CL51" i="30" s="1"/>
  <c r="CP52" i="30"/>
  <c r="CS52" i="30"/>
  <c r="CV52" i="30"/>
  <c r="CW52" i="30"/>
  <c r="AZ52" i="30"/>
  <c r="AP52" i="30"/>
  <c r="DA52" i="30"/>
  <c r="AU53" i="30"/>
  <c r="AX53" i="30"/>
  <c r="CP53" i="30"/>
  <c r="AU54" i="30"/>
  <c r="CH54" i="30"/>
  <c r="AY55" i="30"/>
  <c r="BB55" i="30"/>
  <c r="BQ55" i="30"/>
  <c r="BR55" i="30" s="1"/>
  <c r="AQ57" i="30"/>
  <c r="AR57" i="30" s="1"/>
  <c r="CS57" i="30"/>
  <c r="AS58" i="30"/>
  <c r="AZ58" i="30"/>
  <c r="CY58" i="30"/>
  <c r="CQ59" i="30"/>
  <c r="AO60" i="30"/>
  <c r="AP61" i="30"/>
  <c r="CP61" i="30"/>
  <c r="O62" i="30"/>
  <c r="AS62" i="30"/>
  <c r="DA62" i="30"/>
  <c r="AH63" i="30"/>
  <c r="CM63" i="30"/>
  <c r="CN63" i="30" s="1"/>
  <c r="BD63" i="30"/>
  <c r="AZ64" i="30"/>
  <c r="CU64" i="30"/>
  <c r="DD65" i="30"/>
  <c r="CJ65" i="30"/>
  <c r="CK65" i="30"/>
  <c r="CL65" i="30"/>
  <c r="O65" i="30"/>
  <c r="AX66" i="30"/>
  <c r="CP66" i="30"/>
  <c r="DD67" i="30"/>
  <c r="CJ68" i="30"/>
  <c r="CL68" i="30" s="1"/>
  <c r="CM68" i="30"/>
  <c r="CN68" i="30" s="1"/>
  <c r="AV68" i="30"/>
  <c r="CY68" i="30"/>
  <c r="AH69" i="30"/>
  <c r="CM69" i="30" s="1"/>
  <c r="CN69" i="30" s="1"/>
  <c r="CJ69" i="30"/>
  <c r="CL69" i="30" s="1"/>
  <c r="AW71" i="30"/>
  <c r="BQ71" i="30"/>
  <c r="BR71" i="30" s="1"/>
  <c r="CX72" i="30"/>
  <c r="AG73" i="30"/>
  <c r="CO73" i="30"/>
  <c r="BC73" i="30"/>
  <c r="AV73" i="30"/>
  <c r="BL74" i="30"/>
  <c r="BQ74" i="30"/>
  <c r="BR74" i="30" s="1"/>
  <c r="BB74" i="30"/>
  <c r="CX74" i="30"/>
  <c r="CH74" i="30"/>
  <c r="CD76" i="30"/>
  <c r="AU85" i="30"/>
  <c r="CX85" i="30"/>
  <c r="BB85" i="30"/>
  <c r="BQ87" i="30"/>
  <c r="BR87" i="30" s="1"/>
  <c r="DA90" i="30"/>
  <c r="CK91" i="30"/>
  <c r="DD91" i="30"/>
  <c r="CJ91" i="30"/>
  <c r="CL91" i="30"/>
  <c r="O91" i="30"/>
  <c r="DB91" i="30"/>
  <c r="CO91" i="30"/>
  <c r="CO93" i="30"/>
  <c r="AH93" i="30"/>
  <c r="CM93" i="30"/>
  <c r="CJ93" i="30"/>
  <c r="CK93" i="30"/>
  <c r="CL93" i="30"/>
  <c r="CP93" i="30"/>
  <c r="CQ95" i="30"/>
  <c r="DN96" i="30"/>
  <c r="AT97" i="30"/>
  <c r="AY97" i="30" s="1"/>
  <c r="DA97" i="30"/>
  <c r="CJ98" i="30"/>
  <c r="CL98" i="30"/>
  <c r="CO98" i="30"/>
  <c r="CX103" i="30"/>
  <c r="BA103" i="30"/>
  <c r="AO103" i="30"/>
  <c r="AT103" i="30"/>
  <c r="DB103" i="30"/>
  <c r="CJ103" i="30"/>
  <c r="AV108" i="30"/>
  <c r="DA108" i="30"/>
  <c r="AQ108" i="30"/>
  <c r="AR108" i="30" s="1"/>
  <c r="AH108" i="30"/>
  <c r="CM108" i="30" s="1"/>
  <c r="BC108" i="30"/>
  <c r="AQ41" i="30"/>
  <c r="AR41" i="30" s="1"/>
  <c r="AP42" i="30"/>
  <c r="CT43" i="30"/>
  <c r="DD139" i="30"/>
  <c r="O139" i="30"/>
  <c r="CK139" i="30"/>
  <c r="AP47" i="30"/>
  <c r="DD49" i="30"/>
  <c r="CJ49" i="30"/>
  <c r="CP50" i="30"/>
  <c r="AX51" i="30"/>
  <c r="AQ52" i="30"/>
  <c r="AR52" i="30" s="1"/>
  <c r="CT52" i="30"/>
  <c r="DB52" i="30"/>
  <c r="AO53" i="30"/>
  <c r="CY53" i="30"/>
  <c r="CJ54" i="30"/>
  <c r="CL54" i="30" s="1"/>
  <c r="CO55" i="30"/>
  <c r="N57" i="30"/>
  <c r="CT57" i="30"/>
  <c r="CM60" i="30"/>
  <c r="CX61" i="30"/>
  <c r="AQ61" i="30"/>
  <c r="AR61" i="30" s="1"/>
  <c r="CQ61" i="30"/>
  <c r="CM62" i="30"/>
  <c r="CN62" i="30" s="1"/>
  <c r="DB62" i="30"/>
  <c r="CP63" i="30"/>
  <c r="AQ63" i="30"/>
  <c r="AR63" i="30"/>
  <c r="AP63" i="30"/>
  <c r="CQ63" i="30"/>
  <c r="BS64" i="30"/>
  <c r="DA65" i="30"/>
  <c r="AO66" i="30"/>
  <c r="CY66" i="30"/>
  <c r="CH68" i="30"/>
  <c r="CQ69" i="30"/>
  <c r="AH70" i="30"/>
  <c r="CM70" i="30"/>
  <c r="CO70" i="30"/>
  <c r="CY70" i="30"/>
  <c r="CC71" i="30"/>
  <c r="CB71" i="30"/>
  <c r="CX71" i="30"/>
  <c r="AO72" i="30"/>
  <c r="CP72" i="30"/>
  <c r="CJ74" i="30"/>
  <c r="CL74" i="30"/>
  <c r="CN74" i="30" s="1"/>
  <c r="CO74" i="30"/>
  <c r="CB74" i="30"/>
  <c r="DA80" i="30"/>
  <c r="CT80" i="30"/>
  <c r="AS80" i="30"/>
  <c r="CS80" i="30"/>
  <c r="AQ80" i="30"/>
  <c r="AH80" i="30"/>
  <c r="CM80" i="30" s="1"/>
  <c r="CP80" i="30"/>
  <c r="AO80" i="30"/>
  <c r="AZ80" i="30"/>
  <c r="DB80" i="30"/>
  <c r="CY81" i="30"/>
  <c r="AT81" i="30"/>
  <c r="CX81" i="30"/>
  <c r="CQ81" i="30"/>
  <c r="CP81" i="30"/>
  <c r="CV81" i="30"/>
  <c r="CW81" i="30" s="1"/>
  <c r="BA81" i="30"/>
  <c r="AQ81" i="30"/>
  <c r="AR81" i="30" s="1"/>
  <c r="BB88" i="30"/>
  <c r="BA88" i="30"/>
  <c r="AU88" i="30"/>
  <c r="AX88" i="30" s="1"/>
  <c r="CC94" i="30"/>
  <c r="CB94" i="30"/>
  <c r="AX98" i="30"/>
  <c r="AY98" i="30"/>
  <c r="CS110" i="30"/>
  <c r="CV110" i="30"/>
  <c r="CW110" i="30" s="1"/>
  <c r="CB112" i="30"/>
  <c r="CC112" i="30"/>
  <c r="T156" i="30"/>
  <c r="AP53" i="30"/>
  <c r="AP56" i="30"/>
  <c r="AP64" i="30"/>
  <c r="AP66" i="30"/>
  <c r="AP69" i="30"/>
  <c r="CM71" i="30"/>
  <c r="CU73" i="30"/>
  <c r="BS73" i="30"/>
  <c r="BX73" i="30" s="1"/>
  <c r="BY73" i="30" s="1"/>
  <c r="CY73" i="30"/>
  <c r="CD74" i="30"/>
  <c r="CJ75" i="30"/>
  <c r="CL75" i="30" s="1"/>
  <c r="AH75" i="30"/>
  <c r="CM75" i="30"/>
  <c r="BQ75" i="30"/>
  <c r="BR75" i="30" s="1"/>
  <c r="CO75" i="30"/>
  <c r="CH76" i="30"/>
  <c r="CX77" i="30"/>
  <c r="BD80" i="30"/>
  <c r="AW80" i="30"/>
  <c r="BB83" i="30"/>
  <c r="CH83" i="30"/>
  <c r="AP84" i="30"/>
  <c r="DA85" i="30"/>
  <c r="AO85" i="30"/>
  <c r="AS85" i="30"/>
  <c r="CP85" i="30"/>
  <c r="AQ85" i="30"/>
  <c r="AR85" i="30" s="1"/>
  <c r="BA87" i="30"/>
  <c r="CY87" i="30"/>
  <c r="BT87" i="30"/>
  <c r="BZ87" i="30" s="1"/>
  <c r="AO89" i="30"/>
  <c r="AQ89" i="30"/>
  <c r="AH91" i="30"/>
  <c r="CM91" i="30"/>
  <c r="BD91" i="30"/>
  <c r="AW91" i="30"/>
  <c r="CP94" i="30"/>
  <c r="AO94" i="30"/>
  <c r="DA94" i="30"/>
  <c r="AS94" i="30"/>
  <c r="AQ94" i="30"/>
  <c r="AR94" i="30" s="1"/>
  <c r="BA95" i="30"/>
  <c r="AT95" i="30"/>
  <c r="CY95" i="30"/>
  <c r="BQ95" i="30"/>
  <c r="BR95" i="30" s="1"/>
  <c r="DA95" i="30"/>
  <c r="BX96" i="30"/>
  <c r="BY96" i="30" s="1"/>
  <c r="BB96" i="30"/>
  <c r="AU96" i="30"/>
  <c r="CD96" i="30"/>
  <c r="BC97" i="30"/>
  <c r="CU102" i="30"/>
  <c r="BB102" i="30"/>
  <c r="AU102" i="30"/>
  <c r="CY102" i="30"/>
  <c r="CS102" i="30"/>
  <c r="AP103" i="30"/>
  <c r="AH105" i="30"/>
  <c r="CM105" i="30" s="1"/>
  <c r="CJ105" i="30"/>
  <c r="CL105" i="30"/>
  <c r="CO105" i="30"/>
  <c r="AO106" i="30"/>
  <c r="CD106" i="30"/>
  <c r="AW107" i="30"/>
  <c r="BD107" i="30"/>
  <c r="CC111" i="30"/>
  <c r="CB111" i="30"/>
  <c r="CK113" i="30"/>
  <c r="DD113" i="30"/>
  <c r="CJ113" i="30"/>
  <c r="O113" i="30"/>
  <c r="CO113" i="30"/>
  <c r="CC117" i="30"/>
  <c r="CB117" i="30"/>
  <c r="BD77" i="30"/>
  <c r="BQ83" i="30"/>
  <c r="BR83" i="30"/>
  <c r="CC83" i="30"/>
  <c r="CB83" i="30"/>
  <c r="CN83" i="30"/>
  <c r="BH84" i="30"/>
  <c r="BI84" i="30" s="1"/>
  <c r="CG84" i="30"/>
  <c r="CH84" i="30" s="1"/>
  <c r="AZ84" i="30"/>
  <c r="CT84" i="30"/>
  <c r="AZ86" i="30"/>
  <c r="AP88" i="30"/>
  <c r="AY88" i="30"/>
  <c r="BQ88" i="30"/>
  <c r="BR88" i="30"/>
  <c r="BS90" i="30"/>
  <c r="R90" i="30"/>
  <c r="BV90" i="30" s="1"/>
  <c r="AZ90" i="30"/>
  <c r="CT90" i="30"/>
  <c r="DB93" i="30"/>
  <c r="CO94" i="30"/>
  <c r="AH95" i="30"/>
  <c r="CM95" i="30" s="1"/>
  <c r="CN95" i="30" s="1"/>
  <c r="CJ95" i="30"/>
  <c r="CL95" i="30" s="1"/>
  <c r="CO95" i="30"/>
  <c r="CH99" i="30"/>
  <c r="AT99" i="30"/>
  <c r="CY99" i="30"/>
  <c r="CE99" i="30"/>
  <c r="BB119" i="30"/>
  <c r="BA119" i="30"/>
  <c r="BD119" i="30"/>
  <c r="AU119" i="30"/>
  <c r="AX119" i="30"/>
  <c r="CY119" i="30"/>
  <c r="CC125" i="30"/>
  <c r="CB125" i="30"/>
  <c r="BX74" i="30"/>
  <c r="BY74" i="30"/>
  <c r="BX77" i="30"/>
  <c r="BY77" i="30" s="1"/>
  <c r="DN77" i="30"/>
  <c r="BQ78" i="30"/>
  <c r="BR78" i="30"/>
  <c r="CP79" i="30"/>
  <c r="AO79" i="30"/>
  <c r="DB79" i="30"/>
  <c r="AZ79" i="30"/>
  <c r="DA79" i="30"/>
  <c r="CT79" i="30"/>
  <c r="AS79" i="30"/>
  <c r="AQ79" i="30"/>
  <c r="CQ79" i="30"/>
  <c r="AS82" i="30"/>
  <c r="CQ82" i="30"/>
  <c r="CP82" i="30"/>
  <c r="AQ82" i="30"/>
  <c r="AR82" i="30" s="1"/>
  <c r="DA82" i="30"/>
  <c r="AO82" i="30"/>
  <c r="CO84" i="30"/>
  <c r="CM84" i="30"/>
  <c r="BC86" i="30"/>
  <c r="CC86" i="30"/>
  <c r="CB86" i="30"/>
  <c r="CH87" i="30"/>
  <c r="DB88" i="30"/>
  <c r="CP88" i="30"/>
  <c r="CG90" i="30"/>
  <c r="CH90" i="30" s="1"/>
  <c r="CY92" i="30"/>
  <c r="BH93" i="30"/>
  <c r="CG93" i="30"/>
  <c r="CH93" i="30"/>
  <c r="BG93" i="30"/>
  <c r="AZ93" i="30"/>
  <c r="R93" i="30"/>
  <c r="BQ96" i="30"/>
  <c r="BR96" i="30" s="1"/>
  <c r="CQ97" i="30"/>
  <c r="CC98" i="30"/>
  <c r="CB98" i="30"/>
  <c r="CH98" i="30"/>
  <c r="AH102" i="30"/>
  <c r="CO104" i="30"/>
  <c r="BD104" i="30"/>
  <c r="AW104" i="30"/>
  <c r="CC108" i="30"/>
  <c r="CB108" i="30"/>
  <c r="BA118" i="30"/>
  <c r="AT118" i="30"/>
  <c r="AY118" i="30" s="1"/>
  <c r="AU118" i="30"/>
  <c r="CY118" i="30"/>
  <c r="CX118" i="30"/>
  <c r="AQ118" i="30"/>
  <c r="DA118" i="30"/>
  <c r="AV120" i="30"/>
  <c r="AY120" i="30" s="1"/>
  <c r="DA120" i="30"/>
  <c r="AO120" i="30"/>
  <c r="CP120" i="30"/>
  <c r="DB123" i="30"/>
  <c r="AZ123" i="30"/>
  <c r="DA123" i="30"/>
  <c r="CT123" i="30"/>
  <c r="AO123" i="30"/>
  <c r="CS123" i="30"/>
  <c r="AS123" i="30"/>
  <c r="CP123" i="30"/>
  <c r="CV123" i="30" s="1"/>
  <c r="AQ123" i="30"/>
  <c r="AP123" i="30"/>
  <c r="CQ123" i="30"/>
  <c r="BC124" i="30"/>
  <c r="AV124" i="30"/>
  <c r="AW124" i="30"/>
  <c r="AX124" i="30"/>
  <c r="DB124" i="30"/>
  <c r="CK125" i="30"/>
  <c r="CO125" i="30"/>
  <c r="BP139" i="30"/>
  <c r="BQ139" i="30" s="1"/>
  <c r="BR139" i="30" s="1"/>
  <c r="CX73" i="30"/>
  <c r="BA75" i="30"/>
  <c r="BS76" i="30"/>
  <c r="BX76" i="30"/>
  <c r="BY76" i="30" s="1"/>
  <c r="CX76" i="30"/>
  <c r="BA78" i="30"/>
  <c r="BS79" i="30"/>
  <c r="BX79" i="30" s="1"/>
  <c r="BY79" i="30"/>
  <c r="CX79" i="30"/>
  <c r="BA80" i="30"/>
  <c r="AP81" i="30"/>
  <c r="CX83" i="30"/>
  <c r="CK84" i="30"/>
  <c r="CL84" i="30" s="1"/>
  <c r="CN84" i="30" s="1"/>
  <c r="CQ84" i="30"/>
  <c r="CS86" i="30"/>
  <c r="CY86" i="30"/>
  <c r="CJ87" i="30"/>
  <c r="CL87" i="30" s="1"/>
  <c r="CX88" i="30"/>
  <c r="AP90" i="30"/>
  <c r="DB90" i="30"/>
  <c r="CX92" i="30"/>
  <c r="CQ93" i="30"/>
  <c r="CX94" i="30"/>
  <c r="AS96" i="30"/>
  <c r="CG96" i="30"/>
  <c r="CH96" i="30"/>
  <c r="CT96" i="30"/>
  <c r="DA96" i="30"/>
  <c r="AZ97" i="30"/>
  <c r="BV97" i="30"/>
  <c r="BX97" i="30"/>
  <c r="BY97" i="30"/>
  <c r="CU97" i="30"/>
  <c r="DB97" i="30"/>
  <c r="CS98" i="30"/>
  <c r="AO100" i="30"/>
  <c r="CW101" i="30"/>
  <c r="AS102" i="30"/>
  <c r="BS102" i="30"/>
  <c r="CX102" i="30"/>
  <c r="DA103" i="30"/>
  <c r="AO104" i="30"/>
  <c r="CQ104" i="30"/>
  <c r="DN104" i="30"/>
  <c r="AP105" i="30"/>
  <c r="BQ105" i="30"/>
  <c r="BR105" i="30"/>
  <c r="BT105" i="30"/>
  <c r="BZ105" i="30"/>
  <c r="DA106" i="30"/>
  <c r="CJ108" i="30"/>
  <c r="CL108" i="30" s="1"/>
  <c r="CO108" i="30"/>
  <c r="AS111" i="30"/>
  <c r="CQ111" i="30"/>
  <c r="CP111" i="30"/>
  <c r="CV111" i="30" s="1"/>
  <c r="CW111" i="30" s="1"/>
  <c r="AQ111" i="30"/>
  <c r="DA111" i="30"/>
  <c r="AO111" i="30"/>
  <c r="DN111" i="30"/>
  <c r="AH113" i="30"/>
  <c r="CM113" i="30"/>
  <c r="BD113" i="30"/>
  <c r="AW113" i="30"/>
  <c r="CB114" i="30"/>
  <c r="CJ114" i="30"/>
  <c r="CK114" i="30"/>
  <c r="CL114" i="30" s="1"/>
  <c r="DA114" i="30"/>
  <c r="CM115" i="30"/>
  <c r="O115" i="30"/>
  <c r="DD115" i="30"/>
  <c r="CJ115" i="30"/>
  <c r="CL115" i="30" s="1"/>
  <c r="DA116" i="30"/>
  <c r="CP117" i="30"/>
  <c r="AO117" i="30"/>
  <c r="DA117" i="30"/>
  <c r="AS117" i="30"/>
  <c r="AQ117" i="30"/>
  <c r="AR117" i="30"/>
  <c r="CC118" i="30"/>
  <c r="CB118" i="30"/>
  <c r="CD119" i="30"/>
  <c r="DA121" i="30"/>
  <c r="AS121" i="30"/>
  <c r="AQ121" i="30"/>
  <c r="AR121" i="30"/>
  <c r="CP121" i="30"/>
  <c r="AO121" i="30"/>
  <c r="CQ121" i="30"/>
  <c r="CB123" i="30"/>
  <c r="CC123" i="30"/>
  <c r="CH123" i="30"/>
  <c r="AH124" i="30"/>
  <c r="CM124" i="30" s="1"/>
  <c r="CO124" i="30"/>
  <c r="CA124" i="30"/>
  <c r="CD124" i="30"/>
  <c r="CD126" i="30"/>
  <c r="CJ128" i="30"/>
  <c r="CO128" i="30"/>
  <c r="AH128" i="30"/>
  <c r="CM128" i="30"/>
  <c r="CJ136" i="30"/>
  <c r="CL136" i="30"/>
  <c r="AH136" i="30"/>
  <c r="CM136" i="30"/>
  <c r="CN136" i="30" s="1"/>
  <c r="AW136" i="30"/>
  <c r="BD136" i="30"/>
  <c r="CO136" i="30"/>
  <c r="AG143" i="30"/>
  <c r="CO143" i="30"/>
  <c r="BD143" i="30"/>
  <c r="AW143" i="30"/>
  <c r="AP100" i="30"/>
  <c r="CO103" i="30"/>
  <c r="AP104" i="30"/>
  <c r="BS104" i="30"/>
  <c r="CQ105" i="30"/>
  <c r="AO105" i="30"/>
  <c r="CP105" i="30"/>
  <c r="DA105" i="30"/>
  <c r="AQ105" i="30"/>
  <c r="AR105" i="30"/>
  <c r="AP107" i="30"/>
  <c r="CK109" i="30"/>
  <c r="BQ109" i="30"/>
  <c r="BR109" i="30"/>
  <c r="BD115" i="30"/>
  <c r="AW115" i="30"/>
  <c r="AT116" i="30"/>
  <c r="CY116" i="30"/>
  <c r="CC116" i="30"/>
  <c r="DD117" i="30"/>
  <c r="CJ117" i="30"/>
  <c r="DB117" i="30"/>
  <c r="O117" i="30"/>
  <c r="R118" i="30"/>
  <c r="CU118" i="30"/>
  <c r="AZ118" i="30"/>
  <c r="CD123" i="30"/>
  <c r="AU123" i="30"/>
  <c r="BB123" i="30"/>
  <c r="CX123" i="30"/>
  <c r="AY124" i="30"/>
  <c r="AU126" i="30"/>
  <c r="BB126" i="30"/>
  <c r="CR75" i="30"/>
  <c r="CX75" i="30"/>
  <c r="BA77" i="30"/>
  <c r="CR78" i="30"/>
  <c r="CX78" i="30"/>
  <c r="CX80" i="30"/>
  <c r="CO86" i="30"/>
  <c r="CU86" i="30"/>
  <c r="CU87" i="30"/>
  <c r="DB87" i="30"/>
  <c r="AO88" i="30"/>
  <c r="DA88" i="30"/>
  <c r="DB95" i="30"/>
  <c r="AO96" i="30"/>
  <c r="BA96" i="30"/>
  <c r="CJ96" i="30"/>
  <c r="CL96" i="30"/>
  <c r="CN96" i="30" s="1"/>
  <c r="CP96" i="30"/>
  <c r="DD96" i="30"/>
  <c r="AP97" i="30"/>
  <c r="BB97" i="30"/>
  <c r="AZ98" i="30"/>
  <c r="DB98" i="30"/>
  <c r="AQ100" i="30"/>
  <c r="CM102" i="30"/>
  <c r="AO102" i="30"/>
  <c r="BA102" i="30"/>
  <c r="BG102" i="30"/>
  <c r="BH102" i="30"/>
  <c r="BI102" i="30" s="1"/>
  <c r="CG102" i="30"/>
  <c r="CH102" i="30"/>
  <c r="CT102" i="30"/>
  <c r="DA102" i="30"/>
  <c r="CP103" i="30"/>
  <c r="DD103" i="30"/>
  <c r="P104" i="30"/>
  <c r="AQ104" i="30"/>
  <c r="AR104" i="30"/>
  <c r="AZ105" i="30"/>
  <c r="CG105" i="30"/>
  <c r="CH105" i="30" s="1"/>
  <c r="BB105" i="30"/>
  <c r="CD105" i="30"/>
  <c r="CC106" i="30"/>
  <c r="CB106" i="30"/>
  <c r="AQ107" i="30"/>
  <c r="AR107" i="30" s="1"/>
  <c r="CQ108" i="30"/>
  <c r="BB109" i="30"/>
  <c r="AU109" i="30"/>
  <c r="AX109" i="30" s="1"/>
  <c r="DB109" i="30"/>
  <c r="BQ111" i="30"/>
  <c r="BR111" i="30" s="1"/>
  <c r="AH112" i="30"/>
  <c r="CM112" i="30" s="1"/>
  <c r="AO112" i="30"/>
  <c r="AS113" i="30"/>
  <c r="CQ113" i="30"/>
  <c r="CP113" i="30"/>
  <c r="AQ113" i="30"/>
  <c r="AR113" i="30"/>
  <c r="DA113" i="30"/>
  <c r="AO113" i="30"/>
  <c r="CB113" i="30"/>
  <c r="CP114" i="30"/>
  <c r="CO115" i="30"/>
  <c r="CE116" i="30"/>
  <c r="CX116" i="30"/>
  <c r="CK117" i="30"/>
  <c r="CY117" i="30"/>
  <c r="AH118" i="30"/>
  <c r="CM118" i="30" s="1"/>
  <c r="CN118" i="30" s="1"/>
  <c r="CO118" i="30"/>
  <c r="CB119" i="30"/>
  <c r="AQ120" i="30"/>
  <c r="AR120" i="30"/>
  <c r="BQ121" i="30"/>
  <c r="BR121" i="30"/>
  <c r="CP124" i="30"/>
  <c r="BQ124" i="30"/>
  <c r="BR124" i="30" s="1"/>
  <c r="BZ128" i="30"/>
  <c r="CB128" i="30" s="1"/>
  <c r="CE128" i="30" s="1"/>
  <c r="CN130" i="30"/>
  <c r="BB132" i="30"/>
  <c r="AU132" i="30"/>
  <c r="CQ132" i="30"/>
  <c r="CX132" i="30"/>
  <c r="CJ133" i="30"/>
  <c r="CL133" i="30" s="1"/>
  <c r="AH133" i="30"/>
  <c r="CM133" i="30"/>
  <c r="CN133" i="30" s="1"/>
  <c r="BD133" i="30"/>
  <c r="AW133" i="30"/>
  <c r="AG79" i="30"/>
  <c r="CK79" i="30" s="1"/>
  <c r="CL79" i="30" s="1"/>
  <c r="AO84" i="30"/>
  <c r="DA84" i="30"/>
  <c r="AT85" i="30"/>
  <c r="AO93" i="30"/>
  <c r="DA93" i="30"/>
  <c r="AO95" i="30"/>
  <c r="CP95" i="30"/>
  <c r="DD95" i="30"/>
  <c r="AP96" i="30"/>
  <c r="AQ97" i="30"/>
  <c r="AO98" i="30"/>
  <c r="CP98" i="30"/>
  <c r="CV98" i="30"/>
  <c r="CW98" i="30" s="1"/>
  <c r="AS100" i="30"/>
  <c r="AP102" i="30"/>
  <c r="DB102" i="30"/>
  <c r="AU103" i="30"/>
  <c r="AY103" i="30"/>
  <c r="CQ103" i="30"/>
  <c r="CG104" i="30"/>
  <c r="CH104" i="30"/>
  <c r="DB104" i="30"/>
  <c r="AS105" i="30"/>
  <c r="CQ106" i="30"/>
  <c r="CP106" i="30"/>
  <c r="AZ106" i="30"/>
  <c r="DB106" i="30"/>
  <c r="AS106" i="30"/>
  <c r="CS106" i="30"/>
  <c r="AQ106" i="30"/>
  <c r="AR106" i="30" s="1"/>
  <c r="AP106" i="30"/>
  <c r="CT106" i="30"/>
  <c r="BB107" i="30"/>
  <c r="AU107" i="30"/>
  <c r="AX107" i="30"/>
  <c r="BA108" i="30"/>
  <c r="AT108" i="30"/>
  <c r="AY108" i="30" s="1"/>
  <c r="CY108" i="30"/>
  <c r="BX108" i="30"/>
  <c r="BY108" i="30"/>
  <c r="CK111" i="30"/>
  <c r="DD111" i="30"/>
  <c r="CJ111" i="30"/>
  <c r="CL111" i="30"/>
  <c r="O111" i="30"/>
  <c r="AH111" i="30"/>
  <c r="CM111" i="30" s="1"/>
  <c r="CN111" i="30" s="1"/>
  <c r="CT112" i="30"/>
  <c r="AH114" i="30"/>
  <c r="CM114" i="30" s="1"/>
  <c r="AO114" i="30"/>
  <c r="DA115" i="30"/>
  <c r="AS115" i="30"/>
  <c r="AQ115" i="30"/>
  <c r="AR115" i="30"/>
  <c r="CP115" i="30"/>
  <c r="AO115" i="30"/>
  <c r="CQ115" i="30"/>
  <c r="CO117" i="30"/>
  <c r="CM117" i="30"/>
  <c r="CT118" i="30"/>
  <c r="CQ119" i="30"/>
  <c r="CM121" i="30"/>
  <c r="O121" i="30"/>
  <c r="DD121" i="30"/>
  <c r="CJ121" i="30"/>
  <c r="CN122" i="30"/>
  <c r="CB124" i="30"/>
  <c r="AV125" i="30"/>
  <c r="BC125" i="30"/>
  <c r="CY131" i="30"/>
  <c r="BT131" i="30"/>
  <c r="BA131" i="30"/>
  <c r="CC132" i="30"/>
  <c r="AQ88" i="30"/>
  <c r="AR88" i="30"/>
  <c r="AP95" i="30"/>
  <c r="AQ96" i="30"/>
  <c r="AR96" i="30"/>
  <c r="AP98" i="30"/>
  <c r="CJ102" i="30"/>
  <c r="CL102" i="30"/>
  <c r="AS104" i="30"/>
  <c r="R105" i="30"/>
  <c r="CS105" i="30" s="1"/>
  <c r="CV105" i="30" s="1"/>
  <c r="CW105" i="30" s="1"/>
  <c r="CX105" i="30"/>
  <c r="CH106" i="30"/>
  <c r="BQ108" i="30"/>
  <c r="BR108" i="30" s="1"/>
  <c r="CT108" i="30"/>
  <c r="AH109" i="30"/>
  <c r="CM109" i="30" s="1"/>
  <c r="BD109" i="30"/>
  <c r="BA109" i="30"/>
  <c r="DN109" i="30"/>
  <c r="BD111" i="30"/>
  <c r="AW111" i="30"/>
  <c r="CO111" i="30"/>
  <c r="DB111" i="30"/>
  <c r="BQ113" i="30"/>
  <c r="BR113" i="30"/>
  <c r="AQ114" i="30"/>
  <c r="AR114" i="30" s="1"/>
  <c r="AX114" i="30"/>
  <c r="CC114" i="30"/>
  <c r="CB115" i="30"/>
  <c r="BA116" i="30"/>
  <c r="BB117" i="30"/>
  <c r="CQ117" i="30"/>
  <c r="DN117" i="30"/>
  <c r="CQ118" i="30"/>
  <c r="BS118" i="30"/>
  <c r="BX118" i="30" s="1"/>
  <c r="BY118" i="30" s="1"/>
  <c r="CK119" i="30"/>
  <c r="CX119" i="30"/>
  <c r="BQ119" i="30"/>
  <c r="BR119" i="30" s="1"/>
  <c r="CM120" i="30"/>
  <c r="BD121" i="30"/>
  <c r="AW121" i="30"/>
  <c r="CK121" i="30"/>
  <c r="DB121" i="30"/>
  <c r="BI122" i="30"/>
  <c r="BQ123" i="30"/>
  <c r="BR123" i="30" s="1"/>
  <c r="CJ124" i="30"/>
  <c r="CL124" i="30" s="1"/>
  <c r="CN124" i="30" s="1"/>
  <c r="BB128" i="30"/>
  <c r="BF128" i="30" s="1"/>
  <c r="AU128" i="30"/>
  <c r="CY128" i="30"/>
  <c r="CX128" i="30"/>
  <c r="CO133" i="30"/>
  <c r="CA134" i="30"/>
  <c r="CD134" i="30" s="1"/>
  <c r="CY106" i="30"/>
  <c r="CS108" i="30"/>
  <c r="DA109" i="30"/>
  <c r="AZ110" i="30"/>
  <c r="BV110" i="30"/>
  <c r="BX110" i="30"/>
  <c r="BY110" i="30" s="1"/>
  <c r="CU110" i="30"/>
  <c r="DB110" i="30"/>
  <c r="AZ112" i="30"/>
  <c r="BV112" i="30"/>
  <c r="BX112" i="30"/>
  <c r="BY112" i="30" s="1"/>
  <c r="CU112" i="30"/>
  <c r="DB112" i="30"/>
  <c r="AZ114" i="30"/>
  <c r="DB114" i="30"/>
  <c r="AP116" i="30"/>
  <c r="CK116" i="30"/>
  <c r="CL116" i="30" s="1"/>
  <c r="CQ116" i="30"/>
  <c r="CX117" i="30"/>
  <c r="CJ118" i="30"/>
  <c r="CL118" i="30" s="1"/>
  <c r="CG119" i="30"/>
  <c r="CH119" i="30"/>
  <c r="DA119" i="30"/>
  <c r="DB120" i="30"/>
  <c r="CT124" i="30"/>
  <c r="CJ125" i="30"/>
  <c r="CL125" i="30"/>
  <c r="CN125" i="30" s="1"/>
  <c r="AH125" i="30"/>
  <c r="CM125" i="30"/>
  <c r="DA125" i="30"/>
  <c r="BA126" i="30"/>
  <c r="AT126" i="30"/>
  <c r="CY126" i="30"/>
  <c r="CX126" i="30"/>
  <c r="BD127" i="30"/>
  <c r="AW127" i="30"/>
  <c r="BC128" i="30"/>
  <c r="AV128" i="30"/>
  <c r="BA128" i="30"/>
  <c r="CB129" i="30"/>
  <c r="CC129" i="30"/>
  <c r="CQ129" i="30"/>
  <c r="CQ131" i="30"/>
  <c r="CP132" i="30"/>
  <c r="CV132" i="30" s="1"/>
  <c r="AU133" i="30"/>
  <c r="AV133" i="30"/>
  <c r="DA135" i="30"/>
  <c r="AY140" i="30"/>
  <c r="CF140" i="30"/>
  <c r="CE140" i="30"/>
  <c r="BA142" i="30"/>
  <c r="BC142" i="30"/>
  <c r="BE142" i="30" s="1"/>
  <c r="BF142" i="30"/>
  <c r="CC144" i="30"/>
  <c r="CB144" i="30"/>
  <c r="CO106" i="30"/>
  <c r="AO107" i="30"/>
  <c r="BA107" i="30"/>
  <c r="BF107" i="30" s="1"/>
  <c r="AZ108" i="30"/>
  <c r="DB108" i="30"/>
  <c r="AO109" i="30"/>
  <c r="CJ109" i="30"/>
  <c r="CL109" i="30"/>
  <c r="CP109" i="30"/>
  <c r="DD109" i="30"/>
  <c r="AP110" i="30"/>
  <c r="BB110" i="30"/>
  <c r="AP112" i="30"/>
  <c r="BB112" i="30"/>
  <c r="AP114" i="30"/>
  <c r="CQ114" i="30"/>
  <c r="CX115" i="30"/>
  <c r="DB118" i="30"/>
  <c r="AO119" i="30"/>
  <c r="CJ119" i="30"/>
  <c r="CP119" i="30"/>
  <c r="DD119" i="30"/>
  <c r="AP120" i="30"/>
  <c r="CQ120" i="30"/>
  <c r="CX121" i="30"/>
  <c r="CJ123" i="30"/>
  <c r="CL123" i="30" s="1"/>
  <c r="CY123" i="30"/>
  <c r="BD124" i="30"/>
  <c r="CQ125" i="30"/>
  <c r="CC126" i="30"/>
  <c r="CB126" i="30"/>
  <c r="CB127" i="30"/>
  <c r="CP130" i="30"/>
  <c r="AO130" i="30"/>
  <c r="DB130" i="30"/>
  <c r="DA130" i="30"/>
  <c r="AS130" i="30"/>
  <c r="AQ130" i="30"/>
  <c r="AR130" i="30" s="1"/>
  <c r="CU132" i="30"/>
  <c r="BH132" i="30"/>
  <c r="CT132" i="30"/>
  <c r="CG132" i="30"/>
  <c r="CH132" i="30"/>
  <c r="BG132" i="30"/>
  <c r="O160" i="30"/>
  <c r="CS132" i="30"/>
  <c r="AZ132" i="30"/>
  <c r="BC132" i="30"/>
  <c r="AV132" i="30"/>
  <c r="BA134" i="30"/>
  <c r="CY134" i="30"/>
  <c r="AT134" i="30"/>
  <c r="CX134" i="30"/>
  <c r="BZ134" i="30"/>
  <c r="CP134" i="30"/>
  <c r="CQ135" i="30"/>
  <c r="AU135" i="30"/>
  <c r="AQ137" i="30"/>
  <c r="AR137" i="30" s="1"/>
  <c r="CP138" i="30"/>
  <c r="DA138" i="30"/>
  <c r="CQ138" i="30"/>
  <c r="AS138" i="30"/>
  <c r="AQ138" i="30"/>
  <c r="AR138" i="30"/>
  <c r="AP138" i="30"/>
  <c r="AV142" i="30"/>
  <c r="AP142" i="30"/>
  <c r="DD143" i="30"/>
  <c r="CJ143" i="30"/>
  <c r="CL143" i="30" s="1"/>
  <c r="CN143" i="30" s="1"/>
  <c r="CK143" i="30"/>
  <c r="O143" i="30"/>
  <c r="AO108" i="30"/>
  <c r="CP108" i="30"/>
  <c r="CV108" i="30" s="1"/>
  <c r="CW108" i="30" s="1"/>
  <c r="AP109" i="30"/>
  <c r="AQ110" i="30"/>
  <c r="AR110" i="30" s="1"/>
  <c r="AQ112" i="30"/>
  <c r="AR112" i="30" s="1"/>
  <c r="BS114" i="30"/>
  <c r="CX114" i="30"/>
  <c r="AS116" i="30"/>
  <c r="AT117" i="30"/>
  <c r="AO118" i="30"/>
  <c r="CP118" i="30"/>
  <c r="DD118" i="30"/>
  <c r="AP119" i="30"/>
  <c r="O120" i="30"/>
  <c r="AW120" i="30"/>
  <c r="AX120" i="30" s="1"/>
  <c r="CX120" i="30"/>
  <c r="AO124" i="30"/>
  <c r="BA125" i="30"/>
  <c r="AO125" i="30"/>
  <c r="BQ125" i="30"/>
  <c r="BR125" i="30"/>
  <c r="CP128" i="30"/>
  <c r="CV128" i="30"/>
  <c r="CW128" i="30" s="1"/>
  <c r="AZ130" i="30"/>
  <c r="CT130" i="30"/>
  <c r="CG130" i="30"/>
  <c r="CH130" i="30" s="1"/>
  <c r="BQ130" i="30"/>
  <c r="BR130" i="30" s="1"/>
  <c r="BS130" i="30"/>
  <c r="BQ131" i="30"/>
  <c r="BR131" i="30"/>
  <c r="CO132" i="30"/>
  <c r="AH132" i="30"/>
  <c r="CM132" i="30" s="1"/>
  <c r="BB134" i="30"/>
  <c r="AU134" i="30"/>
  <c r="CX135" i="30"/>
  <c r="BZ136" i="30"/>
  <c r="AP137" i="30"/>
  <c r="AH142" i="30"/>
  <c r="CM142" i="30" s="1"/>
  <c r="CJ142" i="30"/>
  <c r="CL142" i="30" s="1"/>
  <c r="BD142" i="30"/>
  <c r="AW142" i="30"/>
  <c r="BZ142" i="30"/>
  <c r="BQ142" i="30"/>
  <c r="BR142" i="30" s="1"/>
  <c r="DB142" i="30"/>
  <c r="AP108" i="30"/>
  <c r="AQ109" i="30"/>
  <c r="CS112" i="30"/>
  <c r="CV112" i="30" s="1"/>
  <c r="CW112" i="30" s="1"/>
  <c r="AP118" i="30"/>
  <c r="AQ119" i="30"/>
  <c r="AR119" i="30" s="1"/>
  <c r="CS124" i="30"/>
  <c r="AQ124" i="30"/>
  <c r="AR124" i="30" s="1"/>
  <c r="AP124" i="30"/>
  <c r="AZ124" i="30"/>
  <c r="CQ124" i="30"/>
  <c r="DA124" i="30"/>
  <c r="BB125" i="30"/>
  <c r="AU125" i="30"/>
  <c r="CX125" i="30"/>
  <c r="CH126" i="30"/>
  <c r="CQ128" i="30"/>
  <c r="BX128" i="30"/>
  <c r="BY128" i="30" s="1"/>
  <c r="DB129" i="30"/>
  <c r="AZ129" i="30"/>
  <c r="DA129" i="30"/>
  <c r="CT129" i="30"/>
  <c r="AS129" i="30"/>
  <c r="CS129" i="30"/>
  <c r="CV129" i="30" s="1"/>
  <c r="CW129" i="30" s="1"/>
  <c r="AQ129" i="30"/>
  <c r="AR129" i="30"/>
  <c r="AP129" i="30"/>
  <c r="BA130" i="30"/>
  <c r="BT130" i="30"/>
  <c r="BZ130" i="30"/>
  <c r="CC130" i="30" s="1"/>
  <c r="Q130" i="30"/>
  <c r="CS130" i="30"/>
  <c r="CX130" i="30"/>
  <c r="CP131" i="30"/>
  <c r="AS131" i="30"/>
  <c r="DA131" i="30"/>
  <c r="AQ131" i="30"/>
  <c r="AP131" i="30"/>
  <c r="BQ132" i="30"/>
  <c r="BR132" i="30"/>
  <c r="AO133" i="30"/>
  <c r="BQ133" i="30"/>
  <c r="BR133" i="30"/>
  <c r="DB133" i="30"/>
  <c r="CY135" i="30"/>
  <c r="BB135" i="30"/>
  <c r="BD135" i="30"/>
  <c r="Q137" i="30"/>
  <c r="CY137" i="30"/>
  <c r="BT137" i="30"/>
  <c r="BA137" i="30"/>
  <c r="CX137" i="30"/>
  <c r="AO137" i="30"/>
  <c r="CQ137" i="30"/>
  <c r="CP137" i="30"/>
  <c r="AT137" i="30"/>
  <c r="DB137" i="30"/>
  <c r="AD144" i="30"/>
  <c r="BW144" i="30"/>
  <c r="DM144" i="30"/>
  <c r="AP127" i="30"/>
  <c r="AV127" i="30"/>
  <c r="BX127" i="30"/>
  <c r="BY127" i="30"/>
  <c r="CQ127" i="30"/>
  <c r="AT128" i="30"/>
  <c r="CT128" i="30"/>
  <c r="DA128" i="30"/>
  <c r="AW129" i="30"/>
  <c r="CX129" i="30"/>
  <c r="AT132" i="30"/>
  <c r="AX132" i="30"/>
  <c r="CJ132" i="30"/>
  <c r="CY132" i="30"/>
  <c r="CP133" i="30"/>
  <c r="AS134" i="30"/>
  <c r="CJ134" i="30"/>
  <c r="CQ134" i="30"/>
  <c r="CO135" i="30"/>
  <c r="L136" i="30"/>
  <c r="CR136" i="30"/>
  <c r="AO136" i="30"/>
  <c r="AZ137" i="30"/>
  <c r="CG137" i="30"/>
  <c r="CH137" i="30" s="1"/>
  <c r="DD138" i="30"/>
  <c r="CJ138" i="30"/>
  <c r="CO138" i="30"/>
  <c r="AL139" i="30"/>
  <c r="CP139" i="30" s="1"/>
  <c r="AP139" i="30"/>
  <c r="AP160" i="30" s="1"/>
  <c r="BD140" i="30"/>
  <c r="AW140" i="30"/>
  <c r="AX140" i="30"/>
  <c r="CO140" i="30"/>
  <c r="DB140" i="30"/>
  <c r="CR143" i="30"/>
  <c r="BM150" i="30"/>
  <c r="AK143" i="30"/>
  <c r="AU143" i="30" s="1"/>
  <c r="CP143" i="30"/>
  <c r="X144" i="30"/>
  <c r="CX124" i="30"/>
  <c r="CP125" i="30"/>
  <c r="AQ127" i="30"/>
  <c r="AR127" i="30"/>
  <c r="CX127" i="30"/>
  <c r="AO128" i="30"/>
  <c r="DB128" i="30"/>
  <c r="CY129" i="30"/>
  <c r="AO132" i="30"/>
  <c r="BA132" i="30"/>
  <c r="DA132" i="30"/>
  <c r="AP133" i="30"/>
  <c r="BB133" i="30"/>
  <c r="CQ133" i="30"/>
  <c r="AZ134" i="30"/>
  <c r="CP135" i="30"/>
  <c r="CQ136" i="30"/>
  <c r="AQ136" i="30"/>
  <c r="AR136" i="30" s="1"/>
  <c r="AP136" i="30"/>
  <c r="DA136" i="30"/>
  <c r="O138" i="30"/>
  <c r="CX138" i="30"/>
  <c r="W156" i="30"/>
  <c r="Z139" i="30"/>
  <c r="AQ139" i="30"/>
  <c r="AH140" i="30"/>
  <c r="CM140" i="30" s="1"/>
  <c r="CP140" i="30"/>
  <c r="CS140" i="30"/>
  <c r="CV140" i="30" s="1"/>
  <c r="CW140" i="30"/>
  <c r="DA142" i="30"/>
  <c r="CT142" i="30"/>
  <c r="CS142" i="30"/>
  <c r="AQ142" i="30"/>
  <c r="AR142" i="30" s="1"/>
  <c r="CQ142" i="30"/>
  <c r="AO142" i="30"/>
  <c r="AS142" i="30"/>
  <c r="BN143" i="30"/>
  <c r="BN150" i="30"/>
  <c r="AZ144" i="30"/>
  <c r="AP125" i="30"/>
  <c r="CS127" i="30"/>
  <c r="AP128" i="30"/>
  <c r="DB131" i="30"/>
  <c r="DB132" i="30"/>
  <c r="AO134" i="30"/>
  <c r="CS134" i="30"/>
  <c r="DA134" i="30"/>
  <c r="AH135" i="30"/>
  <c r="CM135" i="30"/>
  <c r="CN135" i="30" s="1"/>
  <c r="AO135" i="30"/>
  <c r="CB135" i="30"/>
  <c r="CX136" i="30"/>
  <c r="DB136" i="30"/>
  <c r="AT138" i="30"/>
  <c r="BA138" i="30"/>
  <c r="CK138" i="30"/>
  <c r="X156" i="30"/>
  <c r="AK160" i="30"/>
  <c r="AS139" i="30"/>
  <c r="BA139" i="30"/>
  <c r="CC139" i="30"/>
  <c r="CB139" i="30"/>
  <c r="CQ140" i="30"/>
  <c r="CG143" i="30"/>
  <c r="CH143" i="30" s="1"/>
  <c r="AS127" i="30"/>
  <c r="CT127" i="30"/>
  <c r="AQ128" i="30"/>
  <c r="AR128" i="30" s="1"/>
  <c r="AT129" i="30"/>
  <c r="CJ131" i="30"/>
  <c r="AQ132" i="30"/>
  <c r="AR132" i="30" s="1"/>
  <c r="DD132" i="30"/>
  <c r="CS133" i="30"/>
  <c r="AP134" i="30"/>
  <c r="CT134" i="30"/>
  <c r="AQ135" i="30"/>
  <c r="AR135" i="30"/>
  <c r="AP135" i="30"/>
  <c r="AD156" i="30"/>
  <c r="AD151" i="30"/>
  <c r="DA140" i="30"/>
  <c r="CT140" i="30"/>
  <c r="CY140" i="30"/>
  <c r="AQ140" i="30"/>
  <c r="AR140" i="30" s="1"/>
  <c r="BA140" i="30"/>
  <c r="CH140" i="30"/>
  <c r="AH143" i="30"/>
  <c r="CM143" i="30" s="1"/>
  <c r="AS144" i="30"/>
  <c r="AV145" i="30"/>
  <c r="AQ145" i="30"/>
  <c r="CF145" i="30"/>
  <c r="CE145" i="30"/>
  <c r="AO140" i="30"/>
  <c r="AH145" i="30"/>
  <c r="AC146" i="30"/>
  <c r="AC147" i="30"/>
  <c r="CN173" i="30"/>
  <c r="LW11" i="26"/>
  <c r="LI13" i="26"/>
  <c r="LM13" i="26"/>
  <c r="LS13" i="26"/>
  <c r="LH14" i="26"/>
  <c r="J14" i="26"/>
  <c r="E14" i="26" s="1"/>
  <c r="H14" i="26"/>
  <c r="LG12" i="26"/>
  <c r="LF12" i="26" s="1"/>
  <c r="LT12" i="26"/>
  <c r="LQ14" i="26"/>
  <c r="LP15" i="26"/>
  <c r="LF11" i="26"/>
  <c r="LR14" i="26"/>
  <c r="LW17" i="26"/>
  <c r="J11" i="26"/>
  <c r="LL14" i="26"/>
  <c r="LU8" i="26"/>
  <c r="LU9" i="26" s="1"/>
  <c r="JT8" i="26"/>
  <c r="K13" i="26"/>
  <c r="J13" i="26"/>
  <c r="E13" i="26" s="1"/>
  <c r="H13" i="26"/>
  <c r="L8" i="26"/>
  <c r="LW14" i="26"/>
  <c r="LW18" i="26"/>
  <c r="R8" i="26"/>
  <c r="LT29" i="26"/>
  <c r="K33" i="26"/>
  <c r="J33" i="26" s="1"/>
  <c r="E33" i="26"/>
  <c r="H33" i="26" s="1"/>
  <c r="LW19" i="26"/>
  <c r="LT23" i="26"/>
  <c r="J25" i="26"/>
  <c r="E25" i="26" s="1"/>
  <c r="H25" i="26"/>
  <c r="K27" i="26"/>
  <c r="J27" i="26" s="1"/>
  <c r="E27" i="26" s="1"/>
  <c r="H27" i="26"/>
  <c r="K24" i="26"/>
  <c r="J24" i="26"/>
  <c r="E24" i="26" s="1"/>
  <c r="H24" i="26" s="1"/>
  <c r="LW28" i="26"/>
  <c r="LW16" i="26"/>
  <c r="LW25" i="26"/>
  <c r="LT32" i="26"/>
  <c r="LT34" i="26"/>
  <c r="AC147" i="29"/>
  <c r="CT59" i="29"/>
  <c r="AC142" i="29"/>
  <c r="BV20" i="30"/>
  <c r="BX20" i="30" s="1"/>
  <c r="BY20" i="30" s="1"/>
  <c r="BC20" i="30"/>
  <c r="CT20" i="30"/>
  <c r="CE28" i="30"/>
  <c r="CF28" i="30"/>
  <c r="CE67" i="29"/>
  <c r="CF67" i="29"/>
  <c r="CF114" i="30"/>
  <c r="CE114" i="30"/>
  <c r="CC105" i="30"/>
  <c r="CB105" i="30"/>
  <c r="AY96" i="30"/>
  <c r="AX96" i="30"/>
  <c r="BV93" i="30"/>
  <c r="BX93" i="30" s="1"/>
  <c r="BY93" i="30"/>
  <c r="BC93" i="30"/>
  <c r="CC87" i="30"/>
  <c r="DB57" i="30"/>
  <c r="CM57" i="30"/>
  <c r="CK57" i="30"/>
  <c r="CJ57" i="30"/>
  <c r="DD57" i="30"/>
  <c r="CG85" i="30"/>
  <c r="CH85" i="30" s="1"/>
  <c r="BG85" i="30"/>
  <c r="BH85" i="30"/>
  <c r="BI85" i="30"/>
  <c r="R85" i="30"/>
  <c r="CU85" i="30" s="1"/>
  <c r="CS85" i="30"/>
  <c r="AZ85" i="30"/>
  <c r="BS85" i="30"/>
  <c r="AR91" i="30"/>
  <c r="CV140" i="29"/>
  <c r="CX140" i="29" s="1"/>
  <c r="CW140" i="29"/>
  <c r="BA140" i="29"/>
  <c r="AT140" i="29"/>
  <c r="CF66" i="30"/>
  <c r="CE66" i="30"/>
  <c r="AX19" i="30"/>
  <c r="AY19" i="30"/>
  <c r="CD67" i="30"/>
  <c r="CB67" i="30"/>
  <c r="CE67" i="30" s="1"/>
  <c r="BC139" i="29"/>
  <c r="AV139" i="29"/>
  <c r="CF17" i="30"/>
  <c r="CE17" i="30"/>
  <c r="BV132" i="29"/>
  <c r="BC132" i="29"/>
  <c r="CF125" i="29"/>
  <c r="CE125" i="29"/>
  <c r="AY124" i="29"/>
  <c r="CF122" i="29"/>
  <c r="CE122" i="29"/>
  <c r="BF81" i="29"/>
  <c r="BE81" i="29"/>
  <c r="CD14" i="30"/>
  <c r="CD147" i="30" s="1"/>
  <c r="CF131" i="29"/>
  <c r="CE131" i="29"/>
  <c r="AY123" i="29"/>
  <c r="AX123" i="29"/>
  <c r="AY96" i="29"/>
  <c r="AX96" i="29"/>
  <c r="AY93" i="29"/>
  <c r="AX93" i="29"/>
  <c r="BN139" i="29"/>
  <c r="AK139" i="29"/>
  <c r="CV139" i="29"/>
  <c r="Z139" i="29"/>
  <c r="AH110" i="29"/>
  <c r="AR110" i="29" s="1"/>
  <c r="CJ110" i="29"/>
  <c r="CL110" i="29"/>
  <c r="BF93" i="29"/>
  <c r="AX113" i="29"/>
  <c r="AY113" i="29"/>
  <c r="AY105" i="29"/>
  <c r="AX105" i="29"/>
  <c r="BF41" i="29"/>
  <c r="BE41" i="29"/>
  <c r="AX41" i="29"/>
  <c r="AY41" i="29"/>
  <c r="BF15" i="29"/>
  <c r="BE15" i="29"/>
  <c r="AY14" i="29"/>
  <c r="BF45" i="29"/>
  <c r="BE45" i="29"/>
  <c r="LR15" i="26"/>
  <c r="LS14" i="26"/>
  <c r="CM145" i="30"/>
  <c r="CW145" i="30"/>
  <c r="AR145" i="30"/>
  <c r="DL144" i="30"/>
  <c r="W144" i="30"/>
  <c r="AM144" i="30"/>
  <c r="BP144" i="30"/>
  <c r="BP150" i="30"/>
  <c r="AY134" i="30"/>
  <c r="CU144" i="30"/>
  <c r="AG144" i="30"/>
  <c r="CK144" i="30"/>
  <c r="AD8" i="30"/>
  <c r="AY131" i="30"/>
  <c r="CY130" i="30"/>
  <c r="CF127" i="30"/>
  <c r="CE127" i="30"/>
  <c r="CW132" i="30"/>
  <c r="BS111" i="30"/>
  <c r="R111" i="30"/>
  <c r="CT111" i="30" s="1"/>
  <c r="CG111" i="30"/>
  <c r="CH111" i="30"/>
  <c r="BG111" i="30"/>
  <c r="BI111" i="30" s="1"/>
  <c r="BH111" i="30"/>
  <c r="AZ111" i="30"/>
  <c r="CU111" i="30"/>
  <c r="CS111" i="30"/>
  <c r="AY106" i="30"/>
  <c r="AX106" i="30"/>
  <c r="AY105" i="30"/>
  <c r="AX105" i="30"/>
  <c r="AR97" i="30"/>
  <c r="CV124" i="30"/>
  <c r="CW124" i="30"/>
  <c r="R117" i="30"/>
  <c r="AZ117" i="30"/>
  <c r="CT117" i="30"/>
  <c r="CG117" i="30"/>
  <c r="CH117" i="30"/>
  <c r="BS117" i="30"/>
  <c r="AY107" i="30"/>
  <c r="CF123" i="30"/>
  <c r="CE123" i="30"/>
  <c r="AY117" i="30"/>
  <c r="AY109" i="30"/>
  <c r="AX103" i="30"/>
  <c r="BF97" i="30"/>
  <c r="BE97" i="30"/>
  <c r="CF98" i="30"/>
  <c r="CE98" i="30"/>
  <c r="CU93" i="30"/>
  <c r="CU90" i="30"/>
  <c r="CE111" i="30"/>
  <c r="CF111" i="30"/>
  <c r="BB87" i="30"/>
  <c r="BU87" i="30"/>
  <c r="AY85" i="30"/>
  <c r="AX85" i="30"/>
  <c r="AY80" i="30"/>
  <c r="AX80" i="30"/>
  <c r="AZ139" i="30"/>
  <c r="R139" i="30"/>
  <c r="CS139" i="30"/>
  <c r="CV139" i="30" s="1"/>
  <c r="BS139" i="30"/>
  <c r="S139" i="30"/>
  <c r="CT139" i="30"/>
  <c r="CG139" i="30"/>
  <c r="CH139" i="30" s="1"/>
  <c r="AY61" i="30"/>
  <c r="AX58" i="30"/>
  <c r="AY58" i="30"/>
  <c r="CF95" i="30"/>
  <c r="CE95" i="30"/>
  <c r="CL85" i="30"/>
  <c r="CL70" i="30"/>
  <c r="CN70" i="30"/>
  <c r="CG55" i="30"/>
  <c r="CH55" i="30" s="1"/>
  <c r="BS55" i="30"/>
  <c r="R55" i="30"/>
  <c r="CT55" i="30" s="1"/>
  <c r="AZ55" i="30"/>
  <c r="CV126" i="30"/>
  <c r="CW126" i="30"/>
  <c r="CE76" i="30"/>
  <c r="CF76" i="30"/>
  <c r="AR95" i="30"/>
  <c r="CV86" i="30"/>
  <c r="CW86" i="30" s="1"/>
  <c r="AR70" i="30"/>
  <c r="CL64" i="30"/>
  <c r="AY87" i="30"/>
  <c r="AX87" i="30"/>
  <c r="BV81" i="30"/>
  <c r="BC81" i="30"/>
  <c r="CE61" i="30"/>
  <c r="CF61" i="30"/>
  <c r="CE47" i="30"/>
  <c r="CF47" i="30"/>
  <c r="CN22" i="30"/>
  <c r="AY65" i="30"/>
  <c r="CE48" i="30"/>
  <c r="CF48" i="30"/>
  <c r="CT46" i="30"/>
  <c r="CS46" i="30"/>
  <c r="BS46" i="30"/>
  <c r="BX46" i="30"/>
  <c r="BY46" i="30" s="1"/>
  <c r="CG46" i="30"/>
  <c r="CH46" i="30" s="1"/>
  <c r="CU46" i="30"/>
  <c r="AZ46" i="30"/>
  <c r="CF43" i="30"/>
  <c r="CE43" i="30"/>
  <c r="AX31" i="30"/>
  <c r="AR29" i="30"/>
  <c r="BC17" i="30"/>
  <c r="CU17" i="30"/>
  <c r="BV17" i="30"/>
  <c r="BX17" i="30" s="1"/>
  <c r="BY17" i="30" s="1"/>
  <c r="BE54" i="30"/>
  <c r="BF54" i="30"/>
  <c r="AY54" i="30"/>
  <c r="AX42" i="30"/>
  <c r="CV35" i="30"/>
  <c r="CW35" i="30"/>
  <c r="CV32" i="30"/>
  <c r="CW32" i="30"/>
  <c r="AX29" i="30"/>
  <c r="CS20" i="30"/>
  <c r="CF37" i="30"/>
  <c r="CE37" i="30"/>
  <c r="AR84" i="30"/>
  <c r="BV42" i="30"/>
  <c r="BC42" i="30"/>
  <c r="AX33" i="30"/>
  <c r="AK147" i="30"/>
  <c r="CH14" i="30"/>
  <c r="CH147" i="30" s="1"/>
  <c r="AY18" i="30"/>
  <c r="CG133" i="29"/>
  <c r="CH133" i="29" s="1"/>
  <c r="CS133" i="29"/>
  <c r="CR133" i="29"/>
  <c r="BS133" i="29"/>
  <c r="BX133" i="29"/>
  <c r="BY133" i="29" s="1"/>
  <c r="CQ133" i="29"/>
  <c r="AZ133" i="29"/>
  <c r="AY132" i="29"/>
  <c r="AX132" i="29"/>
  <c r="CB69" i="30"/>
  <c r="CC69" i="30"/>
  <c r="CC139" i="29"/>
  <c r="AS136" i="29"/>
  <c r="CL133" i="29"/>
  <c r="CX131" i="29"/>
  <c r="CN30" i="30"/>
  <c r="CE19" i="30"/>
  <c r="CF19" i="30"/>
  <c r="CF130" i="29"/>
  <c r="CE130" i="29"/>
  <c r="CO128" i="29"/>
  <c r="BN147" i="30"/>
  <c r="BB119" i="29"/>
  <c r="BF119" i="29" s="1"/>
  <c r="AU119" i="29"/>
  <c r="CQ119" i="29"/>
  <c r="CV119" i="29"/>
  <c r="CW119" i="29"/>
  <c r="CX119" i="29"/>
  <c r="AQ119" i="29"/>
  <c r="CH136" i="29"/>
  <c r="BF126" i="29"/>
  <c r="BE126" i="29"/>
  <c r="CR119" i="29"/>
  <c r="CT117" i="29"/>
  <c r="CU117" i="29" s="1"/>
  <c r="CX91" i="29"/>
  <c r="CY77" i="29"/>
  <c r="CR77" i="29"/>
  <c r="AQ77" i="29"/>
  <c r="CQ77" i="29"/>
  <c r="AP77" i="29"/>
  <c r="AS77" i="29"/>
  <c r="AZ77" i="29"/>
  <c r="AO77" i="29"/>
  <c r="CZ77" i="29"/>
  <c r="CN77" i="29"/>
  <c r="CT77" i="29"/>
  <c r="CO77" i="29"/>
  <c r="BF31" i="30"/>
  <c r="CO140" i="29"/>
  <c r="CR140" i="29"/>
  <c r="AY135" i="29"/>
  <c r="AX135" i="29"/>
  <c r="CF134" i="29"/>
  <c r="CE134" i="29"/>
  <c r="CC110" i="29"/>
  <c r="CB110" i="29"/>
  <c r="CQ132" i="29"/>
  <c r="CH119" i="29"/>
  <c r="CF137" i="29"/>
  <c r="CE137" i="29"/>
  <c r="CT108" i="29"/>
  <c r="CU108" i="29" s="1"/>
  <c r="BF91" i="29"/>
  <c r="CF79" i="29"/>
  <c r="CE79" i="29"/>
  <c r="CE127" i="29"/>
  <c r="CF127" i="29"/>
  <c r="CT107" i="29"/>
  <c r="CU107" i="29"/>
  <c r="CF98" i="29"/>
  <c r="CE98" i="29"/>
  <c r="CX89" i="29"/>
  <c r="CT86" i="29"/>
  <c r="CU86" i="29" s="1"/>
  <c r="CF85" i="29"/>
  <c r="CE85" i="29"/>
  <c r="AY53" i="29"/>
  <c r="AX53" i="29"/>
  <c r="BB136" i="29"/>
  <c r="CF64" i="29"/>
  <c r="CE64" i="29"/>
  <c r="CX72" i="29"/>
  <c r="BA50" i="29"/>
  <c r="AT50" i="29"/>
  <c r="CW50" i="29"/>
  <c r="CY50" i="29"/>
  <c r="AP50" i="29"/>
  <c r="CV50" i="29"/>
  <c r="BF94" i="29"/>
  <c r="BE94" i="29"/>
  <c r="CT103" i="29"/>
  <c r="CU103" i="29" s="1"/>
  <c r="CX77" i="29"/>
  <c r="BE54" i="29"/>
  <c r="BF54" i="29"/>
  <c r="BP143" i="29"/>
  <c r="AR57" i="29"/>
  <c r="AY57" i="29"/>
  <c r="AX57" i="29"/>
  <c r="CK50" i="29"/>
  <c r="CL50" i="29" s="1"/>
  <c r="CB103" i="29"/>
  <c r="CE90" i="29"/>
  <c r="CF90" i="29"/>
  <c r="CJ75" i="29"/>
  <c r="CL75" i="29" s="1"/>
  <c r="AH75" i="29"/>
  <c r="CM75" i="29"/>
  <c r="CF45" i="29"/>
  <c r="CE45" i="29"/>
  <c r="CF78" i="29"/>
  <c r="CE78" i="29"/>
  <c r="CE24" i="29"/>
  <c r="CF24" i="29"/>
  <c r="CT19" i="29"/>
  <c r="CU19" i="29"/>
  <c r="AX15" i="29"/>
  <c r="BF30" i="29"/>
  <c r="AR73" i="29"/>
  <c r="CX58" i="29"/>
  <c r="BF38" i="29"/>
  <c r="BE38" i="29"/>
  <c r="CX22" i="29"/>
  <c r="CB14" i="29"/>
  <c r="CC14" i="29"/>
  <c r="CC143" i="29" s="1"/>
  <c r="CF42" i="29"/>
  <c r="CE42" i="29"/>
  <c r="CF18" i="29"/>
  <c r="CE18" i="29"/>
  <c r="AY55" i="29"/>
  <c r="AX55" i="29"/>
  <c r="CT40" i="29"/>
  <c r="CU40" i="29" s="1"/>
  <c r="AX37" i="29"/>
  <c r="CX71" i="29"/>
  <c r="CT61" i="29"/>
  <c r="CU61" i="29"/>
  <c r="AY39" i="29"/>
  <c r="AY34" i="29"/>
  <c r="CO139" i="30"/>
  <c r="AH139" i="30"/>
  <c r="AY115" i="30"/>
  <c r="AX115" i="30"/>
  <c r="CU105" i="30"/>
  <c r="CF106" i="30"/>
  <c r="CE106" i="30"/>
  <c r="AY79" i="30"/>
  <c r="AX79" i="30"/>
  <c r="CE125" i="30"/>
  <c r="CF125" i="30"/>
  <c r="BF102" i="30"/>
  <c r="AY94" i="30"/>
  <c r="AX94" i="30"/>
  <c r="CF51" i="30"/>
  <c r="CE51" i="30"/>
  <c r="LP16" i="26"/>
  <c r="LQ15" i="26"/>
  <c r="AO139" i="30"/>
  <c r="AV139" i="30"/>
  <c r="AX139" i="30" s="1"/>
  <c r="AQ143" i="30"/>
  <c r="AR143" i="30"/>
  <c r="CL138" i="30"/>
  <c r="CV133" i="30"/>
  <c r="CW133" i="30"/>
  <c r="CV134" i="30"/>
  <c r="BI132" i="30"/>
  <c r="CF126" i="30"/>
  <c r="CE126" i="30"/>
  <c r="CF144" i="30"/>
  <c r="CE144" i="30"/>
  <c r="CF115" i="30"/>
  <c r="CE115" i="30"/>
  <c r="CL121" i="30"/>
  <c r="CN102" i="30"/>
  <c r="CG115" i="30"/>
  <c r="CH115" i="30" s="1"/>
  <c r="R115" i="30"/>
  <c r="CS115" i="30" s="1"/>
  <c r="CV115" i="30" s="1"/>
  <c r="CW115" i="30" s="1"/>
  <c r="BS115" i="30"/>
  <c r="AZ115" i="30"/>
  <c r="AR111" i="30"/>
  <c r="DB99" i="30"/>
  <c r="AZ99" i="30"/>
  <c r="DA99" i="30"/>
  <c r="CT99" i="30"/>
  <c r="AS99" i="30"/>
  <c r="CS99" i="30"/>
  <c r="CQ99" i="30"/>
  <c r="AP99" i="30"/>
  <c r="CP99" i="30"/>
  <c r="AQ99" i="30"/>
  <c r="AR99" i="30"/>
  <c r="AO99" i="30"/>
  <c r="BF123" i="30"/>
  <c r="BE123" i="30"/>
  <c r="CS93" i="30"/>
  <c r="BE80" i="30"/>
  <c r="BF80" i="30"/>
  <c r="AH49" i="30"/>
  <c r="CQ74" i="30"/>
  <c r="AP74" i="30"/>
  <c r="CP74" i="30"/>
  <c r="DA74" i="30"/>
  <c r="CT74" i="30"/>
  <c r="AS74" i="30"/>
  <c r="AO74" i="30"/>
  <c r="DB74" i="30"/>
  <c r="CS74" i="30"/>
  <c r="AZ74" i="30"/>
  <c r="AQ74" i="30"/>
  <c r="AR74" i="30"/>
  <c r="CF90" i="30"/>
  <c r="CE90" i="30"/>
  <c r="AY126" i="30"/>
  <c r="CE109" i="30"/>
  <c r="CF109" i="30"/>
  <c r="CF97" i="30"/>
  <c r="CE97" i="30"/>
  <c r="BS82" i="30"/>
  <c r="R82" i="30"/>
  <c r="CT82" i="30" s="1"/>
  <c r="CG82" i="30"/>
  <c r="CH82" i="30" s="1"/>
  <c r="BG82" i="30"/>
  <c r="BH82" i="30"/>
  <c r="BI82" i="30" s="1"/>
  <c r="AZ82" i="30"/>
  <c r="CO79" i="30"/>
  <c r="CJ77" i="30"/>
  <c r="CL77" i="30"/>
  <c r="AH77" i="30"/>
  <c r="CM77" i="30"/>
  <c r="CN77" i="30"/>
  <c r="CO77" i="30"/>
  <c r="CE73" i="30"/>
  <c r="CF73" i="30"/>
  <c r="CL55" i="30"/>
  <c r="CN55" i="30"/>
  <c r="CU95" i="30"/>
  <c r="CS75" i="30"/>
  <c r="CV75" i="30" s="1"/>
  <c r="CW75" i="30" s="1"/>
  <c r="AQ75" i="30"/>
  <c r="AR75" i="30"/>
  <c r="CP75" i="30"/>
  <c r="AO75" i="30"/>
  <c r="AS75" i="30"/>
  <c r="DB75" i="30"/>
  <c r="DA75" i="30"/>
  <c r="CT75" i="30"/>
  <c r="AZ75" i="30"/>
  <c r="CQ75" i="30"/>
  <c r="AP75" i="30"/>
  <c r="AY73" i="30"/>
  <c r="AX73" i="30"/>
  <c r="AR55" i="30"/>
  <c r="BF45" i="30"/>
  <c r="BX81" i="30"/>
  <c r="BY81" i="30" s="1"/>
  <c r="AY32" i="30"/>
  <c r="AX32" i="30"/>
  <c r="BS27" i="30"/>
  <c r="AZ27" i="30"/>
  <c r="CG27" i="30"/>
  <c r="CH27" i="30" s="1"/>
  <c r="R27" i="30"/>
  <c r="CU27" i="30"/>
  <c r="CF81" i="30"/>
  <c r="CE81" i="30"/>
  <c r="CN24" i="30"/>
  <c r="AY53" i="30"/>
  <c r="AY35" i="30"/>
  <c r="BV25" i="30"/>
  <c r="BX25" i="30"/>
  <c r="BY25" i="30"/>
  <c r="BC25" i="30"/>
  <c r="CT25" i="30"/>
  <c r="CV23" i="30"/>
  <c r="CV15" i="30"/>
  <c r="CW15" i="30" s="1"/>
  <c r="AL156" i="30"/>
  <c r="CF44" i="30"/>
  <c r="CE44" i="30"/>
  <c r="BF18" i="30"/>
  <c r="BE18" i="30"/>
  <c r="CL16" i="30"/>
  <c r="AY68" i="30"/>
  <c r="AX68" i="30"/>
  <c r="CV68" i="30"/>
  <c r="CW68" i="30"/>
  <c r="BS39" i="30"/>
  <c r="R39" i="30"/>
  <c r="CU39" i="30" s="1"/>
  <c r="CT39" i="30"/>
  <c r="CG39" i="30"/>
  <c r="CH39" i="30"/>
  <c r="AZ39" i="30"/>
  <c r="BH39" i="30"/>
  <c r="CS39" i="30"/>
  <c r="CV39" i="30" s="1"/>
  <c r="CW39" i="30" s="1"/>
  <c r="CC18" i="30"/>
  <c r="CB18" i="30"/>
  <c r="CF68" i="30"/>
  <c r="CE68" i="30"/>
  <c r="R34" i="30"/>
  <c r="CU34" i="30" s="1"/>
  <c r="CG34" i="30"/>
  <c r="CH34" i="30"/>
  <c r="BG34" i="30"/>
  <c r="BH34" i="30"/>
  <c r="AZ34" i="30"/>
  <c r="BS34" i="30"/>
  <c r="CU26" i="30"/>
  <c r="AK150" i="30"/>
  <c r="CU134" i="29"/>
  <c r="BV33" i="30"/>
  <c r="BX33" i="30"/>
  <c r="BY33" i="30" s="1"/>
  <c r="BC33" i="30"/>
  <c r="AY138" i="29"/>
  <c r="AX138" i="29"/>
  <c r="CD29" i="30"/>
  <c r="CB29" i="30"/>
  <c r="CE39" i="30"/>
  <c r="CF39" i="30"/>
  <c r="CE33" i="30"/>
  <c r="CF33" i="30"/>
  <c r="CM16" i="30"/>
  <c r="CE15" i="30"/>
  <c r="CF15" i="30"/>
  <c r="CW139" i="29"/>
  <c r="BA139" i="29"/>
  <c r="AT139" i="29"/>
  <c r="AT152" i="29" s="1"/>
  <c r="AP139" i="29"/>
  <c r="BV136" i="29"/>
  <c r="S136" i="29"/>
  <c r="CN139" i="29"/>
  <c r="CD136" i="29"/>
  <c r="BF85" i="29"/>
  <c r="BE85" i="29"/>
  <c r="BE117" i="29"/>
  <c r="AX114" i="29"/>
  <c r="AY114" i="29"/>
  <c r="BF103" i="29"/>
  <c r="BE103" i="29"/>
  <c r="AY94" i="29"/>
  <c r="AX94" i="29"/>
  <c r="CR74" i="29"/>
  <c r="AQ74" i="29"/>
  <c r="CQ74" i="29"/>
  <c r="AP74" i="29"/>
  <c r="CN74" i="29"/>
  <c r="CT74" i="29"/>
  <c r="AZ74" i="29"/>
  <c r="AO74" i="29"/>
  <c r="CZ74" i="29"/>
  <c r="CY74" i="29"/>
  <c r="CO74" i="29"/>
  <c r="AS74" i="29"/>
  <c r="BE140" i="29"/>
  <c r="BF140" i="29"/>
  <c r="CY140" i="29"/>
  <c r="AY134" i="29"/>
  <c r="AY130" i="29"/>
  <c r="AX130" i="29"/>
  <c r="CF128" i="29"/>
  <c r="CE128" i="29"/>
  <c r="CF115" i="29"/>
  <c r="CE115" i="29"/>
  <c r="CM110" i="29"/>
  <c r="CD32" i="30"/>
  <c r="CB32" i="30"/>
  <c r="CU25" i="30"/>
  <c r="AY137" i="29"/>
  <c r="CT119" i="29"/>
  <c r="BF110" i="29"/>
  <c r="BE110" i="29"/>
  <c r="BF122" i="29"/>
  <c r="BE122" i="29"/>
  <c r="BF102" i="29"/>
  <c r="BE102" i="29"/>
  <c r="CF97" i="29"/>
  <c r="CE97" i="29"/>
  <c r="CF111" i="29"/>
  <c r="CE111" i="29"/>
  <c r="CF138" i="29"/>
  <c r="CE138" i="29"/>
  <c r="CT81" i="29"/>
  <c r="CU81" i="29"/>
  <c r="CT90" i="29"/>
  <c r="AY90" i="29"/>
  <c r="AX90" i="29"/>
  <c r="BF125" i="29"/>
  <c r="BE125" i="29"/>
  <c r="CF108" i="29"/>
  <c r="CE108" i="29"/>
  <c r="CF107" i="29"/>
  <c r="CE107" i="29"/>
  <c r="CT82" i="29"/>
  <c r="AX92" i="29"/>
  <c r="CF83" i="29"/>
  <c r="CE83" i="29"/>
  <c r="BE69" i="29"/>
  <c r="CE71" i="29"/>
  <c r="CF71" i="29"/>
  <c r="CE49" i="29"/>
  <c r="CF49" i="29"/>
  <c r="BF52" i="29"/>
  <c r="BE52" i="29"/>
  <c r="AY50" i="29"/>
  <c r="AX50" i="29"/>
  <c r="BH50" i="29"/>
  <c r="BI50" i="29"/>
  <c r="AZ50" i="29"/>
  <c r="R50" i="29"/>
  <c r="CS50" i="29" s="1"/>
  <c r="CQ50" i="29"/>
  <c r="BS50" i="29"/>
  <c r="CR50" i="29"/>
  <c r="BT146" i="29"/>
  <c r="AO75" i="29"/>
  <c r="CO75" i="29"/>
  <c r="AZ75" i="29"/>
  <c r="AS75" i="29"/>
  <c r="CZ75" i="29"/>
  <c r="CR75" i="29"/>
  <c r="AQ75" i="29"/>
  <c r="AR75" i="29"/>
  <c r="CN75" i="29"/>
  <c r="CQ75" i="29"/>
  <c r="AP75" i="29"/>
  <c r="CY75" i="29"/>
  <c r="BQ37" i="29"/>
  <c r="BR37" i="29"/>
  <c r="CF58" i="29"/>
  <c r="CE58" i="29"/>
  <c r="CB50" i="29"/>
  <c r="CC50" i="29"/>
  <c r="BF27" i="29"/>
  <c r="BE27" i="29"/>
  <c r="CH14" i="29"/>
  <c r="CH143" i="29" s="1"/>
  <c r="AX42" i="29"/>
  <c r="AY42" i="29"/>
  <c r="CC36" i="29"/>
  <c r="CB36" i="29"/>
  <c r="CL22" i="29"/>
  <c r="BM146" i="29"/>
  <c r="BF14" i="29"/>
  <c r="BQ109" i="29"/>
  <c r="BR109" i="29"/>
  <c r="CB74" i="29"/>
  <c r="AR45" i="29"/>
  <c r="CT35" i="29"/>
  <c r="CF22" i="29"/>
  <c r="CE22" i="29"/>
  <c r="CT44" i="29"/>
  <c r="CU44" i="29"/>
  <c r="AX33" i="29"/>
  <c r="CE29" i="29"/>
  <c r="CF29" i="29"/>
  <c r="BF21" i="29"/>
  <c r="BF64" i="29"/>
  <c r="BF61" i="29"/>
  <c r="CE135" i="30"/>
  <c r="CF135" i="30"/>
  <c r="CE119" i="30"/>
  <c r="CF119" i="30"/>
  <c r="AY121" i="30"/>
  <c r="AX121" i="30"/>
  <c r="LT8" i="26"/>
  <c r="LT9" i="26" s="1"/>
  <c r="E11" i="26"/>
  <c r="R138" i="30"/>
  <c r="BH138" i="30"/>
  <c r="BG138" i="30"/>
  <c r="AZ138" i="30"/>
  <c r="CG138" i="30"/>
  <c r="CH138" i="30" s="1"/>
  <c r="CU138" i="30"/>
  <c r="BS138" i="30"/>
  <c r="CT138" i="30"/>
  <c r="CX143" i="30"/>
  <c r="CQ143" i="30"/>
  <c r="AT143" i="30"/>
  <c r="DA143" i="30"/>
  <c r="AP143" i="30"/>
  <c r="AX137" i="30"/>
  <c r="AY137" i="30"/>
  <c r="BZ137" i="30"/>
  <c r="BF129" i="30"/>
  <c r="BE129" i="30"/>
  <c r="BF124" i="30"/>
  <c r="BE124" i="30"/>
  <c r="CB142" i="30"/>
  <c r="CC142" i="30"/>
  <c r="CC136" i="30"/>
  <c r="CB136" i="30"/>
  <c r="R120" i="30"/>
  <c r="CS120" i="30" s="1"/>
  <c r="CV120" i="30" s="1"/>
  <c r="CW120" i="30" s="1"/>
  <c r="BS120" i="30"/>
  <c r="AZ120" i="30"/>
  <c r="CG120" i="30"/>
  <c r="CH120" i="30" s="1"/>
  <c r="DB143" i="30"/>
  <c r="CC134" i="30"/>
  <c r="CB134" i="30"/>
  <c r="CL119" i="30"/>
  <c r="CN120" i="30"/>
  <c r="BE107" i="30"/>
  <c r="AY119" i="30"/>
  <c r="BF106" i="30"/>
  <c r="BE106" i="30"/>
  <c r="R113" i="30"/>
  <c r="CU113" i="30" s="1"/>
  <c r="CS113" i="30"/>
  <c r="CV113" i="30" s="1"/>
  <c r="CW113" i="30" s="1"/>
  <c r="AX108" i="30"/>
  <c r="BV118" i="30"/>
  <c r="BC118" i="30"/>
  <c r="CL117" i="30"/>
  <c r="CN117" i="30" s="1"/>
  <c r="CN115" i="30"/>
  <c r="BX102" i="30"/>
  <c r="BY102" i="30"/>
  <c r="AY123" i="30"/>
  <c r="AR118" i="30"/>
  <c r="BI93" i="30"/>
  <c r="AY82" i="30"/>
  <c r="AX82" i="30"/>
  <c r="BF79" i="30"/>
  <c r="BE79" i="30"/>
  <c r="BX90" i="30"/>
  <c r="BY90" i="30" s="1"/>
  <c r="BV84" i="30"/>
  <c r="BX84" i="30" s="1"/>
  <c r="BY84" i="30" s="1"/>
  <c r="BC84" i="30"/>
  <c r="CU84" i="30"/>
  <c r="AY132" i="30"/>
  <c r="BS113" i="30"/>
  <c r="CT113" i="30"/>
  <c r="CG113" i="30"/>
  <c r="CH113" i="30"/>
  <c r="BG113" i="30"/>
  <c r="BH113" i="30"/>
  <c r="AZ113" i="30"/>
  <c r="CN105" i="30"/>
  <c r="CK49" i="30"/>
  <c r="CL49" i="30"/>
  <c r="DB139" i="30"/>
  <c r="CV93" i="30"/>
  <c r="CW93" i="30" s="1"/>
  <c r="R62" i="30"/>
  <c r="CT62" i="30" s="1"/>
  <c r="CU62" i="30"/>
  <c r="BH62" i="30"/>
  <c r="BG62" i="30"/>
  <c r="BI62" i="30" s="1"/>
  <c r="AZ62" i="30"/>
  <c r="CG62" i="30"/>
  <c r="CH62" i="30"/>
  <c r="BS62" i="30"/>
  <c r="BF52" i="30"/>
  <c r="BE52" i="30"/>
  <c r="BV50" i="30"/>
  <c r="BC50" i="30"/>
  <c r="AY23" i="30"/>
  <c r="AX23" i="30"/>
  <c r="CN85" i="30"/>
  <c r="CL82" i="30"/>
  <c r="CN82" i="30"/>
  <c r="AH79" i="30"/>
  <c r="AR79" i="30" s="1"/>
  <c r="AQ77" i="30"/>
  <c r="AR77" i="30"/>
  <c r="CQ77" i="30"/>
  <c r="AP77" i="30"/>
  <c r="CP77" i="30"/>
  <c r="CV77" i="30" s="1"/>
  <c r="CW77" i="30" s="1"/>
  <c r="CS77" i="30"/>
  <c r="AO77" i="30"/>
  <c r="DA77" i="30"/>
  <c r="CT77" i="30"/>
  <c r="AS77" i="30"/>
  <c r="AZ77" i="30"/>
  <c r="BE77" i="30" s="1"/>
  <c r="DB77" i="30"/>
  <c r="CN64" i="30"/>
  <c r="CN58" i="30"/>
  <c r="CK73" i="30"/>
  <c r="CO57" i="30"/>
  <c r="CE57" i="30"/>
  <c r="CF57" i="30"/>
  <c r="BX42" i="30"/>
  <c r="BY42" i="30"/>
  <c r="BF35" i="30"/>
  <c r="BF29" i="30"/>
  <c r="BE29" i="30"/>
  <c r="BV28" i="30"/>
  <c r="BX28" i="30" s="1"/>
  <c r="BY28" i="30" s="1"/>
  <c r="BC28" i="30"/>
  <c r="AZ24" i="30"/>
  <c r="BS24" i="30"/>
  <c r="BX24" i="30" s="1"/>
  <c r="BY24" i="30" s="1"/>
  <c r="R24" i="30"/>
  <c r="CT24" i="30"/>
  <c r="CG24" i="30"/>
  <c r="CH24" i="30"/>
  <c r="CF72" i="30"/>
  <c r="CE72" i="30"/>
  <c r="CC64" i="30"/>
  <c r="CB64" i="30"/>
  <c r="AX36" i="30"/>
  <c r="AY36" i="30"/>
  <c r="CE27" i="30"/>
  <c r="CF27" i="30"/>
  <c r="CS25" i="30"/>
  <c r="CV25" i="30"/>
  <c r="CW25" i="30" s="1"/>
  <c r="CL15" i="30"/>
  <c r="CN94" i="30"/>
  <c r="CF55" i="30"/>
  <c r="CE55" i="30"/>
  <c r="R37" i="30"/>
  <c r="CT37" i="30" s="1"/>
  <c r="CG37" i="30"/>
  <c r="CH37" i="30" s="1"/>
  <c r="BG37" i="30"/>
  <c r="AZ37" i="30"/>
  <c r="BS37" i="30"/>
  <c r="BX37" i="30" s="1"/>
  <c r="BY37" i="30" s="1"/>
  <c r="BH37" i="30"/>
  <c r="CS28" i="30"/>
  <c r="CV28" i="30" s="1"/>
  <c r="CW28" i="30" s="1"/>
  <c r="CN104" i="30"/>
  <c r="BF68" i="30"/>
  <c r="BE68" i="30"/>
  <c r="CE52" i="30"/>
  <c r="CF52" i="30"/>
  <c r="CF45" i="30"/>
  <c r="CE45" i="30"/>
  <c r="BF42" i="30"/>
  <c r="BE42" i="30"/>
  <c r="CL39" i="30"/>
  <c r="CN39" i="30" s="1"/>
  <c r="BV38" i="30"/>
  <c r="BX38" i="30" s="1"/>
  <c r="BY38" i="30" s="1"/>
  <c r="BC38" i="30"/>
  <c r="BF25" i="30"/>
  <c r="BE25" i="30"/>
  <c r="BF20" i="30"/>
  <c r="BE20" i="30"/>
  <c r="BF19" i="30"/>
  <c r="BE19" i="30"/>
  <c r="BF48" i="30"/>
  <c r="CN34" i="30"/>
  <c r="CF23" i="30"/>
  <c r="CE23" i="30"/>
  <c r="AK146" i="30"/>
  <c r="CT133" i="29"/>
  <c r="CU133" i="29" s="1"/>
  <c r="CE70" i="30"/>
  <c r="CF70" i="30"/>
  <c r="CS33" i="30"/>
  <c r="CV33" i="30" s="1"/>
  <c r="BF14" i="30"/>
  <c r="BE14" i="30"/>
  <c r="CT137" i="29"/>
  <c r="CU137" i="29" s="1"/>
  <c r="CB30" i="30"/>
  <c r="CC30" i="30"/>
  <c r="AY20" i="30"/>
  <c r="AG170" i="29"/>
  <c r="CK119" i="29"/>
  <c r="CL119" i="29" s="1"/>
  <c r="CL169" i="29" s="1"/>
  <c r="CF36" i="30"/>
  <c r="CE36" i="30"/>
  <c r="CF20" i="30"/>
  <c r="CE20" i="30"/>
  <c r="CF129" i="29"/>
  <c r="CE129" i="29"/>
  <c r="BF124" i="29"/>
  <c r="CX109" i="29"/>
  <c r="BF121" i="29"/>
  <c r="BE121" i="29"/>
  <c r="CC26" i="30"/>
  <c r="CB26" i="30"/>
  <c r="CR139" i="29"/>
  <c r="BF123" i="29"/>
  <c r="BE123" i="29"/>
  <c r="BE119" i="29"/>
  <c r="AY110" i="29"/>
  <c r="BE82" i="29"/>
  <c r="BF82" i="29"/>
  <c r="CC21" i="30"/>
  <c r="CB21" i="30"/>
  <c r="CQ140" i="29"/>
  <c r="AY140" i="29"/>
  <c r="AX140" i="29"/>
  <c r="BX132" i="29"/>
  <c r="BY132" i="29"/>
  <c r="CT130" i="29"/>
  <c r="CU130" i="29" s="1"/>
  <c r="AX117" i="29"/>
  <c r="AY117" i="29"/>
  <c r="CX85" i="29"/>
  <c r="AY120" i="29"/>
  <c r="AX120" i="29"/>
  <c r="AX86" i="29"/>
  <c r="CF92" i="29"/>
  <c r="CE92" i="29"/>
  <c r="AY81" i="29"/>
  <c r="AX81" i="29"/>
  <c r="CF96" i="29"/>
  <c r="CE96" i="29"/>
  <c r="AX88" i="29"/>
  <c r="AY88" i="29"/>
  <c r="BQ88" i="29"/>
  <c r="BR88" i="29" s="1"/>
  <c r="CF63" i="29"/>
  <c r="CE63" i="29"/>
  <c r="CT112" i="29"/>
  <c r="CU112" i="29" s="1"/>
  <c r="AR83" i="29"/>
  <c r="CO79" i="29"/>
  <c r="AZ79" i="29"/>
  <c r="CZ79" i="29"/>
  <c r="CN79" i="29"/>
  <c r="AS79" i="29"/>
  <c r="CY79" i="29"/>
  <c r="CR79" i="29"/>
  <c r="AO79" i="29"/>
  <c r="AP79" i="29"/>
  <c r="CQ79" i="29"/>
  <c r="AQ79" i="29"/>
  <c r="AY67" i="29"/>
  <c r="AX67" i="29"/>
  <c r="CF89" i="29"/>
  <c r="CE89" i="29"/>
  <c r="BF68" i="29"/>
  <c r="BF33" i="29"/>
  <c r="BE33" i="29"/>
  <c r="AM143" i="29"/>
  <c r="BF96" i="29"/>
  <c r="BE96" i="29"/>
  <c r="AY44" i="29"/>
  <c r="AX44" i="29"/>
  <c r="CT43" i="29"/>
  <c r="CU43" i="29" s="1"/>
  <c r="CT69" i="29"/>
  <c r="CU69" i="29"/>
  <c r="BE55" i="29"/>
  <c r="BF55" i="29"/>
  <c r="BT143" i="29"/>
  <c r="CT104" i="29"/>
  <c r="CU104" i="29"/>
  <c r="CF87" i="29"/>
  <c r="CE87" i="29"/>
  <c r="AY65" i="29"/>
  <c r="AX65" i="29"/>
  <c r="CX51" i="29"/>
  <c r="BE73" i="29"/>
  <c r="BF73" i="29"/>
  <c r="AX18" i="29"/>
  <c r="AK146" i="29"/>
  <c r="BM143" i="29"/>
  <c r="BS47" i="29"/>
  <c r="R47" i="29"/>
  <c r="CQ47" i="29" s="1"/>
  <c r="CT47" i="29" s="1"/>
  <c r="CU47" i="29" s="1"/>
  <c r="CG47" i="29"/>
  <c r="CH47" i="29"/>
  <c r="AZ47" i="29"/>
  <c r="AZ76" i="29"/>
  <c r="AZ78" i="29"/>
  <c r="BF78" i="29" s="1"/>
  <c r="BH47" i="29"/>
  <c r="BI47" i="29"/>
  <c r="CS47" i="29"/>
  <c r="AY36" i="29"/>
  <c r="AX36" i="29"/>
  <c r="CX20" i="29"/>
  <c r="CT55" i="29"/>
  <c r="CU55" i="29" s="1"/>
  <c r="AX45" i="29"/>
  <c r="AY45" i="29"/>
  <c r="CF30" i="29"/>
  <c r="CE30" i="29"/>
  <c r="CE88" i="30"/>
  <c r="CF88" i="30"/>
  <c r="CO22" i="29"/>
  <c r="AP22" i="29"/>
  <c r="AS22" i="29"/>
  <c r="AX22" i="29" s="1"/>
  <c r="AS76" i="29"/>
  <c r="AS78" i="29"/>
  <c r="AQ22" i="29"/>
  <c r="AO22" i="29"/>
  <c r="CZ22" i="29"/>
  <c r="CN22" i="29"/>
  <c r="CT22" i="29" s="1"/>
  <c r="CU22" i="29" s="1"/>
  <c r="BF17" i="29"/>
  <c r="BE17" i="29"/>
  <c r="CT14" i="29"/>
  <c r="CR22" i="29"/>
  <c r="CX14" i="29"/>
  <c r="AX128" i="30"/>
  <c r="AY128" i="30"/>
  <c r="AY129" i="30"/>
  <c r="AX129" i="30"/>
  <c r="CV130" i="30"/>
  <c r="CW130" i="30" s="1"/>
  <c r="BC105" i="30"/>
  <c r="BV105" i="30"/>
  <c r="BX105" i="30" s="1"/>
  <c r="BY105" i="30" s="1"/>
  <c r="CF124" i="30"/>
  <c r="CE124" i="30"/>
  <c r="CT105" i="30"/>
  <c r="CV85" i="30"/>
  <c r="CW85" i="30" s="1"/>
  <c r="AR93" i="30"/>
  <c r="AY26" i="30"/>
  <c r="AX26" i="30"/>
  <c r="CE77" i="30"/>
  <c r="CF77" i="30"/>
  <c r="CN65" i="30"/>
  <c r="AY14" i="30"/>
  <c r="AX14" i="30"/>
  <c r="AX47" i="30"/>
  <c r="AY47" i="30"/>
  <c r="CV20" i="30"/>
  <c r="CW20" i="30" s="1"/>
  <c r="BV26" i="30"/>
  <c r="BX26" i="30" s="1"/>
  <c r="BY26" i="30" s="1"/>
  <c r="BC26" i="30"/>
  <c r="BF26" i="30"/>
  <c r="CF49" i="30"/>
  <c r="CE49" i="30"/>
  <c r="CV69" i="30"/>
  <c r="CW69" i="30"/>
  <c r="CT132" i="29"/>
  <c r="CU132" i="29"/>
  <c r="W147" i="29"/>
  <c r="BO136" i="29"/>
  <c r="BQ136" i="29" s="1"/>
  <c r="BR136" i="29"/>
  <c r="AL136" i="29"/>
  <c r="Z136" i="29"/>
  <c r="CP136" i="29"/>
  <c r="AQ140" i="29"/>
  <c r="CF25" i="30"/>
  <c r="CE25" i="30"/>
  <c r="CP139" i="29"/>
  <c r="BF132" i="29"/>
  <c r="BE132" i="29"/>
  <c r="CF126" i="29"/>
  <c r="CE126" i="29"/>
  <c r="BF120" i="29"/>
  <c r="BE120" i="29"/>
  <c r="CF93" i="29"/>
  <c r="CE93" i="29"/>
  <c r="AX106" i="29"/>
  <c r="AY60" i="29"/>
  <c r="AX60" i="29"/>
  <c r="CF86" i="29"/>
  <c r="CE86" i="29"/>
  <c r="CF106" i="29"/>
  <c r="CE106" i="29"/>
  <c r="AY66" i="29"/>
  <c r="AX66" i="29"/>
  <c r="CF62" i="29"/>
  <c r="CE62" i="29"/>
  <c r="CU73" i="29"/>
  <c r="BF40" i="29"/>
  <c r="BE40" i="29"/>
  <c r="BF115" i="29"/>
  <c r="BE115" i="29"/>
  <c r="K8" i="26"/>
  <c r="BQ143" i="30"/>
  <c r="BR143" i="30"/>
  <c r="CQ139" i="30"/>
  <c r="DA139" i="30"/>
  <c r="BO136" i="30"/>
  <c r="AV136" i="30"/>
  <c r="CP136" i="30"/>
  <c r="BE128" i="30"/>
  <c r="BS143" i="30"/>
  <c r="AZ143" i="30"/>
  <c r="P143" i="30"/>
  <c r="Q143" i="30" s="1"/>
  <c r="BF108" i="30"/>
  <c r="BE108" i="30"/>
  <c r="BF110" i="30"/>
  <c r="BE110" i="30"/>
  <c r="CG121" i="30"/>
  <c r="CH121" i="30" s="1"/>
  <c r="R121" i="30"/>
  <c r="CS121" i="30"/>
  <c r="CV121" i="30" s="1"/>
  <c r="CW121" i="30" s="1"/>
  <c r="BS121" i="30"/>
  <c r="AZ121" i="30"/>
  <c r="CV106" i="30"/>
  <c r="CW106" i="30" s="1"/>
  <c r="CV95" i="30"/>
  <c r="CW95" i="30" s="1"/>
  <c r="R104" i="30"/>
  <c r="CY104" i="30"/>
  <c r="BT104" i="30"/>
  <c r="BZ104" i="30" s="1"/>
  <c r="BA104" i="30"/>
  <c r="CS118" i="30"/>
  <c r="CV118" i="30"/>
  <c r="CW118" i="30"/>
  <c r="CF118" i="30"/>
  <c r="CE118" i="30"/>
  <c r="CF86" i="30"/>
  <c r="CE86" i="30"/>
  <c r="CS90" i="30"/>
  <c r="CV90" i="30" s="1"/>
  <c r="CW90" i="30" s="1"/>
  <c r="BF84" i="30"/>
  <c r="BE84" i="30"/>
  <c r="CL113" i="30"/>
  <c r="CN113" i="30"/>
  <c r="AX84" i="30"/>
  <c r="CF112" i="30"/>
  <c r="CE112" i="30"/>
  <c r="CV80" i="30"/>
  <c r="CW80" i="30" s="1"/>
  <c r="CE74" i="30"/>
  <c r="CF74" i="30"/>
  <c r="CF71" i="30"/>
  <c r="CE71" i="30"/>
  <c r="CJ139" i="30"/>
  <c r="CL139" i="30" s="1"/>
  <c r="CN139" i="30" s="1"/>
  <c r="BS91" i="30"/>
  <c r="R91" i="30"/>
  <c r="CT91" i="30"/>
  <c r="CG91" i="30"/>
  <c r="CH91" i="30" s="1"/>
  <c r="BH91" i="30"/>
  <c r="BI91" i="30"/>
  <c r="AZ91" i="30"/>
  <c r="CS91" i="30"/>
  <c r="CV91" i="30" s="1"/>
  <c r="CW91" i="30" s="1"/>
  <c r="CS64" i="30"/>
  <c r="CV64" i="30"/>
  <c r="CW64" i="30" s="1"/>
  <c r="BV64" i="30"/>
  <c r="BX64" i="30"/>
  <c r="BY64" i="30" s="1"/>
  <c r="BC64" i="30"/>
  <c r="BF64" i="30"/>
  <c r="R40" i="30"/>
  <c r="CU40" i="30"/>
  <c r="BH40" i="30"/>
  <c r="CS40" i="30"/>
  <c r="CV40" i="30" s="1"/>
  <c r="CW40" i="30" s="1"/>
  <c r="AZ40" i="30"/>
  <c r="CG40" i="30"/>
  <c r="CH40" i="30" s="1"/>
  <c r="CT40" i="30"/>
  <c r="BS40" i="30"/>
  <c r="BG40" i="30"/>
  <c r="BI40" i="30" s="1"/>
  <c r="CE96" i="30"/>
  <c r="CF96" i="30"/>
  <c r="AR65" i="30"/>
  <c r="AY72" i="30"/>
  <c r="CN54" i="30"/>
  <c r="CF102" i="30"/>
  <c r="CE102" i="30"/>
  <c r="CF85" i="30"/>
  <c r="CE85" i="30"/>
  <c r="BF73" i="30"/>
  <c r="BE73" i="30"/>
  <c r="AY71" i="30"/>
  <c r="AX71" i="30"/>
  <c r="CV57" i="30"/>
  <c r="CW57" i="30"/>
  <c r="CV43" i="30"/>
  <c r="CW43" i="30"/>
  <c r="AY41" i="30"/>
  <c r="AX41" i="30"/>
  <c r="CV45" i="30"/>
  <c r="CW45" i="30"/>
  <c r="BE23" i="30"/>
  <c r="BF23" i="30"/>
  <c r="R22" i="30"/>
  <c r="CS22" i="30"/>
  <c r="CV22" i="30" s="1"/>
  <c r="CW22" i="30" s="1"/>
  <c r="AZ22" i="30"/>
  <c r="BS22" i="30"/>
  <c r="CG22" i="30"/>
  <c r="CH22" i="30"/>
  <c r="BH22" i="30"/>
  <c r="BG22" i="30"/>
  <c r="CT22" i="30"/>
  <c r="CU22" i="30"/>
  <c r="AY17" i="30"/>
  <c r="AX17" i="30"/>
  <c r="BC60" i="30"/>
  <c r="BV60" i="30"/>
  <c r="BX60" i="30" s="1"/>
  <c r="BY60" i="30" s="1"/>
  <c r="CL46" i="30"/>
  <c r="CN46" i="30"/>
  <c r="CT38" i="30"/>
  <c r="CV83" i="30"/>
  <c r="CW83" i="30" s="1"/>
  <c r="BV69" i="30"/>
  <c r="BX69" i="30" s="1"/>
  <c r="BY69" i="30" s="1"/>
  <c r="BC69" i="30"/>
  <c r="BF69" i="30"/>
  <c r="CU69" i="30"/>
  <c r="CV54" i="30"/>
  <c r="CW54" i="30" s="1"/>
  <c r="AX43" i="30"/>
  <c r="AY39" i="30"/>
  <c r="AX39" i="30"/>
  <c r="AR31" i="30"/>
  <c r="AX27" i="30"/>
  <c r="AZ94" i="30"/>
  <c r="R94" i="30"/>
  <c r="CT94" i="30" s="1"/>
  <c r="CG94" i="30"/>
  <c r="CH94" i="30" s="1"/>
  <c r="BS94" i="30"/>
  <c r="CS94" i="30"/>
  <c r="CV94" i="30" s="1"/>
  <c r="CW94" i="30" s="1"/>
  <c r="AY52" i="30"/>
  <c r="CN51" i="30"/>
  <c r="CL37" i="30"/>
  <c r="CN37" i="30" s="1"/>
  <c r="CL28" i="30"/>
  <c r="AR49" i="30"/>
  <c r="AR47" i="30"/>
  <c r="CU42" i="30"/>
  <c r="CF40" i="30"/>
  <c r="CE40" i="30"/>
  <c r="CB35" i="30"/>
  <c r="CV48" i="30"/>
  <c r="CW48" i="30"/>
  <c r="BI48" i="30"/>
  <c r="BV21" i="30"/>
  <c r="BX21" i="30" s="1"/>
  <c r="BY21" i="30"/>
  <c r="BC21" i="30"/>
  <c r="BE21" i="30"/>
  <c r="CF34" i="30"/>
  <c r="CE34" i="30"/>
  <c r="CT33" i="30"/>
  <c r="AV131" i="29"/>
  <c r="AX131" i="29" s="1"/>
  <c r="CP131" i="29"/>
  <c r="BO131" i="29"/>
  <c r="BQ131" i="29"/>
  <c r="BR131" i="29" s="1"/>
  <c r="CO131" i="29"/>
  <c r="AR69" i="30"/>
  <c r="AX28" i="30"/>
  <c r="AY28" i="30"/>
  <c r="CT17" i="30"/>
  <c r="CG139" i="29"/>
  <c r="CH139" i="29"/>
  <c r="CS136" i="29"/>
  <c r="BI129" i="29"/>
  <c r="CE41" i="30"/>
  <c r="CF41" i="30"/>
  <c r="AR15" i="30"/>
  <c r="CE103" i="30"/>
  <c r="CF103" i="30"/>
  <c r="CB56" i="30"/>
  <c r="CN18" i="30"/>
  <c r="AX15" i="30"/>
  <c r="CT127" i="29"/>
  <c r="CU127" i="29"/>
  <c r="AO139" i="29"/>
  <c r="BF111" i="29"/>
  <c r="BE111" i="29"/>
  <c r="AR91" i="29"/>
  <c r="CB136" i="29"/>
  <c r="CR132" i="29"/>
  <c r="CF117" i="29"/>
  <c r="CE117" i="29"/>
  <c r="CB14" i="30"/>
  <c r="AY126" i="29"/>
  <c r="AX126" i="29"/>
  <c r="CX104" i="29"/>
  <c r="AY102" i="29"/>
  <c r="AX102" i="29"/>
  <c r="AY95" i="29"/>
  <c r="AX95" i="29"/>
  <c r="BQ85" i="29"/>
  <c r="BR85" i="29"/>
  <c r="V142" i="29"/>
  <c r="AC143" i="29" s="1"/>
  <c r="AO140" i="29"/>
  <c r="CN140" i="29"/>
  <c r="CT140" i="29" s="1"/>
  <c r="CT135" i="29"/>
  <c r="CU135" i="29"/>
  <c r="BF129" i="29"/>
  <c r="BE129" i="29"/>
  <c r="BV128" i="29"/>
  <c r="BC128" i="29"/>
  <c r="BF128" i="29"/>
  <c r="CT110" i="29"/>
  <c r="CU110" i="29" s="1"/>
  <c r="CS132" i="29"/>
  <c r="AH119" i="29"/>
  <c r="CC31" i="30"/>
  <c r="CB31" i="30"/>
  <c r="CT120" i="29"/>
  <c r="CU120" i="29" s="1"/>
  <c r="CX102" i="29"/>
  <c r="CF95" i="29"/>
  <c r="CE95" i="29"/>
  <c r="CL109" i="29"/>
  <c r="BF95" i="29"/>
  <c r="BE95" i="29"/>
  <c r="CX93" i="29"/>
  <c r="CQ78" i="29"/>
  <c r="AP78" i="29"/>
  <c r="AO78" i="29"/>
  <c r="CO78" i="29"/>
  <c r="CR78" i="29"/>
  <c r="CZ78" i="29"/>
  <c r="CN78" i="29"/>
  <c r="CY78" i="29"/>
  <c r="AQ78" i="29"/>
  <c r="AR78" i="29"/>
  <c r="BF105" i="29"/>
  <c r="BE108" i="29"/>
  <c r="CZ139" i="29"/>
  <c r="CZ76" i="29"/>
  <c r="CN76" i="29"/>
  <c r="CY76" i="29"/>
  <c r="CR76" i="29"/>
  <c r="AP76" i="29"/>
  <c r="CO76" i="29"/>
  <c r="AO76" i="29"/>
  <c r="AQ76" i="29"/>
  <c r="CQ76" i="29"/>
  <c r="AX103" i="29"/>
  <c r="CE91" i="29"/>
  <c r="CF91" i="29"/>
  <c r="CE82" i="29"/>
  <c r="CF82" i="29"/>
  <c r="BE68" i="29"/>
  <c r="CT67" i="29"/>
  <c r="CU67" i="29" s="1"/>
  <c r="AY54" i="29"/>
  <c r="AX54" i="29"/>
  <c r="BF43" i="29"/>
  <c r="BE43" i="29"/>
  <c r="CF41" i="29"/>
  <c r="CE41" i="29"/>
  <c r="CX96" i="29"/>
  <c r="CX76" i="29"/>
  <c r="AY69" i="29"/>
  <c r="AX69" i="29"/>
  <c r="BQ66" i="29"/>
  <c r="BR66" i="29" s="1"/>
  <c r="CT52" i="29"/>
  <c r="CU52" i="29"/>
  <c r="CN50" i="29"/>
  <c r="CT50" i="29" s="1"/>
  <c r="AY23" i="29"/>
  <c r="AX23" i="29"/>
  <c r="BF51" i="29"/>
  <c r="BE51" i="29"/>
  <c r="AY32" i="29"/>
  <c r="AX32" i="29"/>
  <c r="BE71" i="29"/>
  <c r="AB148" i="29"/>
  <c r="CF21" i="29"/>
  <c r="CE21" i="29"/>
  <c r="CX15" i="29"/>
  <c r="AK142" i="29"/>
  <c r="BE53" i="29"/>
  <c r="BF53" i="29"/>
  <c r="CX38" i="29"/>
  <c r="BF37" i="29"/>
  <c r="BE37" i="29"/>
  <c r="CT109" i="29"/>
  <c r="CU109" i="29" s="1"/>
  <c r="AX85" i="29"/>
  <c r="CE65" i="29"/>
  <c r="CF65" i="29"/>
  <c r="AR44" i="29"/>
  <c r="CB40" i="29"/>
  <c r="CC40" i="29"/>
  <c r="CT37" i="29"/>
  <c r="CX53" i="29"/>
  <c r="AX35" i="29"/>
  <c r="CE25" i="29"/>
  <c r="CF25" i="29"/>
  <c r="CE23" i="29"/>
  <c r="CF23" i="29"/>
  <c r="CB72" i="29"/>
  <c r="Z8" i="29"/>
  <c r="Y8" i="29" s="1"/>
  <c r="AH22" i="29"/>
  <c r="LE11" i="26"/>
  <c r="LI14" i="26"/>
  <c r="LH15" i="26"/>
  <c r="CF139" i="30"/>
  <c r="CE139" i="30"/>
  <c r="AR139" i="30"/>
  <c r="BB137" i="30"/>
  <c r="BU137" i="30"/>
  <c r="CA137" i="30"/>
  <c r="CD137" i="30" s="1"/>
  <c r="R137" i="30"/>
  <c r="CU137" i="30" s="1"/>
  <c r="BU130" i="30"/>
  <c r="BX130" i="30" s="1"/>
  <c r="BY130" i="30" s="1"/>
  <c r="CA130" i="30"/>
  <c r="BB130" i="30"/>
  <c r="BF130" i="30"/>
  <c r="AR109" i="30"/>
  <c r="CU130" i="30"/>
  <c r="AY116" i="30"/>
  <c r="AX116" i="30"/>
  <c r="BF132" i="30"/>
  <c r="BE132" i="30"/>
  <c r="CF129" i="30"/>
  <c r="CE129" i="30"/>
  <c r="CN121" i="30"/>
  <c r="CC128" i="30"/>
  <c r="CE113" i="30"/>
  <c r="CF113" i="30"/>
  <c r="AY113" i="30"/>
  <c r="AX113" i="30"/>
  <c r="BF98" i="30"/>
  <c r="BE98" i="30"/>
  <c r="BF96" i="30"/>
  <c r="BF118" i="30"/>
  <c r="BE118" i="30"/>
  <c r="AY111" i="30"/>
  <c r="AX111" i="30"/>
  <c r="AY102" i="30"/>
  <c r="AX102" i="30"/>
  <c r="CF108" i="30"/>
  <c r="CE108" i="30"/>
  <c r="CT93" i="30"/>
  <c r="CE83" i="30"/>
  <c r="CF83" i="30"/>
  <c r="CE117" i="30"/>
  <c r="CF117" i="30"/>
  <c r="CL73" i="30"/>
  <c r="AH73" i="30"/>
  <c r="CM73" i="30" s="1"/>
  <c r="CN73" i="30" s="1"/>
  <c r="CE94" i="30"/>
  <c r="CF94" i="30"/>
  <c r="BG65" i="30"/>
  <c r="AZ65" i="30"/>
  <c r="R65" i="30"/>
  <c r="CG65" i="30"/>
  <c r="CH65" i="30"/>
  <c r="CU65" i="30"/>
  <c r="BS65" i="30"/>
  <c r="BH65" i="30"/>
  <c r="CV46" i="30"/>
  <c r="CW46" i="30" s="1"/>
  <c r="AY21" i="30"/>
  <c r="AX21" i="30"/>
  <c r="CC92" i="30"/>
  <c r="CB92" i="30"/>
  <c r="AZ70" i="30"/>
  <c r="BS70" i="30"/>
  <c r="R70" i="30"/>
  <c r="CG70" i="30"/>
  <c r="CH70" i="30" s="1"/>
  <c r="BF126" i="30"/>
  <c r="BE126" i="30"/>
  <c r="CF75" i="30"/>
  <c r="CE75" i="30"/>
  <c r="BV95" i="30"/>
  <c r="BX95" i="30" s="1"/>
  <c r="BY95" i="30" s="1"/>
  <c r="BC95" i="30"/>
  <c r="BF95" i="30"/>
  <c r="AY48" i="30"/>
  <c r="AX48" i="30"/>
  <c r="BC16" i="30"/>
  <c r="CT16" i="30"/>
  <c r="CU16" i="30"/>
  <c r="BV16" i="30"/>
  <c r="BX16" i="30" s="1"/>
  <c r="BY16" i="30" s="1"/>
  <c r="BI60" i="30"/>
  <c r="BF60" i="30"/>
  <c r="BE60" i="30"/>
  <c r="CF46" i="30"/>
  <c r="CE46" i="30"/>
  <c r="CN28" i="30"/>
  <c r="BZ140" i="29"/>
  <c r="CB140" i="29" s="1"/>
  <c r="BQ140" i="29"/>
  <c r="BR140" i="29"/>
  <c r="CE58" i="30"/>
  <c r="CF58" i="30"/>
  <c r="CE62" i="30"/>
  <c r="CF62" i="30"/>
  <c r="CV49" i="30"/>
  <c r="CW49" i="30"/>
  <c r="CF42" i="30"/>
  <c r="CE42" i="30"/>
  <c r="BF38" i="30"/>
  <c r="BE38" i="30"/>
  <c r="AY44" i="30"/>
  <c r="CS26" i="30"/>
  <c r="CV26" i="30"/>
  <c r="CW26" i="30" s="1"/>
  <c r="BC15" i="30"/>
  <c r="BV15" i="30"/>
  <c r="Z6" i="30"/>
  <c r="BR14" i="30"/>
  <c r="AK8" i="30"/>
  <c r="BF28" i="30"/>
  <c r="CE141" i="29"/>
  <c r="CF141" i="29"/>
  <c r="AY69" i="30"/>
  <c r="AX69" i="30"/>
  <c r="CS16" i="30"/>
  <c r="AK156" i="29"/>
  <c r="CV136" i="29"/>
  <c r="AU136" i="29"/>
  <c r="AR134" i="29"/>
  <c r="CP128" i="29"/>
  <c r="BO128" i="29"/>
  <c r="BQ128" i="29"/>
  <c r="BR128" i="29" s="1"/>
  <c r="AV128" i="29"/>
  <c r="CQ136" i="29"/>
  <c r="CU20" i="30"/>
  <c r="CL141" i="29"/>
  <c r="CF120" i="29"/>
  <c r="CE120" i="29"/>
  <c r="CG63" i="30"/>
  <c r="CH63" i="30"/>
  <c r="BS63" i="30"/>
  <c r="R63" i="30"/>
  <c r="CT63" i="30" s="1"/>
  <c r="BH63" i="30"/>
  <c r="BG63" i="30"/>
  <c r="BI63" i="30"/>
  <c r="AZ63" i="30"/>
  <c r="BF63" i="30" s="1"/>
  <c r="CW136" i="29"/>
  <c r="CF133" i="29"/>
  <c r="CE133" i="29"/>
  <c r="CF132" i="29"/>
  <c r="CE132" i="29"/>
  <c r="CF16" i="30"/>
  <c r="CE16" i="30"/>
  <c r="BE113" i="29"/>
  <c r="BF113" i="29"/>
  <c r="BE92" i="29"/>
  <c r="V147" i="29"/>
  <c r="CT15" i="30"/>
  <c r="AP140" i="29"/>
  <c r="CZ140" i="29"/>
  <c r="CF135" i="29"/>
  <c r="CE135" i="29"/>
  <c r="BX128" i="29"/>
  <c r="BY128" i="29" s="1"/>
  <c r="BE114" i="29"/>
  <c r="BF114" i="29"/>
  <c r="AY119" i="29"/>
  <c r="AX119" i="29"/>
  <c r="AY122" i="29"/>
  <c r="AX122" i="29"/>
  <c r="BF84" i="29"/>
  <c r="BE84" i="29"/>
  <c r="AX87" i="29"/>
  <c r="AY61" i="29"/>
  <c r="AX61" i="29"/>
  <c r="CF112" i="29"/>
  <c r="CE112" i="29"/>
  <c r="CF94" i="29"/>
  <c r="CE94" i="29"/>
  <c r="AY125" i="29"/>
  <c r="AX125" i="29"/>
  <c r="AX68" i="29"/>
  <c r="CT54" i="29"/>
  <c r="CU54" i="29" s="1"/>
  <c r="AX43" i="29"/>
  <c r="AY43" i="29"/>
  <c r="CB28" i="29"/>
  <c r="BF19" i="29"/>
  <c r="BE19" i="29"/>
  <c r="CF88" i="29"/>
  <c r="CE88" i="29"/>
  <c r="CF76" i="29"/>
  <c r="CE76" i="29"/>
  <c r="CE69" i="29"/>
  <c r="CF69" i="29"/>
  <c r="CE66" i="29"/>
  <c r="CF66" i="29"/>
  <c r="BF63" i="29"/>
  <c r="BE63" i="29"/>
  <c r="CF105" i="29"/>
  <c r="CE105" i="29"/>
  <c r="AY104" i="29"/>
  <c r="AX63" i="29"/>
  <c r="AY63" i="29"/>
  <c r="BF34" i="29"/>
  <c r="BE34" i="29"/>
  <c r="CL15" i="29"/>
  <c r="CT71" i="29"/>
  <c r="CU71" i="29" s="1"/>
  <c r="CX69" i="29"/>
  <c r="BE23" i="29"/>
  <c r="BF23" i="29"/>
  <c r="AR14" i="29"/>
  <c r="AY109" i="29"/>
  <c r="AX109" i="29"/>
  <c r="BF36" i="29"/>
  <c r="BE36" i="29"/>
  <c r="CT18" i="29"/>
  <c r="BQ22" i="29"/>
  <c r="BR22" i="29" s="1"/>
  <c r="BE65" i="29"/>
  <c r="BF65" i="29"/>
  <c r="BF46" i="29"/>
  <c r="AK143" i="29"/>
  <c r="BC63" i="30"/>
  <c r="CC140" i="29"/>
  <c r="CS137" i="30"/>
  <c r="CV137" i="30" s="1"/>
  <c r="CW137" i="30" s="1"/>
  <c r="LH16" i="26"/>
  <c r="LI15" i="26"/>
  <c r="CF72" i="29"/>
  <c r="CE72" i="29"/>
  <c r="Z152" i="29"/>
  <c r="Z153" i="29"/>
  <c r="CM136" i="29"/>
  <c r="CJ136" i="29"/>
  <c r="AH136" i="29"/>
  <c r="AY79" i="29"/>
  <c r="AX79" i="29"/>
  <c r="CF21" i="30"/>
  <c r="CE21" i="30"/>
  <c r="CF26" i="30"/>
  <c r="CE26" i="30"/>
  <c r="BE26" i="30"/>
  <c r="BI37" i="30"/>
  <c r="CF64" i="30"/>
  <c r="CE64" i="30"/>
  <c r="BE64" i="30"/>
  <c r="BI113" i="30"/>
  <c r="BV138" i="30"/>
  <c r="BC138" i="30"/>
  <c r="AY74" i="29"/>
  <c r="AX74" i="29"/>
  <c r="BI34" i="30"/>
  <c r="CE18" i="30"/>
  <c r="CF18" i="30"/>
  <c r="CS27" i="30"/>
  <c r="CV27" i="30"/>
  <c r="CW27" i="30" s="1"/>
  <c r="CF14" i="29"/>
  <c r="CF143" i="29"/>
  <c r="CE14" i="29"/>
  <c r="CX50" i="29"/>
  <c r="AY77" i="29"/>
  <c r="AX77" i="29"/>
  <c r="CF69" i="30"/>
  <c r="CE69" i="30"/>
  <c r="CV16" i="30"/>
  <c r="CW16" i="30" s="1"/>
  <c r="BE17" i="30"/>
  <c r="BF17" i="30"/>
  <c r="BC55" i="30"/>
  <c r="BV55" i="30"/>
  <c r="BX55" i="30" s="1"/>
  <c r="BY55" i="30" s="1"/>
  <c r="AU139" i="29"/>
  <c r="AY139" i="29" s="1"/>
  <c r="BB139" i="29"/>
  <c r="CQ139" i="29"/>
  <c r="CT139" i="29" s="1"/>
  <c r="CY139" i="29"/>
  <c r="AQ139" i="29"/>
  <c r="BC85" i="30"/>
  <c r="BE85" i="30" s="1"/>
  <c r="BV85" i="30"/>
  <c r="BE63" i="30"/>
  <c r="CU63" i="30"/>
  <c r="BC65" i="30"/>
  <c r="BV65" i="30"/>
  <c r="AY76" i="29"/>
  <c r="AX76" i="29"/>
  <c r="AY128" i="29"/>
  <c r="CF35" i="30"/>
  <c r="CE35" i="30"/>
  <c r="BC91" i="30"/>
  <c r="BV91" i="30"/>
  <c r="BC121" i="30"/>
  <c r="BV121" i="30"/>
  <c r="AV136" i="29"/>
  <c r="AL146" i="29"/>
  <c r="AL143" i="29"/>
  <c r="BC47" i="29"/>
  <c r="BV47" i="29"/>
  <c r="BX47" i="29" s="1"/>
  <c r="BY47" i="29" s="1"/>
  <c r="CT79" i="29"/>
  <c r="CE30" i="30"/>
  <c r="CF30" i="30"/>
  <c r="BX15" i="30"/>
  <c r="BC37" i="30"/>
  <c r="BV37" i="30"/>
  <c r="CU24" i="30"/>
  <c r="AR73" i="30"/>
  <c r="AY77" i="30"/>
  <c r="AX77" i="30"/>
  <c r="CF134" i="30"/>
  <c r="CE134" i="30"/>
  <c r="H11" i="26"/>
  <c r="CF50" i="29"/>
  <c r="CE50" i="29"/>
  <c r="AY75" i="29"/>
  <c r="AX75" i="29"/>
  <c r="CX139" i="29"/>
  <c r="CT27" i="30"/>
  <c r="CU82" i="30"/>
  <c r="CU115" i="30"/>
  <c r="CN136" i="29"/>
  <c r="CA87" i="30"/>
  <c r="CD87" i="30" s="1"/>
  <c r="BX87" i="30"/>
  <c r="BY87" i="30" s="1"/>
  <c r="CA139" i="29"/>
  <c r="BN143" i="29"/>
  <c r="BQ139" i="29"/>
  <c r="BR139" i="29" s="1"/>
  <c r="BN146" i="29"/>
  <c r="CT85" i="30"/>
  <c r="CF105" i="30"/>
  <c r="CE105" i="30"/>
  <c r="BT143" i="30"/>
  <c r="BZ143" i="30" s="1"/>
  <c r="CX136" i="29"/>
  <c r="CT76" i="29"/>
  <c r="AY78" i="29"/>
  <c r="AX78" i="29"/>
  <c r="BC40" i="30"/>
  <c r="BV40" i="30"/>
  <c r="BX40" i="30"/>
  <c r="BY40" i="30" s="1"/>
  <c r="BE91" i="30"/>
  <c r="BF91" i="30"/>
  <c r="BX91" i="30"/>
  <c r="BY91" i="30"/>
  <c r="BV104" i="30"/>
  <c r="BC104" i="30"/>
  <c r="CT104" i="30"/>
  <c r="CU104" i="30"/>
  <c r="CS104" i="30"/>
  <c r="BA143" i="30"/>
  <c r="BE130" i="30"/>
  <c r="AR22" i="29"/>
  <c r="BE69" i="30"/>
  <c r="CS24" i="30"/>
  <c r="CS62" i="30"/>
  <c r="CV62" i="30" s="1"/>
  <c r="CW62" i="30"/>
  <c r="BF75" i="29"/>
  <c r="BE75" i="29"/>
  <c r="BE128" i="29"/>
  <c r="CF29" i="30"/>
  <c r="CE29" i="30"/>
  <c r="BC39" i="30"/>
  <c r="BV39" i="30"/>
  <c r="BX104" i="30"/>
  <c r="BY104" i="30" s="1"/>
  <c r="CE103" i="29"/>
  <c r="CF103" i="29"/>
  <c r="AO136" i="29"/>
  <c r="CO136" i="29"/>
  <c r="BE95" i="30"/>
  <c r="CU55" i="30"/>
  <c r="BV139" i="30"/>
  <c r="BC139" i="30"/>
  <c r="CU139" i="30"/>
  <c r="BE87" i="30"/>
  <c r="BF87" i="30"/>
  <c r="BV117" i="30"/>
  <c r="BC117" i="30"/>
  <c r="BF117" i="30"/>
  <c r="BC111" i="30"/>
  <c r="BV111" i="30"/>
  <c r="BD144" i="30"/>
  <c r="AW144" i="30"/>
  <c r="AN146" i="30"/>
  <c r="AM8" i="30"/>
  <c r="AM150" i="30"/>
  <c r="AM147" i="30"/>
  <c r="BX85" i="30"/>
  <c r="BY85" i="30" s="1"/>
  <c r="CO139" i="29"/>
  <c r="CS63" i="30"/>
  <c r="CV63" i="30" s="1"/>
  <c r="CW63" i="30" s="1"/>
  <c r="CT65" i="30"/>
  <c r="BI65" i="30"/>
  <c r="LD11" i="26"/>
  <c r="CE40" i="29"/>
  <c r="CF40" i="29"/>
  <c r="CF14" i="30"/>
  <c r="CF147" i="30"/>
  <c r="CE14" i="30"/>
  <c r="CF136" i="29"/>
  <c r="CE136" i="29"/>
  <c r="BC22" i="30"/>
  <c r="BV22" i="30"/>
  <c r="CR47" i="29"/>
  <c r="CR136" i="29"/>
  <c r="BF79" i="29"/>
  <c r="BC113" i="30"/>
  <c r="BE113" i="30" s="1"/>
  <c r="BV113" i="30"/>
  <c r="BX113" i="30" s="1"/>
  <c r="BY113" i="30" s="1"/>
  <c r="BC120" i="30"/>
  <c r="BV120" i="30"/>
  <c r="BX120" i="30"/>
  <c r="BY120" i="30" s="1"/>
  <c r="BI138" i="30"/>
  <c r="CT75" i="29"/>
  <c r="CU75" i="29"/>
  <c r="BV50" i="29"/>
  <c r="BX50" i="29" s="1"/>
  <c r="BY50" i="29" s="1"/>
  <c r="BC50" i="29"/>
  <c r="CF32" i="30"/>
  <c r="CE32" i="30"/>
  <c r="BC34" i="30"/>
  <c r="BE34" i="30" s="1"/>
  <c r="BF34" i="30"/>
  <c r="BV34" i="30"/>
  <c r="BX34" i="30"/>
  <c r="BY34" i="30" s="1"/>
  <c r="BX39" i="30"/>
  <c r="BY39" i="30" s="1"/>
  <c r="BF74" i="30"/>
  <c r="CM49" i="30"/>
  <c r="CN49" i="30"/>
  <c r="CV99" i="30"/>
  <c r="CW99" i="30" s="1"/>
  <c r="CW139" i="30"/>
  <c r="AR119" i="29"/>
  <c r="AP136" i="29"/>
  <c r="AP156" i="29"/>
  <c r="BF21" i="30"/>
  <c r="BX117" i="30"/>
  <c r="BY117" i="30"/>
  <c r="BX111" i="30"/>
  <c r="BY111" i="30" s="1"/>
  <c r="CR144" i="30"/>
  <c r="Z144" i="30"/>
  <c r="BO144" i="30"/>
  <c r="BQ144" i="30" s="1"/>
  <c r="BR144" i="30" s="1"/>
  <c r="BV144" i="30"/>
  <c r="BX144" i="30"/>
  <c r="BY144" i="30" s="1"/>
  <c r="AL144" i="30"/>
  <c r="AL8" i="30" s="1"/>
  <c r="W8" i="30"/>
  <c r="BF85" i="30"/>
  <c r="CL57" i="30"/>
  <c r="CN57" i="30" s="1"/>
  <c r="CZ136" i="29"/>
  <c r="BX65" i="30"/>
  <c r="BY65" i="30"/>
  <c r="CS65" i="30"/>
  <c r="CF128" i="30"/>
  <c r="CT78" i="29"/>
  <c r="CU78" i="29" s="1"/>
  <c r="CF31" i="30"/>
  <c r="CE31" i="30"/>
  <c r="BV94" i="30"/>
  <c r="BX94" i="30" s="1"/>
  <c r="BY94" i="30" s="1"/>
  <c r="BC94" i="30"/>
  <c r="CU94" i="30"/>
  <c r="CU91" i="30"/>
  <c r="CU121" i="30"/>
  <c r="CT121" i="30"/>
  <c r="CU14" i="29"/>
  <c r="BF37" i="30"/>
  <c r="BV24" i="30"/>
  <c r="BC24" i="30"/>
  <c r="BF24" i="30"/>
  <c r="CE74" i="29"/>
  <c r="CF74" i="29"/>
  <c r="BC136" i="29"/>
  <c r="BC27" i="30"/>
  <c r="BV27" i="30"/>
  <c r="BX27" i="30" s="1"/>
  <c r="BY27" i="30" s="1"/>
  <c r="CS82" i="30"/>
  <c r="CV82" i="30" s="1"/>
  <c r="CW82" i="30" s="1"/>
  <c r="CV74" i="30"/>
  <c r="CW74" i="30"/>
  <c r="BF99" i="30"/>
  <c r="BE99" i="30"/>
  <c r="BC115" i="30"/>
  <c r="BV115" i="30"/>
  <c r="BX115" i="30" s="1"/>
  <c r="BY115" i="30" s="1"/>
  <c r="AH160" i="30"/>
  <c r="CM160" i="30" s="1"/>
  <c r="CN160" i="30" s="1"/>
  <c r="CM139" i="30"/>
  <c r="CF110" i="29"/>
  <c r="CE110" i="29"/>
  <c r="AQ136" i="29"/>
  <c r="BF55" i="30"/>
  <c r="BE55" i="30"/>
  <c r="DM139" i="30"/>
  <c r="DN139" i="30" s="1"/>
  <c r="BD139" i="30"/>
  <c r="BW139" i="30"/>
  <c r="BE111" i="30"/>
  <c r="BF111" i="30"/>
  <c r="DN144" i="30"/>
  <c r="DL147" i="30"/>
  <c r="BP147" i="30"/>
  <c r="BV137" i="30"/>
  <c r="BC137" i="30"/>
  <c r="BF137" i="30" s="1"/>
  <c r="S137" i="30"/>
  <c r="BD137" i="30" s="1"/>
  <c r="BE137" i="30" s="1"/>
  <c r="CT137" i="30"/>
  <c r="CF56" i="30"/>
  <c r="CE56" i="30"/>
  <c r="BI22" i="30"/>
  <c r="BO150" i="30"/>
  <c r="BO147" i="30"/>
  <c r="CN15" i="30"/>
  <c r="BF77" i="30"/>
  <c r="BV62" i="30"/>
  <c r="BX62" i="30" s="1"/>
  <c r="BY62" i="30" s="1"/>
  <c r="BC62" i="30"/>
  <c r="BE62" i="30"/>
  <c r="CE136" i="30"/>
  <c r="CF136" i="30"/>
  <c r="AY143" i="30"/>
  <c r="AX143" i="30"/>
  <c r="CS138" i="30"/>
  <c r="CV138" i="30" s="1"/>
  <c r="CW138" i="30" s="1"/>
  <c r="CF36" i="29"/>
  <c r="CE36" i="29"/>
  <c r="BF50" i="29"/>
  <c r="BE50" i="29"/>
  <c r="CU119" i="29"/>
  <c r="BF74" i="29"/>
  <c r="BE74" i="29"/>
  <c r="BC82" i="30"/>
  <c r="BF82" i="30" s="1"/>
  <c r="BE82" i="30"/>
  <c r="BV82" i="30"/>
  <c r="BX82" i="30" s="1"/>
  <c r="BY82" i="30" s="1"/>
  <c r="LQ16" i="26"/>
  <c r="LP17" i="26"/>
  <c r="LQ17" i="26" s="1"/>
  <c r="BE77" i="29"/>
  <c r="BF77" i="29"/>
  <c r="CY136" i="29"/>
  <c r="BX139" i="30"/>
  <c r="BY139" i="30" s="1"/>
  <c r="LS15" i="26"/>
  <c r="LR16" i="26"/>
  <c r="CJ139" i="29"/>
  <c r="AH139" i="29"/>
  <c r="AR139" i="29" s="1"/>
  <c r="CM139" i="29"/>
  <c r="BF136" i="29"/>
  <c r="BE117" i="30"/>
  <c r="BF62" i="30"/>
  <c r="AV144" i="30"/>
  <c r="DB144" i="30"/>
  <c r="CT144" i="30"/>
  <c r="AP144" i="30"/>
  <c r="AO144" i="30"/>
  <c r="CQ144" i="30"/>
  <c r="CP144" i="30"/>
  <c r="DA144" i="30"/>
  <c r="CS144" i="30"/>
  <c r="CV144" i="30" s="1"/>
  <c r="AL147" i="30"/>
  <c r="CD139" i="29"/>
  <c r="CB139" i="29"/>
  <c r="CT136" i="29"/>
  <c r="AR136" i="29"/>
  <c r="BE24" i="30"/>
  <c r="LR17" i="26"/>
  <c r="LS16" i="26"/>
  <c r="BE22" i="30"/>
  <c r="BF113" i="30"/>
  <c r="CL136" i="29"/>
  <c r="CJ144" i="30"/>
  <c r="AH144" i="30"/>
  <c r="CO144" i="30"/>
  <c r="BF22" i="30"/>
  <c r="CE147" i="29"/>
  <c r="CE143" i="29"/>
  <c r="CE147" i="30"/>
  <c r="CE151" i="30"/>
  <c r="CC143" i="30"/>
  <c r="BX22" i="30"/>
  <c r="BY22" i="30" s="1"/>
  <c r="BY15" i="30"/>
  <c r="LI16" i="26"/>
  <c r="LH17" i="26"/>
  <c r="LI17" i="26" s="1"/>
  <c r="CU136" i="29"/>
  <c r="LH18" i="26"/>
  <c r="LH19" i="26" s="1"/>
  <c r="CF139" i="29"/>
  <c r="CE139" i="29"/>
  <c r="CW144" i="30"/>
  <c r="CM144" i="30"/>
  <c r="CN144" i="30" s="1"/>
  <c r="CL144" i="30"/>
  <c r="LS17" i="26"/>
  <c r="LR18" i="26"/>
  <c r="LS18" i="26" s="1"/>
  <c r="LR19" i="26"/>
  <c r="LS19" i="26" s="1"/>
  <c r="LI18" i="26"/>
  <c r="LR20" i="26"/>
  <c r="LR21" i="26" s="1"/>
  <c r="LS20" i="26"/>
  <c r="LR22" i="26"/>
  <c r="LR23" i="26" s="1"/>
  <c r="LS23" i="26" s="1"/>
  <c r="LS21" i="26"/>
  <c r="CW59" i="29" l="1"/>
  <c r="AX139" i="29"/>
  <c r="CO59" i="29"/>
  <c r="CV59" i="29"/>
  <c r="CX59" i="29" s="1"/>
  <c r="P76" i="13"/>
  <c r="P37" i="13"/>
  <c r="P28" i="13"/>
  <c r="P25" i="13"/>
  <c r="P16" i="13"/>
  <c r="P13" i="13"/>
  <c r="O128" i="13"/>
  <c r="O125" i="13"/>
  <c r="O122" i="13"/>
  <c r="O119" i="13"/>
  <c r="O106" i="13"/>
  <c r="O100" i="13"/>
  <c r="O82" i="13"/>
  <c r="O79" i="13"/>
  <c r="O73" i="13"/>
  <c r="O70" i="13"/>
  <c r="O67" i="13"/>
  <c r="P55" i="13"/>
  <c r="O49" i="13"/>
  <c r="O43" i="13"/>
  <c r="O40" i="13"/>
  <c r="O34" i="13"/>
  <c r="O25" i="13"/>
  <c r="O13" i="13"/>
  <c r="O134" i="13"/>
  <c r="O131" i="13"/>
  <c r="O112" i="13"/>
  <c r="K91" i="13"/>
  <c r="O88" i="13"/>
  <c r="K70" i="13"/>
  <c r="K61" i="13"/>
  <c r="K37" i="13"/>
  <c r="K25" i="13"/>
  <c r="K19" i="13"/>
  <c r="K7" i="13"/>
  <c r="K3" i="13" s="1"/>
  <c r="P121" i="13"/>
  <c r="P81" i="13"/>
  <c r="P36" i="13"/>
  <c r="P12" i="13"/>
  <c r="O75" i="13"/>
  <c r="O84" i="13"/>
  <c r="K33" i="13"/>
  <c r="K15" i="13"/>
  <c r="K9" i="13"/>
  <c r="R37" i="13"/>
  <c r="J37" i="13" s="1"/>
  <c r="K143" i="13"/>
  <c r="P123" i="13"/>
  <c r="K114" i="13"/>
  <c r="O8" i="13"/>
  <c r="K29" i="13"/>
  <c r="K11" i="13"/>
  <c r="K59" i="13"/>
  <c r="AB132" i="13"/>
  <c r="LH20" i="26"/>
  <c r="LI19" i="26"/>
  <c r="Q64" i="13"/>
  <c r="I64" i="13" s="1"/>
  <c r="P64" i="13"/>
  <c r="Q46" i="13"/>
  <c r="I46" i="13" s="1"/>
  <c r="P46" i="13"/>
  <c r="Q19" i="13"/>
  <c r="P19" i="13"/>
  <c r="AX136" i="29"/>
  <c r="AY136" i="29"/>
  <c r="AU152" i="29"/>
  <c r="AT156" i="29" s="1"/>
  <c r="AT158" i="29" s="1"/>
  <c r="CU140" i="29"/>
  <c r="CU30" i="29"/>
  <c r="BF32" i="30"/>
  <c r="BE32" i="30"/>
  <c r="CC138" i="30"/>
  <c r="CB138" i="30"/>
  <c r="AV126" i="31"/>
  <c r="AQ126" i="31"/>
  <c r="AR126" i="31" s="1"/>
  <c r="BC126" i="31"/>
  <c r="CS126" i="31"/>
  <c r="AP126" i="31"/>
  <c r="CQ126" i="31"/>
  <c r="DB126" i="31"/>
  <c r="DA126" i="31"/>
  <c r="DA145" i="31" s="1"/>
  <c r="DA149" i="31" s="1"/>
  <c r="CT126" i="31"/>
  <c r="CP126" i="31"/>
  <c r="CV126" i="31" s="1"/>
  <c r="CW126" i="31" s="1"/>
  <c r="AL145" i="31"/>
  <c r="AO126" i="31"/>
  <c r="BZ131" i="30"/>
  <c r="BT150" i="30"/>
  <c r="BT147" i="30"/>
  <c r="CW123" i="30"/>
  <c r="BF27" i="30"/>
  <c r="BE27" i="30"/>
  <c r="CD130" i="30"/>
  <c r="CB130" i="30"/>
  <c r="BE120" i="30"/>
  <c r="BF120" i="30"/>
  <c r="CW23" i="30"/>
  <c r="BF94" i="30"/>
  <c r="BE94" i="30"/>
  <c r="AY131" i="29"/>
  <c r="CU139" i="29"/>
  <c r="CB104" i="30"/>
  <c r="CC104" i="30"/>
  <c r="AX115" i="29"/>
  <c r="AY115" i="29"/>
  <c r="LR24" i="26"/>
  <c r="CN16" i="30"/>
  <c r="AY99" i="30"/>
  <c r="AX99" i="30"/>
  <c r="LS22" i="26"/>
  <c r="CT70" i="30"/>
  <c r="CS70" i="30"/>
  <c r="CV70" i="30" s="1"/>
  <c r="CW70" i="30" s="1"/>
  <c r="BV70" i="30"/>
  <c r="BX70" i="30" s="1"/>
  <c r="BY70" i="30" s="1"/>
  <c r="CU70" i="30"/>
  <c r="BC70" i="30"/>
  <c r="R143" i="30"/>
  <c r="CS143" i="30" s="1"/>
  <c r="CV143" i="30" s="1"/>
  <c r="CW143" i="30" s="1"/>
  <c r="BU143" i="30"/>
  <c r="BB143" i="30"/>
  <c r="DM137" i="30"/>
  <c r="BW137" i="30"/>
  <c r="BW147" i="30" s="1"/>
  <c r="CF140" i="29"/>
  <c r="CE140" i="29"/>
  <c r="CF142" i="30"/>
  <c r="CE142" i="30"/>
  <c r="CE79" i="30"/>
  <c r="CF79" i="30"/>
  <c r="CE124" i="29"/>
  <c r="CF124" i="29"/>
  <c r="BF65" i="30"/>
  <c r="BE65" i="30"/>
  <c r="BI39" i="30"/>
  <c r="CV65" i="30"/>
  <c r="CW65" i="30" s="1"/>
  <c r="CB87" i="30"/>
  <c r="CE92" i="30"/>
  <c r="CF92" i="30"/>
  <c r="BX138" i="30"/>
  <c r="BY138" i="30" s="1"/>
  <c r="BD136" i="29"/>
  <c r="BE136" i="29" s="1"/>
  <c r="DH136" i="29"/>
  <c r="BW136" i="29"/>
  <c r="BF33" i="30"/>
  <c r="BE33" i="30"/>
  <c r="BF139" i="29"/>
  <c r="BE139" i="29"/>
  <c r="CE28" i="29"/>
  <c r="CF28" i="29"/>
  <c r="CC137" i="30"/>
  <c r="CB137" i="30"/>
  <c r="CW134" i="30"/>
  <c r="CB78" i="30"/>
  <c r="CC78" i="30"/>
  <c r="BE14" i="31"/>
  <c r="BF40" i="30"/>
  <c r="BE40" i="30"/>
  <c r="BX121" i="30"/>
  <c r="BY121" i="30" s="1"/>
  <c r="BW150" i="30"/>
  <c r="CF67" i="30"/>
  <c r="LM14" i="26"/>
  <c r="LL15" i="26"/>
  <c r="AY130" i="30"/>
  <c r="AX130" i="30"/>
  <c r="LP18" i="26"/>
  <c r="AL150" i="30"/>
  <c r="BC144" i="30"/>
  <c r="CT120" i="30"/>
  <c r="CL80" i="29"/>
  <c r="CC81" i="29"/>
  <c r="CB81" i="29"/>
  <c r="CC101" i="29"/>
  <c r="CB101" i="29"/>
  <c r="CC102" i="29"/>
  <c r="CB102" i="29"/>
  <c r="CA104" i="29"/>
  <c r="BQ104" i="29"/>
  <c r="BR104" i="29" s="1"/>
  <c r="CU143" i="30"/>
  <c r="AQ144" i="30"/>
  <c r="AR144" i="30" s="1"/>
  <c r="CU37" i="30"/>
  <c r="CM79" i="30"/>
  <c r="CN79" i="30" s="1"/>
  <c r="CT34" i="30"/>
  <c r="AY139" i="30"/>
  <c r="CS117" i="30"/>
  <c r="CV117" i="30" s="1"/>
  <c r="CW117" i="30" s="1"/>
  <c r="CU117" i="30"/>
  <c r="CN112" i="30"/>
  <c r="CT21" i="30"/>
  <c r="CS21" i="30"/>
  <c r="CV21" i="30" s="1"/>
  <c r="CU21" i="30"/>
  <c r="CN32" i="30"/>
  <c r="CU102" i="29"/>
  <c r="CU23" i="29"/>
  <c r="CU72" i="29"/>
  <c r="BI65" i="29"/>
  <c r="AZ66" i="29"/>
  <c r="CR66" i="29"/>
  <c r="CG66" i="29"/>
  <c r="CH66" i="29" s="1"/>
  <c r="CS66" i="29"/>
  <c r="BS66" i="29"/>
  <c r="BX66" i="29" s="1"/>
  <c r="BY66" i="29" s="1"/>
  <c r="CQ66" i="29"/>
  <c r="CV70" i="29"/>
  <c r="CX70" i="29" s="1"/>
  <c r="BB70" i="29"/>
  <c r="CN70" i="29"/>
  <c r="CT70" i="29" s="1"/>
  <c r="CU70" i="29" s="1"/>
  <c r="AP70" i="29"/>
  <c r="CZ70" i="29"/>
  <c r="CO70" i="29"/>
  <c r="AO70" i="29"/>
  <c r="AU70" i="29"/>
  <c r="CQ70" i="29"/>
  <c r="CK72" i="29"/>
  <c r="CL72" i="29" s="1"/>
  <c r="AH72" i="29"/>
  <c r="AR72" i="29" s="1"/>
  <c r="CA73" i="29"/>
  <c r="BV63" i="30"/>
  <c r="BX63" i="30" s="1"/>
  <c r="BY63" i="30" s="1"/>
  <c r="CS37" i="30"/>
  <c r="CV37" i="30" s="1"/>
  <c r="CW37" i="30" s="1"/>
  <c r="CU120" i="30"/>
  <c r="CL128" i="30"/>
  <c r="CN128" i="30" s="1"/>
  <c r="BE36" i="30"/>
  <c r="BF36" i="30"/>
  <c r="AR90" i="29"/>
  <c r="AY83" i="29"/>
  <c r="CJ59" i="29"/>
  <c r="CL59" i="29" s="1"/>
  <c r="CM59" i="29"/>
  <c r="AH59" i="29"/>
  <c r="CU59" i="29" s="1"/>
  <c r="CQ60" i="29"/>
  <c r="CT60" i="29" s="1"/>
  <c r="CU60" i="29" s="1"/>
  <c r="BC60" i="29"/>
  <c r="CR60" i="29"/>
  <c r="BV60" i="29"/>
  <c r="CD60" i="29"/>
  <c r="CB60" i="29"/>
  <c r="CK61" i="29"/>
  <c r="DB61" i="29"/>
  <c r="CZ61" i="29"/>
  <c r="CM61" i="29"/>
  <c r="AX62" i="29"/>
  <c r="AY62" i="29"/>
  <c r="CY143" i="30"/>
  <c r="CN93" i="30"/>
  <c r="CL56" i="30"/>
  <c r="CN56" i="30" s="1"/>
  <c r="AY127" i="29"/>
  <c r="AX127" i="29"/>
  <c r="BG51" i="29"/>
  <c r="BI51" i="29" s="1"/>
  <c r="CP51" i="29"/>
  <c r="AS51" i="29"/>
  <c r="CG51" i="29"/>
  <c r="CH51" i="29" s="1"/>
  <c r="BL51" i="29"/>
  <c r="BQ51" i="29" s="1"/>
  <c r="BR51" i="29" s="1"/>
  <c r="CN51" i="29"/>
  <c r="CT51" i="29" s="1"/>
  <c r="CU51" i="29" s="1"/>
  <c r="CO51" i="29"/>
  <c r="CS34" i="30"/>
  <c r="CV34" i="30" s="1"/>
  <c r="CW34" i="30" s="1"/>
  <c r="CS55" i="30"/>
  <c r="CV55" i="30" s="1"/>
  <c r="CW55" i="30" s="1"/>
  <c r="CN142" i="30"/>
  <c r="CN109" i="30"/>
  <c r="CC46" i="29"/>
  <c r="CB46" i="29"/>
  <c r="AY22" i="29"/>
  <c r="CT115" i="30"/>
  <c r="CN75" i="30"/>
  <c r="CT48" i="29"/>
  <c r="CU48" i="29" s="1"/>
  <c r="CL44" i="29"/>
  <c r="BD46" i="29"/>
  <c r="BE46" i="29" s="1"/>
  <c r="AO46" i="29"/>
  <c r="AW46" i="29"/>
  <c r="AM146" i="29"/>
  <c r="AP46" i="29"/>
  <c r="CN108" i="30"/>
  <c r="CX103" i="29"/>
  <c r="AP24" i="29"/>
  <c r="AO24" i="29"/>
  <c r="AQ24" i="29"/>
  <c r="AR24" i="29" s="1"/>
  <c r="CY24" i="29"/>
  <c r="CZ24" i="29"/>
  <c r="CN24" i="29"/>
  <c r="CT24" i="29" s="1"/>
  <c r="CU24" i="29" s="1"/>
  <c r="CO24" i="29"/>
  <c r="AL8" i="29"/>
  <c r="CB27" i="29"/>
  <c r="CC27" i="29"/>
  <c r="CD35" i="29"/>
  <c r="CB35" i="29"/>
  <c r="CK35" i="29"/>
  <c r="CL35" i="29" s="1"/>
  <c r="AH35" i="29"/>
  <c r="CU35" i="29" s="1"/>
  <c r="CC37" i="29"/>
  <c r="CB37" i="29"/>
  <c r="BE78" i="29"/>
  <c r="CN91" i="30"/>
  <c r="CN27" i="30"/>
  <c r="CS20" i="29"/>
  <c r="CQ20" i="29"/>
  <c r="CT20" i="29" s="1"/>
  <c r="CU20" i="29" s="1"/>
  <c r="BV20" i="29"/>
  <c r="BC20" i="29"/>
  <c r="CP21" i="29"/>
  <c r="CO21" i="29"/>
  <c r="BO21" i="29"/>
  <c r="AV21" i="29"/>
  <c r="CN21" i="29"/>
  <c r="CT21" i="29" s="1"/>
  <c r="CU21" i="29" s="1"/>
  <c r="CN114" i="30"/>
  <c r="AR80" i="30"/>
  <c r="CS60" i="30"/>
  <c r="CU60" i="30"/>
  <c r="CT60" i="30"/>
  <c r="BF25" i="29"/>
  <c r="AX48" i="29"/>
  <c r="CB16" i="29"/>
  <c r="CC16" i="29"/>
  <c r="AO143" i="30"/>
  <c r="CT81" i="30"/>
  <c r="AO50" i="29"/>
  <c r="CQ24" i="29"/>
  <c r="CW31" i="29"/>
  <c r="CV31" i="29"/>
  <c r="CR31" i="29"/>
  <c r="AP31" i="29"/>
  <c r="CQ31" i="29"/>
  <c r="CY31" i="29"/>
  <c r="AQ31" i="29"/>
  <c r="AR31" i="29" s="1"/>
  <c r="CZ31" i="29"/>
  <c r="BB31" i="29"/>
  <c r="CN31" i="29"/>
  <c r="CO31" i="29"/>
  <c r="AO31" i="29"/>
  <c r="CK32" i="29"/>
  <c r="CL32" i="29" s="1"/>
  <c r="AH32" i="29"/>
  <c r="CM32" i="29"/>
  <c r="H7" i="29"/>
  <c r="CJ33" i="29"/>
  <c r="CL33" i="29" s="1"/>
  <c r="CY33" i="29"/>
  <c r="CM35" i="29"/>
  <c r="AO39" i="29"/>
  <c r="CY39" i="29"/>
  <c r="CW39" i="29"/>
  <c r="CX39" i="29" s="1"/>
  <c r="AP39" i="29"/>
  <c r="CR39" i="29"/>
  <c r="BA39" i="29"/>
  <c r="CN39" i="29"/>
  <c r="CQ39" i="29"/>
  <c r="BS42" i="29"/>
  <c r="BX42" i="29" s="1"/>
  <c r="BY42" i="29" s="1"/>
  <c r="CQ42" i="29"/>
  <c r="CS42" i="29"/>
  <c r="AZ42" i="29"/>
  <c r="CO42" i="29"/>
  <c r="BQ45" i="29"/>
  <c r="BR45" i="29" s="1"/>
  <c r="BH65" i="29"/>
  <c r="CS65" i="29"/>
  <c r="CA68" i="29"/>
  <c r="BQ68" i="29"/>
  <c r="BR68" i="29" s="1"/>
  <c r="BZ75" i="29"/>
  <c r="BX75" i="29"/>
  <c r="BY75" i="29" s="1"/>
  <c r="BX78" i="29"/>
  <c r="BY78" i="29" s="1"/>
  <c r="AH79" i="29"/>
  <c r="CU79" i="29" s="1"/>
  <c r="CM79" i="29"/>
  <c r="CW98" i="29"/>
  <c r="CV98" i="29"/>
  <c r="BB98" i="29"/>
  <c r="AU98" i="29"/>
  <c r="CU38" i="30"/>
  <c r="AH50" i="29"/>
  <c r="CB15" i="29"/>
  <c r="CC15" i="29"/>
  <c r="CG22" i="29"/>
  <c r="BH22" i="29"/>
  <c r="CS22" i="29"/>
  <c r="BS22" i="29"/>
  <c r="CM23" i="29"/>
  <c r="AH23" i="29"/>
  <c r="AR23" i="29" s="1"/>
  <c r="CJ23" i="29"/>
  <c r="CL23" i="29" s="1"/>
  <c r="BC24" i="29"/>
  <c r="CM30" i="29"/>
  <c r="AH30" i="29"/>
  <c r="AR30" i="29" s="1"/>
  <c r="AR32" i="29"/>
  <c r="AY37" i="29"/>
  <c r="CB38" i="29"/>
  <c r="BV44" i="29"/>
  <c r="BX44" i="29" s="1"/>
  <c r="BY44" i="29" s="1"/>
  <c r="BC44" i="29"/>
  <c r="CB61" i="29"/>
  <c r="CC61" i="29"/>
  <c r="BD64" i="29"/>
  <c r="BE64" i="29" s="1"/>
  <c r="AW64" i="29"/>
  <c r="AQ70" i="29"/>
  <c r="AR70" i="29" s="1"/>
  <c r="CC17" i="29"/>
  <c r="CB17" i="29"/>
  <c r="CR20" i="29"/>
  <c r="CA31" i="29"/>
  <c r="BQ31" i="29"/>
  <c r="BR31" i="29" s="1"/>
  <c r="CC33" i="29"/>
  <c r="CB33" i="29"/>
  <c r="AQ56" i="29"/>
  <c r="AR56" i="29" s="1"/>
  <c r="CR56" i="29"/>
  <c r="CQ56" i="29"/>
  <c r="CT56" i="29" s="1"/>
  <c r="CU56" i="29" s="1"/>
  <c r="CY56" i="29"/>
  <c r="AZ56" i="29"/>
  <c r="CY66" i="29"/>
  <c r="AQ66" i="29"/>
  <c r="CY70" i="29"/>
  <c r="CM72" i="29"/>
  <c r="BZ51" i="29"/>
  <c r="CC54" i="29"/>
  <c r="CB54" i="29"/>
  <c r="CK62" i="29"/>
  <c r="CL62" i="29" s="1"/>
  <c r="DB62" i="29"/>
  <c r="CD70" i="29"/>
  <c r="CB77" i="29"/>
  <c r="CC77" i="29"/>
  <c r="CM98" i="30"/>
  <c r="CN98" i="30" s="1"/>
  <c r="CT42" i="30"/>
  <c r="CD62" i="29"/>
  <c r="BX14" i="29"/>
  <c r="DI40" i="29"/>
  <c r="CB44" i="29"/>
  <c r="CC44" i="29"/>
  <c r="AH46" i="29"/>
  <c r="CU46" i="29" s="1"/>
  <c r="CK46" i="29"/>
  <c r="CL46" i="29" s="1"/>
  <c r="BQ52" i="29"/>
  <c r="BR52" i="29" s="1"/>
  <c r="CC55" i="29"/>
  <c r="AH82" i="29"/>
  <c r="CK82" i="29"/>
  <c r="CU81" i="30"/>
  <c r="CB50" i="30"/>
  <c r="CB19" i="29"/>
  <c r="CC19" i="29"/>
  <c r="CB20" i="29"/>
  <c r="CD22" i="29"/>
  <c r="AY35" i="29"/>
  <c r="CJ39" i="29"/>
  <c r="CL39" i="29" s="1"/>
  <c r="AH39" i="29"/>
  <c r="AR39" i="29" s="1"/>
  <c r="CM39" i="29"/>
  <c r="AV48" i="29"/>
  <c r="AY48" i="29" s="1"/>
  <c r="BC48" i="29"/>
  <c r="BE48" i="29" s="1"/>
  <c r="CB52" i="29"/>
  <c r="CM62" i="29"/>
  <c r="BS63" i="29"/>
  <c r="BX63" i="29" s="1"/>
  <c r="BY63" i="29" s="1"/>
  <c r="CR63" i="29"/>
  <c r="BQ73" i="29"/>
  <c r="BR73" i="29" s="1"/>
  <c r="CM140" i="29"/>
  <c r="CJ140" i="29"/>
  <c r="CL140" i="29" s="1"/>
  <c r="AH140" i="29"/>
  <c r="AR140" i="29" s="1"/>
  <c r="AX97" i="30"/>
  <c r="AY15" i="29"/>
  <c r="BX16" i="29"/>
  <c r="BY16" i="29" s="1"/>
  <c r="BD21" i="29"/>
  <c r="BE21" i="29" s="1"/>
  <c r="AW21" i="29"/>
  <c r="AM8" i="29"/>
  <c r="AO21" i="29"/>
  <c r="AP21" i="29"/>
  <c r="BQ27" i="29"/>
  <c r="BR27" i="29" s="1"/>
  <c r="U147" i="29"/>
  <c r="U148" i="29" s="1"/>
  <c r="AJ28" i="29"/>
  <c r="U8" i="29"/>
  <c r="CW47" i="29"/>
  <c r="CZ47" i="29"/>
  <c r="CV47" i="29"/>
  <c r="BA47" i="29"/>
  <c r="AQ47" i="29"/>
  <c r="AR47" i="29" s="1"/>
  <c r="AT47" i="29"/>
  <c r="CO47" i="29"/>
  <c r="CC47" i="29"/>
  <c r="AO47" i="29"/>
  <c r="CB48" i="29"/>
  <c r="CC48" i="29"/>
  <c r="AI49" i="29"/>
  <c r="BL49" i="29"/>
  <c r="BQ49" i="29" s="1"/>
  <c r="BR49" i="29" s="1"/>
  <c r="Z49" i="29"/>
  <c r="T147" i="29"/>
  <c r="AY52" i="29"/>
  <c r="DI53" i="29"/>
  <c r="BB56" i="29"/>
  <c r="AU56" i="29"/>
  <c r="CG67" i="29"/>
  <c r="CH67" i="29" s="1"/>
  <c r="CB70" i="29"/>
  <c r="BE72" i="29"/>
  <c r="CB80" i="29"/>
  <c r="CC80" i="29"/>
  <c r="CW80" i="29"/>
  <c r="CV80" i="29"/>
  <c r="CX80" i="29" s="1"/>
  <c r="AU80" i="29"/>
  <c r="AO80" i="29"/>
  <c r="CQ80" i="29"/>
  <c r="CT80" i="29" s="1"/>
  <c r="CU80" i="29" s="1"/>
  <c r="CH80" i="29"/>
  <c r="BB80" i="29"/>
  <c r="CL34" i="29"/>
  <c r="BQ29" i="29"/>
  <c r="BR29" i="29" s="1"/>
  <c r="CM34" i="29"/>
  <c r="CZ34" i="29"/>
  <c r="CK34" i="29"/>
  <c r="BG38" i="29"/>
  <c r="BI38" i="29" s="1"/>
  <c r="CO38" i="29"/>
  <c r="CN38" i="29"/>
  <c r="CT38" i="29" s="1"/>
  <c r="CU38" i="29" s="1"/>
  <c r="BL38" i="29"/>
  <c r="AS38" i="29"/>
  <c r="BZ39" i="29"/>
  <c r="CA47" i="29"/>
  <c r="BQ47" i="29"/>
  <c r="BR47" i="29" s="1"/>
  <c r="BB58" i="29"/>
  <c r="CQ58" i="29"/>
  <c r="CT58" i="29" s="1"/>
  <c r="CU58" i="29" s="1"/>
  <c r="CY58" i="29"/>
  <c r="CD58" i="29"/>
  <c r="AU58" i="29"/>
  <c r="AQ58" i="29"/>
  <c r="AR58" i="29" s="1"/>
  <c r="CN16" i="29"/>
  <c r="AQ16" i="29"/>
  <c r="CZ16" i="29"/>
  <c r="CQ16" i="29"/>
  <c r="BA16" i="29"/>
  <c r="AT16" i="29"/>
  <c r="AP16" i="29"/>
  <c r="AO16" i="29"/>
  <c r="CO16" i="29"/>
  <c r="CV16" i="29"/>
  <c r="BC22" i="29"/>
  <c r="BV22" i="29"/>
  <c r="CJ25" i="29"/>
  <c r="CL25" i="29" s="1"/>
  <c r="CM25" i="29"/>
  <c r="CY25" i="29"/>
  <c r="CW25" i="29"/>
  <c r="AU25" i="29"/>
  <c r="AQ25" i="29"/>
  <c r="AR25" i="29" s="1"/>
  <c r="CV25" i="29"/>
  <c r="AK8" i="29"/>
  <c r="CN25" i="29"/>
  <c r="CR25" i="29"/>
  <c r="CH25" i="29"/>
  <c r="CZ25" i="29"/>
  <c r="BB25" i="29"/>
  <c r="BE25" i="29" s="1"/>
  <c r="CO25" i="29"/>
  <c r="CQ25" i="29"/>
  <c r="CC26" i="29"/>
  <c r="CB26" i="29"/>
  <c r="AH28" i="29"/>
  <c r="CJ28" i="29"/>
  <c r="CL28" i="29" s="1"/>
  <c r="CM28" i="29"/>
  <c r="BD30" i="29"/>
  <c r="BE30" i="29" s="1"/>
  <c r="AO30" i="29"/>
  <c r="AW30" i="29"/>
  <c r="AW31" i="29"/>
  <c r="BD31" i="29"/>
  <c r="BE32" i="29"/>
  <c r="AH37" i="29"/>
  <c r="AR37" i="29" s="1"/>
  <c r="CM37" i="29"/>
  <c r="CJ37" i="29"/>
  <c r="CL37" i="29" s="1"/>
  <c r="CB53" i="29"/>
  <c r="CC56" i="29"/>
  <c r="CB56" i="29"/>
  <c r="BL60" i="29"/>
  <c r="BQ60" i="29" s="1"/>
  <c r="BR60" i="29" s="1"/>
  <c r="BG60" i="29"/>
  <c r="BI60" i="29" s="1"/>
  <c r="AZ70" i="29"/>
  <c r="CR70" i="29"/>
  <c r="CP77" i="29"/>
  <c r="Z77" i="29"/>
  <c r="BL77" i="29"/>
  <c r="BQ77" i="29" s="1"/>
  <c r="BR77" i="29" s="1"/>
  <c r="BX80" i="29"/>
  <c r="BY80" i="29" s="1"/>
  <c r="AR35" i="29"/>
  <c r="CJ18" i="29"/>
  <c r="CL18" i="29" s="1"/>
  <c r="AH18" i="29"/>
  <c r="CM18" i="29"/>
  <c r="AH21" i="29"/>
  <c r="AR21" i="29" s="1"/>
  <c r="AG8" i="29"/>
  <c r="AF8" i="29" s="1"/>
  <c r="CK21" i="29"/>
  <c r="CM21" i="29"/>
  <c r="CL21" i="29"/>
  <c r="BA29" i="29"/>
  <c r="CW29" i="29"/>
  <c r="CX29" i="29" s="1"/>
  <c r="AT29" i="29"/>
  <c r="CC29" i="29"/>
  <c r="AQ29" i="29"/>
  <c r="AR29" i="29" s="1"/>
  <c r="AP42" i="29"/>
  <c r="CN42" i="29"/>
  <c r="CW42" i="29"/>
  <c r="CX42" i="29" s="1"/>
  <c r="BB42" i="29"/>
  <c r="CY48" i="29"/>
  <c r="CA55" i="29"/>
  <c r="CD55" i="29" s="1"/>
  <c r="BQ55" i="29"/>
  <c r="BR55" i="29" s="1"/>
  <c r="CL61" i="29"/>
  <c r="CR64" i="29"/>
  <c r="AO73" i="29"/>
  <c r="AP73" i="29"/>
  <c r="AW73" i="29"/>
  <c r="BX73" i="29"/>
  <c r="BY73" i="29" s="1"/>
  <c r="CG81" i="29"/>
  <c r="CH81" i="29" s="1"/>
  <c r="CO81" i="29"/>
  <c r="BG81" i="29"/>
  <c r="BI81" i="29" s="1"/>
  <c r="CP81" i="29"/>
  <c r="CU15" i="29"/>
  <c r="CJ14" i="29"/>
  <c r="CY14" i="29"/>
  <c r="CM14" i="29"/>
  <c r="BQ21" i="29"/>
  <c r="BQ25" i="29"/>
  <c r="BR25" i="29" s="1"/>
  <c r="CO27" i="29"/>
  <c r="CN27" i="29"/>
  <c r="CY27" i="29"/>
  <c r="CQ27" i="29"/>
  <c r="AI8" i="29"/>
  <c r="CZ27" i="29"/>
  <c r="CR27" i="29"/>
  <c r="AS27" i="29"/>
  <c r="CD32" i="29"/>
  <c r="CB32" i="29"/>
  <c r="CB34" i="29"/>
  <c r="CU36" i="29"/>
  <c r="CB43" i="29"/>
  <c r="CC43" i="29"/>
  <c r="BX60" i="29"/>
  <c r="BY60" i="29" s="1"/>
  <c r="CN66" i="29"/>
  <c r="CW116" i="29"/>
  <c r="AO116" i="29"/>
  <c r="CV116" i="29"/>
  <c r="CX116" i="29" s="1"/>
  <c r="AQ116" i="29"/>
  <c r="AR116" i="29" s="1"/>
  <c r="BB116" i="29"/>
  <c r="BE116" i="29" s="1"/>
  <c r="CO116" i="29"/>
  <c r="CN116" i="29"/>
  <c r="CT116" i="29" s="1"/>
  <c r="CU116" i="29" s="1"/>
  <c r="AU116" i="29"/>
  <c r="AW14" i="29"/>
  <c r="AQ17" i="29"/>
  <c r="AR17" i="29" s="1"/>
  <c r="BV24" i="29"/>
  <c r="BX24" i="29" s="1"/>
  <c r="BY24" i="29" s="1"/>
  <c r="AV27" i="29"/>
  <c r="CM29" i="29"/>
  <c r="AO33" i="29"/>
  <c r="CN33" i="29"/>
  <c r="CT33" i="29" s="1"/>
  <c r="CU33" i="29" s="1"/>
  <c r="CN34" i="29"/>
  <c r="CT34" i="29" s="1"/>
  <c r="CU34" i="29" s="1"/>
  <c r="CP37" i="29"/>
  <c r="CV46" i="29"/>
  <c r="CX46" i="29" s="1"/>
  <c r="CJ58" i="29"/>
  <c r="CL58" i="29" s="1"/>
  <c r="AZ62" i="29"/>
  <c r="AU64" i="29"/>
  <c r="BO65" i="29"/>
  <c r="BQ65" i="29" s="1"/>
  <c r="BR65" i="29" s="1"/>
  <c r="AH66" i="29"/>
  <c r="CP67" i="29"/>
  <c r="CY69" i="29"/>
  <c r="CK70" i="29"/>
  <c r="AU73" i="29"/>
  <c r="Z74" i="29"/>
  <c r="AG76" i="29"/>
  <c r="CG85" i="29"/>
  <c r="CH85" i="29" s="1"/>
  <c r="CD91" i="29"/>
  <c r="CA109" i="29"/>
  <c r="CQ114" i="29"/>
  <c r="CT114" i="29" s="1"/>
  <c r="CU114" i="29" s="1"/>
  <c r="BX120" i="29"/>
  <c r="BY120" i="29" s="1"/>
  <c r="CB121" i="29"/>
  <c r="DB141" i="29"/>
  <c r="R141" i="29"/>
  <c r="BC141" i="29" s="1"/>
  <c r="CL53" i="30"/>
  <c r="BD14" i="29"/>
  <c r="AH15" i="29"/>
  <c r="AS17" i="29"/>
  <c r="BD18" i="29"/>
  <c r="BD22" i="29"/>
  <c r="CS24" i="29"/>
  <c r="AI28" i="29"/>
  <c r="BO28" i="29"/>
  <c r="BQ28" i="29" s="1"/>
  <c r="BR28" i="29" s="1"/>
  <c r="AV31" i="29"/>
  <c r="CQ32" i="29"/>
  <c r="CT32" i="29" s="1"/>
  <c r="CU32" i="29" s="1"/>
  <c r="AQ33" i="29"/>
  <c r="AR33" i="29" s="1"/>
  <c r="CJ36" i="29"/>
  <c r="CL36" i="29" s="1"/>
  <c r="AW39" i="29"/>
  <c r="AX39" i="29" s="1"/>
  <c r="CJ45" i="29"/>
  <c r="CL45" i="29" s="1"/>
  <c r="CK52" i="29"/>
  <c r="CL52" i="29" s="1"/>
  <c r="BB57" i="29"/>
  <c r="CW57" i="29"/>
  <c r="CX57" i="29" s="1"/>
  <c r="BS62" i="29"/>
  <c r="BX62" i="29" s="1"/>
  <c r="BY62" i="29" s="1"/>
  <c r="AV64" i="29"/>
  <c r="CJ66" i="29"/>
  <c r="CL66" i="29" s="1"/>
  <c r="AT71" i="29"/>
  <c r="AV73" i="29"/>
  <c r="CK80" i="29"/>
  <c r="CD98" i="29"/>
  <c r="AP82" i="29"/>
  <c r="AU82" i="29"/>
  <c r="CW82" i="29"/>
  <c r="CV82" i="29"/>
  <c r="CX82" i="29" s="1"/>
  <c r="CM82" i="29"/>
  <c r="BC83" i="29"/>
  <c r="AV83" i="29"/>
  <c r="AX83" i="29" s="1"/>
  <c r="CY83" i="29"/>
  <c r="BB112" i="29"/>
  <c r="AU112" i="29"/>
  <c r="BC118" i="29"/>
  <c r="CN118" i="29"/>
  <c r="CT118" i="29" s="1"/>
  <c r="CU118" i="29" s="1"/>
  <c r="CV18" i="29"/>
  <c r="CX18" i="29" s="1"/>
  <c r="AS20" i="29"/>
  <c r="AU30" i="29"/>
  <c r="CP33" i="29"/>
  <c r="BG34" i="29"/>
  <c r="AT46" i="29"/>
  <c r="CO48" i="29"/>
  <c r="AZ58" i="29"/>
  <c r="BD61" i="29"/>
  <c r="BE61" i="29" s="1"/>
  <c r="CP64" i="29"/>
  <c r="CJ70" i="29"/>
  <c r="CL70" i="29" s="1"/>
  <c r="CZ81" i="29"/>
  <c r="CD82" i="29"/>
  <c r="CJ93" i="29"/>
  <c r="CL93" i="29" s="1"/>
  <c r="AH93" i="29"/>
  <c r="AR93" i="29" s="1"/>
  <c r="AV101" i="29"/>
  <c r="BD104" i="29"/>
  <c r="BE104" i="29" s="1"/>
  <c r="AW104" i="29"/>
  <c r="AX104" i="29" s="1"/>
  <c r="CW112" i="29"/>
  <c r="CZ116" i="29"/>
  <c r="CK124" i="29"/>
  <c r="CL124" i="29" s="1"/>
  <c r="CM124" i="29"/>
  <c r="DG128" i="29"/>
  <c r="AW128" i="29"/>
  <c r="AX128" i="29" s="1"/>
  <c r="BB18" i="29"/>
  <c r="AW19" i="29"/>
  <c r="AX19" i="29" s="1"/>
  <c r="CO37" i="29"/>
  <c r="BG40" i="29"/>
  <c r="BI40" i="29" s="1"/>
  <c r="BC42" i="29"/>
  <c r="CQ48" i="29"/>
  <c r="CV54" i="29"/>
  <c r="CX54" i="29" s="1"/>
  <c r="BD62" i="29"/>
  <c r="BD72" i="29"/>
  <c r="BC76" i="29"/>
  <c r="CR88" i="29"/>
  <c r="CM90" i="29"/>
  <c r="AH90" i="29"/>
  <c r="CU90" i="29" s="1"/>
  <c r="CJ90" i="29"/>
  <c r="CL90" i="29" s="1"/>
  <c r="AS112" i="29"/>
  <c r="CO114" i="29"/>
  <c r="CD116" i="29"/>
  <c r="AO117" i="29"/>
  <c r="CZ117" i="29"/>
  <c r="AV141" i="29"/>
  <c r="AQ141" i="29"/>
  <c r="AR141" i="29" s="1"/>
  <c r="AV24" i="29"/>
  <c r="CG34" i="29"/>
  <c r="CH34" i="29" s="1"/>
  <c r="CR52" i="29"/>
  <c r="AO54" i="29"/>
  <c r="CR82" i="29"/>
  <c r="CX88" i="29"/>
  <c r="CQ97" i="29"/>
  <c r="CT97" i="29" s="1"/>
  <c r="CU97" i="29" s="1"/>
  <c r="BB97" i="29"/>
  <c r="AP97" i="29"/>
  <c r="AU97" i="29"/>
  <c r="CZ114" i="29"/>
  <c r="BF116" i="29"/>
  <c r="CZ118" i="29"/>
  <c r="DB131" i="29"/>
  <c r="R131" i="29"/>
  <c r="CZ131" i="29"/>
  <c r="CR24" i="29"/>
  <c r="AP48" i="29"/>
  <c r="AP55" i="29"/>
  <c r="CB57" i="29"/>
  <c r="BV65" i="29"/>
  <c r="BX65" i="29" s="1"/>
  <c r="BY65" i="29" s="1"/>
  <c r="CV66" i="29"/>
  <c r="CX66" i="29" s="1"/>
  <c r="CJ71" i="29"/>
  <c r="CL71" i="29" s="1"/>
  <c r="BD79" i="29"/>
  <c r="BE79" i="29" s="1"/>
  <c r="CM83" i="29"/>
  <c r="CJ83" i="29"/>
  <c r="CL83" i="29" s="1"/>
  <c r="CH98" i="29"/>
  <c r="BQ106" i="29"/>
  <c r="BR106" i="29" s="1"/>
  <c r="CQ111" i="29"/>
  <c r="CS111" i="29"/>
  <c r="CD112" i="29"/>
  <c r="BZ116" i="29"/>
  <c r="CJ23" i="30"/>
  <c r="CL23" i="30" s="1"/>
  <c r="CO23" i="30"/>
  <c r="AH23" i="30"/>
  <c r="CM23" i="30" s="1"/>
  <c r="CH30" i="29"/>
  <c r="CC64" i="29"/>
  <c r="CR91" i="29"/>
  <c r="CQ91" i="29"/>
  <c r="AZ106" i="29"/>
  <c r="CR106" i="29"/>
  <c r="CD113" i="29"/>
  <c r="CB113" i="29"/>
  <c r="BU119" i="29"/>
  <c r="BU146" i="29" s="1"/>
  <c r="BH119" i="29"/>
  <c r="BI119" i="29" s="1"/>
  <c r="AH14" i="30"/>
  <c r="CK14" i="30"/>
  <c r="CL14" i="30" s="1"/>
  <c r="CO14" i="30"/>
  <c r="AV26" i="29"/>
  <c r="BL67" i="29"/>
  <c r="BQ67" i="29" s="1"/>
  <c r="BR67" i="29" s="1"/>
  <c r="CQ83" i="29"/>
  <c r="CT83" i="29" s="1"/>
  <c r="CU83" i="29" s="1"/>
  <c r="BH85" i="29"/>
  <c r="BI85" i="29" s="1"/>
  <c r="CS85" i="29"/>
  <c r="CW107" i="29"/>
  <c r="CV107" i="29"/>
  <c r="CX107" i="29" s="1"/>
  <c r="BB107" i="29"/>
  <c r="CO107" i="29"/>
  <c r="AU107" i="29"/>
  <c r="CR26" i="29"/>
  <c r="DI81" i="29"/>
  <c r="CV86" i="29"/>
  <c r="CX86" i="29" s="1"/>
  <c r="CZ91" i="29"/>
  <c r="DI94" i="29"/>
  <c r="BQ98" i="29"/>
  <c r="BR98" i="29" s="1"/>
  <c r="CD107" i="29"/>
  <c r="CL138" i="29"/>
  <c r="CL89" i="29"/>
  <c r="CL95" i="29"/>
  <c r="CR101" i="29"/>
  <c r="CC123" i="29"/>
  <c r="CB123" i="29"/>
  <c r="BD124" i="29"/>
  <c r="BE124" i="29" s="1"/>
  <c r="AW124" i="29"/>
  <c r="AX124" i="29" s="1"/>
  <c r="AO124" i="29"/>
  <c r="BC135" i="29"/>
  <c r="BD37" i="30"/>
  <c r="BE37" i="30" s="1"/>
  <c r="AW37" i="30"/>
  <c r="CJ82" i="29"/>
  <c r="CL82" i="29" s="1"/>
  <c r="CO84" i="29"/>
  <c r="CV84" i="29"/>
  <c r="CX84" i="29" s="1"/>
  <c r="CV87" i="29"/>
  <c r="CX87" i="29" s="1"/>
  <c r="CS88" i="29"/>
  <c r="CS90" i="29"/>
  <c r="BD93" i="29"/>
  <c r="BE93" i="29" s="1"/>
  <c r="BS101" i="29"/>
  <c r="BX101" i="29" s="1"/>
  <c r="BY101" i="29" s="1"/>
  <c r="AH102" i="29"/>
  <c r="AR102" i="29" s="1"/>
  <c r="AS108" i="29"/>
  <c r="CP111" i="29"/>
  <c r="CN111" i="29"/>
  <c r="CT111" i="29" s="1"/>
  <c r="CU111" i="29" s="1"/>
  <c r="CS117" i="29"/>
  <c r="AU121" i="29"/>
  <c r="CV121" i="29"/>
  <c r="CX121" i="29" s="1"/>
  <c r="BC127" i="29"/>
  <c r="AZ131" i="29"/>
  <c r="CK132" i="29"/>
  <c r="CL132" i="29" s="1"/>
  <c r="BB134" i="29"/>
  <c r="CM137" i="29"/>
  <c r="BC138" i="29"/>
  <c r="AZ16" i="30"/>
  <c r="CG16" i="30"/>
  <c r="AR23" i="30"/>
  <c r="DA27" i="30"/>
  <c r="DD41" i="30"/>
  <c r="CM41" i="30"/>
  <c r="CK41" i="30"/>
  <c r="CJ41" i="30"/>
  <c r="O41" i="30"/>
  <c r="CC63" i="30"/>
  <c r="AY67" i="30"/>
  <c r="DA70" i="30"/>
  <c r="CQ70" i="30"/>
  <c r="AP70" i="30"/>
  <c r="AS70" i="30"/>
  <c r="AZ86" i="29"/>
  <c r="AZ87" i="29"/>
  <c r="CQ93" i="29"/>
  <c r="CT93" i="29" s="1"/>
  <c r="CU93" i="29" s="1"/>
  <c r="BV95" i="29"/>
  <c r="BX95" i="29" s="1"/>
  <c r="BY95" i="29" s="1"/>
  <c r="BL108" i="29"/>
  <c r="BQ108" i="29" s="1"/>
  <c r="BR108" i="29" s="1"/>
  <c r="AV111" i="29"/>
  <c r="BV113" i="29"/>
  <c r="BX113" i="29" s="1"/>
  <c r="BY113" i="29" s="1"/>
  <c r="CC114" i="29"/>
  <c r="AZ118" i="29"/>
  <c r="BC130" i="29"/>
  <c r="CJ130" i="29"/>
  <c r="CL130" i="29" s="1"/>
  <c r="CV134" i="29"/>
  <c r="BD135" i="29"/>
  <c r="CO138" i="29"/>
  <c r="CP140" i="29"/>
  <c r="BS14" i="30"/>
  <c r="CK21" i="30"/>
  <c r="AH21" i="30"/>
  <c r="CY40" i="30"/>
  <c r="AU40" i="30"/>
  <c r="CJ67" i="30"/>
  <c r="CL67" i="30" s="1"/>
  <c r="CN67" i="30" s="1"/>
  <c r="CO67" i="30"/>
  <c r="O67" i="30"/>
  <c r="CC110" i="30"/>
  <c r="CN85" i="29"/>
  <c r="CT85" i="29" s="1"/>
  <c r="CU85" i="29" s="1"/>
  <c r="BS88" i="29"/>
  <c r="BX88" i="29" s="1"/>
  <c r="BY88" i="29" s="1"/>
  <c r="AW97" i="29"/>
  <c r="AW110" i="29"/>
  <c r="AX110" i="29" s="1"/>
  <c r="CO118" i="29"/>
  <c r="CM130" i="29"/>
  <c r="CY134" i="29"/>
  <c r="CL21" i="30"/>
  <c r="CC22" i="30"/>
  <c r="CB22" i="30"/>
  <c r="BQ24" i="30"/>
  <c r="BR24" i="30" s="1"/>
  <c r="CA24" i="30"/>
  <c r="DD28" i="30"/>
  <c r="BD35" i="30"/>
  <c r="BE35" i="30" s="1"/>
  <c r="AW35" i="30"/>
  <c r="CX40" i="30"/>
  <c r="BD45" i="30"/>
  <c r="BE45" i="30" s="1"/>
  <c r="AW45" i="30"/>
  <c r="AX45" i="30" s="1"/>
  <c r="CJ59" i="30"/>
  <c r="CL59" i="30" s="1"/>
  <c r="CN59" i="30" s="1"/>
  <c r="O59" i="30"/>
  <c r="DB59" i="30"/>
  <c r="DD72" i="30"/>
  <c r="CK72" i="30"/>
  <c r="CJ72" i="30"/>
  <c r="CL72" i="30" s="1"/>
  <c r="O72" i="30"/>
  <c r="CM72" i="30"/>
  <c r="CO72" i="30"/>
  <c r="AQ84" i="29"/>
  <c r="AR84" i="29" s="1"/>
  <c r="AZ90" i="29"/>
  <c r="AI98" i="29"/>
  <c r="BH101" i="29"/>
  <c r="BI101" i="29" s="1"/>
  <c r="AZ101" i="29"/>
  <c r="BD106" i="29"/>
  <c r="BA112" i="29"/>
  <c r="CS113" i="29"/>
  <c r="CW134" i="29"/>
  <c r="BI30" i="30"/>
  <c r="CL32" i="30"/>
  <c r="CX49" i="30"/>
  <c r="BA49" i="30"/>
  <c r="AT49" i="30"/>
  <c r="CQ101" i="29"/>
  <c r="CT101" i="29" s="1"/>
  <c r="CU101" i="29" s="1"/>
  <c r="CP108" i="29"/>
  <c r="AH113" i="29"/>
  <c r="CU113" i="29" s="1"/>
  <c r="CZ134" i="29"/>
  <c r="AQ60" i="30"/>
  <c r="AR60" i="30" s="1"/>
  <c r="CP60" i="30"/>
  <c r="CV60" i="30" s="1"/>
  <c r="CW60" i="30" s="1"/>
  <c r="AP60" i="30"/>
  <c r="CY84" i="29"/>
  <c r="CN91" i="29"/>
  <c r="CV111" i="29"/>
  <c r="CX111" i="29" s="1"/>
  <c r="CV115" i="29"/>
  <c r="CX115" i="29" s="1"/>
  <c r="CV128" i="29"/>
  <c r="CX128" i="29" s="1"/>
  <c r="AP130" i="29"/>
  <c r="AO138" i="29"/>
  <c r="BQ19" i="30"/>
  <c r="CN36" i="30"/>
  <c r="DD44" i="30"/>
  <c r="DB44" i="30"/>
  <c r="CJ44" i="30"/>
  <c r="CL44" i="30" s="1"/>
  <c r="O44" i="30"/>
  <c r="CM44" i="30"/>
  <c r="CK44" i="30"/>
  <c r="CN45" i="30"/>
  <c r="CY86" i="29"/>
  <c r="BH90" i="29"/>
  <c r="BI90" i="29" s="1"/>
  <c r="AQ118" i="29"/>
  <c r="AR118" i="29" s="1"/>
  <c r="CV130" i="29"/>
  <c r="CX130" i="29" s="1"/>
  <c r="CV138" i="29"/>
  <c r="CX138" i="29" s="1"/>
  <c r="CJ17" i="30"/>
  <c r="AH17" i="30"/>
  <c r="CO17" i="30"/>
  <c r="CN26" i="30"/>
  <c r="CD40" i="30"/>
  <c r="DD53" i="30"/>
  <c r="CM53" i="30"/>
  <c r="CO53" i="30"/>
  <c r="CK53" i="30"/>
  <c r="O53" i="30"/>
  <c r="CJ66" i="30"/>
  <c r="CL66" i="30" s="1"/>
  <c r="AH66" i="30"/>
  <c r="CM66" i="30" s="1"/>
  <c r="BX68" i="30"/>
  <c r="BY68" i="30" s="1"/>
  <c r="AO118" i="29"/>
  <c r="BC133" i="29"/>
  <c r="BF133" i="29" s="1"/>
  <c r="CS14" i="30"/>
  <c r="BC58" i="30"/>
  <c r="DA58" i="30"/>
  <c r="BC75" i="30"/>
  <c r="AV75" i="30"/>
  <c r="AZ88" i="29"/>
  <c r="CV112" i="29"/>
  <c r="CX112" i="29" s="1"/>
  <c r="AQ114" i="29"/>
  <c r="AR114" i="29" s="1"/>
  <c r="CG140" i="29"/>
  <c r="CH140" i="29" s="1"/>
  <c r="CX15" i="30"/>
  <c r="BA15" i="30"/>
  <c r="BZ54" i="30"/>
  <c r="BQ54" i="30"/>
  <c r="BR54" i="30" s="1"/>
  <c r="AO114" i="29"/>
  <c r="AS118" i="29"/>
  <c r="BC30" i="30"/>
  <c r="AV30" i="30"/>
  <c r="CA38" i="30"/>
  <c r="BQ38" i="30"/>
  <c r="BR38" i="30" s="1"/>
  <c r="CH43" i="30"/>
  <c r="CX43" i="30"/>
  <c r="CY43" i="30"/>
  <c r="BA43" i="30"/>
  <c r="DD56" i="30"/>
  <c r="CK56" i="30"/>
  <c r="CO56" i="30"/>
  <c r="O56" i="30"/>
  <c r="R61" i="30"/>
  <c r="BG61" i="30"/>
  <c r="BI61" i="30" s="1"/>
  <c r="BS61" i="30"/>
  <c r="AZ61" i="30"/>
  <c r="CA65" i="30"/>
  <c r="AO17" i="30"/>
  <c r="AH33" i="30"/>
  <c r="CY39" i="30"/>
  <c r="AW44" i="30"/>
  <c r="AX44" i="30" s="1"/>
  <c r="CJ48" i="30"/>
  <c r="CL48" i="30" s="1"/>
  <c r="CN48" i="30" s="1"/>
  <c r="CJ50" i="30"/>
  <c r="CL50" i="30" s="1"/>
  <c r="CN50" i="30" s="1"/>
  <c r="AW54" i="30"/>
  <c r="AX54" i="30" s="1"/>
  <c r="CX59" i="30"/>
  <c r="CX62" i="30"/>
  <c r="CX63" i="30"/>
  <c r="AZ66" i="30"/>
  <c r="AW67" i="30"/>
  <c r="AX67" i="30" s="1"/>
  <c r="CQ67" i="30"/>
  <c r="BB71" i="30"/>
  <c r="BF71" i="30" s="1"/>
  <c r="BA72" i="30"/>
  <c r="BB93" i="30"/>
  <c r="AU93" i="30"/>
  <c r="BA105" i="30"/>
  <c r="CY105" i="30"/>
  <c r="AY112" i="30"/>
  <c r="CS125" i="30"/>
  <c r="CV125" i="30" s="1"/>
  <c r="CW125" i="30" s="1"/>
  <c r="CB133" i="30"/>
  <c r="CC133" i="30"/>
  <c r="LK13" i="26"/>
  <c r="LJ14" i="26"/>
  <c r="CX29" i="30"/>
  <c r="CO38" i="30"/>
  <c r="BB46" i="30"/>
  <c r="BB147" i="30" s="1"/>
  <c r="BD48" i="30"/>
  <c r="BE48" i="30" s="1"/>
  <c r="BA50" i="30"/>
  <c r="O51" i="30"/>
  <c r="CK61" i="30"/>
  <c r="CL61" i="30" s="1"/>
  <c r="CN61" i="30" s="1"/>
  <c r="CY63" i="30"/>
  <c r="CQ64" i="30"/>
  <c r="DA64" i="30"/>
  <c r="AQ66" i="30"/>
  <c r="AR66" i="30" s="1"/>
  <c r="CS66" i="30"/>
  <c r="CV66" i="30" s="1"/>
  <c r="CS79" i="30"/>
  <c r="CV79" i="30" s="1"/>
  <c r="CW79" i="30" s="1"/>
  <c r="CO80" i="30"/>
  <c r="CJ80" i="30"/>
  <c r="CL80" i="30" s="1"/>
  <c r="CN80" i="30" s="1"/>
  <c r="BB81" i="30"/>
  <c r="AO81" i="30"/>
  <c r="AV92" i="30"/>
  <c r="BC92" i="30"/>
  <c r="AH116" i="30"/>
  <c r="CO116" i="30"/>
  <c r="BX123" i="30"/>
  <c r="BY123" i="30" s="1"/>
  <c r="CA132" i="30"/>
  <c r="DA73" i="30"/>
  <c r="BD112" i="30"/>
  <c r="AW112" i="30"/>
  <c r="BA39" i="30"/>
  <c r="BA57" i="30"/>
  <c r="CQ85" i="30"/>
  <c r="AP85" i="30"/>
  <c r="CN86" i="30"/>
  <c r="CB91" i="30"/>
  <c r="CC91" i="30"/>
  <c r="CL112" i="30"/>
  <c r="CY127" i="30"/>
  <c r="BA127" i="30"/>
  <c r="AT24" i="30"/>
  <c r="CY32" i="30"/>
  <c r="O47" i="30"/>
  <c r="CQ50" i="30"/>
  <c r="AT56" i="30"/>
  <c r="DD61" i="30"/>
  <c r="CJ71" i="30"/>
  <c r="CL71" i="30" s="1"/>
  <c r="BQ85" i="30"/>
  <c r="BR85" i="30" s="1"/>
  <c r="CL86" i="30"/>
  <c r="AV91" i="30"/>
  <c r="DN97" i="30"/>
  <c r="AR103" i="30"/>
  <c r="DN110" i="30"/>
  <c r="AT127" i="30"/>
  <c r="AY127" i="30" s="1"/>
  <c r="AO127" i="30"/>
  <c r="BC32" i="30"/>
  <c r="AT37" i="30"/>
  <c r="CJ38" i="30"/>
  <c r="CL38" i="30" s="1"/>
  <c r="CN38" i="30" s="1"/>
  <c r="BQ46" i="30"/>
  <c r="BR46" i="30" s="1"/>
  <c r="CX50" i="30"/>
  <c r="AQ53" i="30"/>
  <c r="DA53" i="30"/>
  <c r="BQ70" i="30"/>
  <c r="BR70" i="30" s="1"/>
  <c r="BB72" i="30"/>
  <c r="BD74" i="30"/>
  <c r="BE74" i="30" s="1"/>
  <c r="AW74" i="30"/>
  <c r="CC93" i="30"/>
  <c r="CB93" i="30"/>
  <c r="R136" i="30"/>
  <c r="AZ136" i="30"/>
  <c r="BS136" i="30"/>
  <c r="CP24" i="30"/>
  <c r="CK47" i="30"/>
  <c r="CL47" i="30" s="1"/>
  <c r="CN47" i="30" s="1"/>
  <c r="CK52" i="30"/>
  <c r="CL52" i="30" s="1"/>
  <c r="CN52" i="30" s="1"/>
  <c r="CA53" i="30"/>
  <c r="AT62" i="30"/>
  <c r="AT63" i="30"/>
  <c r="AQ64" i="30"/>
  <c r="AR64" i="30" s="1"/>
  <c r="DD64" i="30"/>
  <c r="CT66" i="30"/>
  <c r="BA67" i="30"/>
  <c r="AU81" i="30"/>
  <c r="AX81" i="30" s="1"/>
  <c r="AR90" i="30"/>
  <c r="CM90" i="30"/>
  <c r="CN90" i="30" s="1"/>
  <c r="CN106" i="30"/>
  <c r="BQ106" i="30"/>
  <c r="BR106" i="30" s="1"/>
  <c r="BQ112" i="30"/>
  <c r="BR112" i="30" s="1"/>
  <c r="R119" i="30"/>
  <c r="BS119" i="30"/>
  <c r="BX132" i="30"/>
  <c r="BY132" i="30" s="1"/>
  <c r="DB135" i="30"/>
  <c r="AS135" i="30"/>
  <c r="CG136" i="30"/>
  <c r="CH136" i="30" s="1"/>
  <c r="DA17" i="30"/>
  <c r="CY24" i="30"/>
  <c r="CS30" i="30"/>
  <c r="CV30" i="30" s="1"/>
  <c r="CW30" i="30" s="1"/>
  <c r="CQ35" i="30"/>
  <c r="AO38" i="30"/>
  <c r="AA156" i="30"/>
  <c r="CY56" i="30"/>
  <c r="AS57" i="30"/>
  <c r="AU63" i="30"/>
  <c r="AT83" i="30"/>
  <c r="CY83" i="30"/>
  <c r="BA83" i="30"/>
  <c r="AH87" i="30"/>
  <c r="CM87" i="30" s="1"/>
  <c r="CN87" i="30" s="1"/>
  <c r="CO87" i="30"/>
  <c r="CJ88" i="30"/>
  <c r="CL88" i="30" s="1"/>
  <c r="O88" i="30"/>
  <c r="CM88" i="30"/>
  <c r="CN88" i="30" s="1"/>
  <c r="BQ117" i="30"/>
  <c r="BR117" i="30" s="1"/>
  <c r="CH127" i="30"/>
  <c r="BQ134" i="30"/>
  <c r="BR134" i="30" s="1"/>
  <c r="AZ30" i="30"/>
  <c r="CY57" i="30"/>
  <c r="CT58" i="30"/>
  <c r="CX67" i="30"/>
  <c r="AI78" i="30"/>
  <c r="AG78" i="30"/>
  <c r="CM103" i="30"/>
  <c r="O103" i="30"/>
  <c r="CK103" i="30"/>
  <c r="CL103" i="30" s="1"/>
  <c r="R114" i="30"/>
  <c r="CS114" i="30"/>
  <c r="CV114" i="30" s="1"/>
  <c r="CW114" i="30" s="1"/>
  <c r="CG114" i="30"/>
  <c r="CH114" i="30" s="1"/>
  <c r="AH131" i="30"/>
  <c r="AI76" i="30"/>
  <c r="AI147" i="30" s="1"/>
  <c r="Z76" i="30"/>
  <c r="CR76" i="30"/>
  <c r="AU104" i="30"/>
  <c r="BB104" i="30"/>
  <c r="CB120" i="30"/>
  <c r="CC120" i="30"/>
  <c r="CU133" i="30"/>
  <c r="BC133" i="30"/>
  <c r="BV133" i="30"/>
  <c r="BX133" i="30" s="1"/>
  <c r="BY133" i="30" s="1"/>
  <c r="DN79" i="30"/>
  <c r="CX86" i="30"/>
  <c r="AT86" i="30"/>
  <c r="BA86" i="30"/>
  <c r="CN101" i="30"/>
  <c r="BQ103" i="30"/>
  <c r="BR103" i="30" s="1"/>
  <c r="CX104" i="30"/>
  <c r="O109" i="30"/>
  <c r="CO109" i="30"/>
  <c r="CA110" i="30"/>
  <c r="CD110" i="30" s="1"/>
  <c r="CC121" i="30"/>
  <c r="CB121" i="30"/>
  <c r="CH128" i="30"/>
  <c r="CK131" i="30"/>
  <c r="CL131" i="30" s="1"/>
  <c r="AU138" i="30"/>
  <c r="AO138" i="30"/>
  <c r="CX142" i="30"/>
  <c r="AT142" i="30"/>
  <c r="CY142" i="30"/>
  <c r="CL145" i="30"/>
  <c r="CN145" i="30" s="1"/>
  <c r="AW95" i="30"/>
  <c r="AX95" i="30" s="1"/>
  <c r="BD96" i="30"/>
  <c r="BE96" i="30" s="1"/>
  <c r="CX97" i="30"/>
  <c r="CQ110" i="30"/>
  <c r="CX111" i="30"/>
  <c r="CX112" i="30"/>
  <c r="BA115" i="30"/>
  <c r="AW117" i="30"/>
  <c r="AX117" i="30" s="1"/>
  <c r="CO131" i="30"/>
  <c r="CK132" i="30"/>
  <c r="CL132" i="30" s="1"/>
  <c r="CN132" i="30" s="1"/>
  <c r="AQ133" i="30"/>
  <c r="AR133" i="30" s="1"/>
  <c r="AW134" i="30"/>
  <c r="AX134" i="30" s="1"/>
  <c r="LZ8" i="26"/>
  <c r="LZ9" i="26" s="1"/>
  <c r="J20" i="26"/>
  <c r="CY97" i="30"/>
  <c r="BS99" i="30"/>
  <c r="BX99" i="30" s="1"/>
  <c r="BY99" i="30" s="1"/>
  <c r="CR99" i="30"/>
  <c r="BD102" i="30"/>
  <c r="BE102" i="30" s="1"/>
  <c r="DA110" i="30"/>
  <c r="CY111" i="30"/>
  <c r="CY112" i="30"/>
  <c r="AO116" i="30"/>
  <c r="AZ125" i="30"/>
  <c r="CO127" i="30"/>
  <c r="AP130" i="30"/>
  <c r="CX131" i="30"/>
  <c r="BC134" i="30"/>
  <c r="BF134" i="30" s="1"/>
  <c r="AS136" i="30"/>
  <c r="AZ140" i="30"/>
  <c r="CC82" i="30"/>
  <c r="BQ110" i="30"/>
  <c r="BR110" i="30" s="1"/>
  <c r="DB119" i="30"/>
  <c r="CM138" i="30"/>
  <c r="CN138" i="30" s="1"/>
  <c r="DB138" i="30"/>
  <c r="CH142" i="30"/>
  <c r="BI145" i="31"/>
  <c r="AV74" i="30"/>
  <c r="AY74" i="30" s="1"/>
  <c r="CT86" i="30"/>
  <c r="AV110" i="30"/>
  <c r="BA121" i="30"/>
  <c r="AH123" i="30"/>
  <c r="CK127" i="30"/>
  <c r="CL127" i="30" s="1"/>
  <c r="CN127" i="30" s="1"/>
  <c r="DA133" i="30"/>
  <c r="CY138" i="30"/>
  <c r="CD138" i="30"/>
  <c r="DN140" i="30"/>
  <c r="O143" i="13"/>
  <c r="R143" i="13"/>
  <c r="J143" i="13" s="1"/>
  <c r="BD93" i="30"/>
  <c r="CQ94" i="30"/>
  <c r="CS96" i="30"/>
  <c r="CV96" i="30" s="1"/>
  <c r="CW96" i="30" s="1"/>
  <c r="BQ115" i="30"/>
  <c r="BR115" i="30" s="1"/>
  <c r="CM119" i="30"/>
  <c r="CN119" i="30" s="1"/>
  <c r="AW123" i="30"/>
  <c r="AX123" i="30" s="1"/>
  <c r="AW126" i="30"/>
  <c r="AX126" i="30" s="1"/>
  <c r="CK126" i="30"/>
  <c r="CL126" i="30" s="1"/>
  <c r="CN126" i="30" s="1"/>
  <c r="AZ127" i="30"/>
  <c r="CP127" i="30"/>
  <c r="CV127" i="30" s="1"/>
  <c r="CW127" i="30" s="1"/>
  <c r="CK129" i="30"/>
  <c r="CL129" i="30" s="1"/>
  <c r="CN129" i="30" s="1"/>
  <c r="CT133" i="30"/>
  <c r="R135" i="30"/>
  <c r="V8" i="26"/>
  <c r="CK92" i="30"/>
  <c r="CL92" i="30" s="1"/>
  <c r="CN92" i="30" s="1"/>
  <c r="CP104" i="30"/>
  <c r="CV104" i="30" s="1"/>
  <c r="CW104" i="30" s="1"/>
  <c r="CK110" i="30"/>
  <c r="CL110" i="30" s="1"/>
  <c r="CN110" i="30" s="1"/>
  <c r="AO110" i="30"/>
  <c r="BQ120" i="30"/>
  <c r="BR120" i="30" s="1"/>
  <c r="CT125" i="30"/>
  <c r="AS133" i="30"/>
  <c r="CQ96" i="30"/>
  <c r="CP102" i="30"/>
  <c r="CV102" i="30" s="1"/>
  <c r="CW102" i="30" s="1"/>
  <c r="AT112" i="30"/>
  <c r="AP115" i="30"/>
  <c r="DB116" i="30"/>
  <c r="AW118" i="30"/>
  <c r="AX118" i="30" s="1"/>
  <c r="DB125" i="30"/>
  <c r="DA127" i="30"/>
  <c r="AH134" i="30"/>
  <c r="AP140" i="30"/>
  <c r="AJ141" i="30"/>
  <c r="CQ73" i="30"/>
  <c r="CX96" i="30"/>
  <c r="CY96" i="30"/>
  <c r="AQ102" i="30"/>
  <c r="AR102" i="30" s="1"/>
  <c r="CY115" i="30"/>
  <c r="O116" i="30"/>
  <c r="DB127" i="30"/>
  <c r="CO129" i="30"/>
  <c r="DD131" i="30"/>
  <c r="CP142" i="30"/>
  <c r="CV142" i="30" s="1"/>
  <c r="CW142" i="30" s="1"/>
  <c r="CH144" i="30"/>
  <c r="AT144" i="30"/>
  <c r="BA144" i="30"/>
  <c r="CS73" i="30"/>
  <c r="CV73" i="30" s="1"/>
  <c r="CW73" i="30" s="1"/>
  <c r="DA104" i="30"/>
  <c r="BA112" i="30"/>
  <c r="DB115" i="30"/>
  <c r="AQ125" i="30"/>
  <c r="AR125" i="30" s="1"/>
  <c r="BB138" i="30"/>
  <c r="CL140" i="30"/>
  <c r="CN140" i="30" s="1"/>
  <c r="AB141" i="30"/>
  <c r="AC151" i="30"/>
  <c r="AS125" i="30"/>
  <c r="O131" i="30"/>
  <c r="BL136" i="30"/>
  <c r="BX140" i="30"/>
  <c r="BY140" i="30" s="1"/>
  <c r="LX8" i="26"/>
  <c r="LX9" i="26" s="1"/>
  <c r="MA8" i="26"/>
  <c r="MA9" i="26" s="1"/>
  <c r="LW21" i="26"/>
  <c r="CN119" i="31"/>
  <c r="CN77" i="31"/>
  <c r="CN93" i="31"/>
  <c r="BI136" i="31"/>
  <c r="BI8" i="31" s="1"/>
  <c r="BG8" i="31"/>
  <c r="CF137" i="31"/>
  <c r="CE137" i="31"/>
  <c r="BX76" i="31"/>
  <c r="BY76" i="31" s="1"/>
  <c r="CB61" i="31"/>
  <c r="CD61" i="31"/>
  <c r="Z141" i="30"/>
  <c r="LW12" i="26"/>
  <c r="LW8" i="26" s="1"/>
  <c r="LW9" i="26" s="1"/>
  <c r="CX140" i="30"/>
  <c r="CF18" i="31"/>
  <c r="CE18" i="31"/>
  <c r="CN17" i="31"/>
  <c r="CN24" i="31"/>
  <c r="BI17" i="31"/>
  <c r="BG145" i="31"/>
  <c r="BG148" i="31"/>
  <c r="BB139" i="30"/>
  <c r="LN13" i="26"/>
  <c r="CN68" i="31"/>
  <c r="CN89" i="31"/>
  <c r="CN111" i="31"/>
  <c r="BI39" i="31"/>
  <c r="BH145" i="31"/>
  <c r="BH148" i="31"/>
  <c r="BQ19" i="31"/>
  <c r="BP148" i="31"/>
  <c r="BP145" i="31"/>
  <c r="CN96" i="31"/>
  <c r="CN48" i="31"/>
  <c r="DJ86" i="31"/>
  <c r="DI8" i="31"/>
  <c r="AO138" i="31"/>
  <c r="AN145" i="31"/>
  <c r="AN148" i="31"/>
  <c r="CN115" i="31"/>
  <c r="BX75" i="31"/>
  <c r="BY75" i="31" s="1"/>
  <c r="CW79" i="31"/>
  <c r="CM79" i="31"/>
  <c r="CN79" i="31" s="1"/>
  <c r="AR79" i="31"/>
  <c r="CW46" i="31"/>
  <c r="AH145" i="31"/>
  <c r="CM145" i="31" s="1"/>
  <c r="CW139" i="31"/>
  <c r="CA81" i="31"/>
  <c r="BX81" i="31"/>
  <c r="BY81" i="31" s="1"/>
  <c r="AZ41" i="31"/>
  <c r="R41" i="31"/>
  <c r="CS41" i="31" s="1"/>
  <c r="CV41" i="31" s="1"/>
  <c r="CW41" i="31" s="1"/>
  <c r="CU41" i="31"/>
  <c r="BS41" i="31"/>
  <c r="CG41" i="31"/>
  <c r="CW67" i="31"/>
  <c r="CW54" i="31"/>
  <c r="BI15" i="31"/>
  <c r="BI148" i="31" s="1"/>
  <c r="BY14" i="31"/>
  <c r="AH144" i="31"/>
  <c r="CA107" i="31"/>
  <c r="BX107" i="31"/>
  <c r="BY107" i="31" s="1"/>
  <c r="CA31" i="31"/>
  <c r="BX31" i="31"/>
  <c r="BY31" i="31" s="1"/>
  <c r="BD65" i="31"/>
  <c r="AW65" i="31"/>
  <c r="AX65" i="31" s="1"/>
  <c r="AP65" i="31"/>
  <c r="CB15" i="31"/>
  <c r="CO148" i="31"/>
  <c r="CA56" i="31"/>
  <c r="CA132" i="31"/>
  <c r="BX132" i="31"/>
  <c r="BY132" i="31" s="1"/>
  <c r="CA127" i="31"/>
  <c r="CA102" i="31"/>
  <c r="CA76" i="31"/>
  <c r="CA51" i="31"/>
  <c r="CA26" i="31"/>
  <c r="BN151" i="31"/>
  <c r="BD101" i="31"/>
  <c r="AP101" i="31"/>
  <c r="AW101" i="31"/>
  <c r="AZ114" i="31"/>
  <c r="R114" i="31"/>
  <c r="CS114" i="31"/>
  <c r="CV114" i="31" s="1"/>
  <c r="CW114" i="31" s="1"/>
  <c r="CU114" i="31"/>
  <c r="BS114" i="31"/>
  <c r="CT114" i="31"/>
  <c r="BF78" i="31"/>
  <c r="AT38" i="31"/>
  <c r="AX38" i="31" s="1"/>
  <c r="AP38" i="31"/>
  <c r="BA38" i="31"/>
  <c r="BE38" i="31" s="1"/>
  <c r="CS38" i="31"/>
  <c r="DA38" i="31"/>
  <c r="CX38" i="31"/>
  <c r="CQ38" i="31"/>
  <c r="CQ145" i="31" s="1"/>
  <c r="AQ38" i="31"/>
  <c r="DB38" i="31"/>
  <c r="CY38" i="31"/>
  <c r="CT38" i="31"/>
  <c r="CP38" i="31"/>
  <c r="CX145" i="31"/>
  <c r="CX149" i="31" s="1"/>
  <c r="CX150" i="31" s="1"/>
  <c r="AU142" i="31"/>
  <c r="BB142" i="31"/>
  <c r="BE142" i="31" s="1"/>
  <c r="CP142" i="31"/>
  <c r="CV142" i="31" s="1"/>
  <c r="CW142" i="31" s="1"/>
  <c r="AP142" i="31"/>
  <c r="CS142" i="31"/>
  <c r="AQ142" i="31"/>
  <c r="AR142" i="31" s="1"/>
  <c r="CQ142" i="31"/>
  <c r="CX142" i="31"/>
  <c r="DB142" i="31"/>
  <c r="BF118" i="31"/>
  <c r="BE118" i="31"/>
  <c r="BE92" i="31"/>
  <c r="CA131" i="31"/>
  <c r="CA106" i="31"/>
  <c r="CA80" i="31"/>
  <c r="CA55" i="31"/>
  <c r="CA30" i="31"/>
  <c r="AX133" i="31"/>
  <c r="CV16" i="31"/>
  <c r="CW16" i="31" s="1"/>
  <c r="BC87" i="31"/>
  <c r="CU87" i="31"/>
  <c r="BV87" i="31"/>
  <c r="BX87" i="31" s="1"/>
  <c r="BY87" i="31" s="1"/>
  <c r="CT87" i="31"/>
  <c r="AY43" i="31"/>
  <c r="AX43" i="31"/>
  <c r="AX36" i="31"/>
  <c r="CA135" i="31"/>
  <c r="CA110" i="31"/>
  <c r="CA84" i="31"/>
  <c r="CA60" i="31"/>
  <c r="CA34" i="31"/>
  <c r="BD113" i="31"/>
  <c r="AP113" i="31"/>
  <c r="AW113" i="31"/>
  <c r="BE81" i="31"/>
  <c r="AV141" i="31"/>
  <c r="AQ141" i="31"/>
  <c r="AP141" i="31"/>
  <c r="CQ141" i="31"/>
  <c r="CQ149" i="31" s="1"/>
  <c r="DB141" i="31"/>
  <c r="DA141" i="31"/>
  <c r="CR145" i="31"/>
  <c r="AZ73" i="31"/>
  <c r="AS73" i="31"/>
  <c r="CQ73" i="31"/>
  <c r="DB73" i="31"/>
  <c r="CT73" i="31"/>
  <c r="CP73" i="31"/>
  <c r="CV73" i="31" s="1"/>
  <c r="CW73" i="31" s="1"/>
  <c r="AP73" i="31"/>
  <c r="AQ73" i="31"/>
  <c r="AR73" i="31" s="1"/>
  <c r="CS73" i="31"/>
  <c r="BF131" i="31"/>
  <c r="BE131" i="31"/>
  <c r="BC111" i="31"/>
  <c r="BF92" i="31"/>
  <c r="AZ17" i="31"/>
  <c r="R17" i="31"/>
  <c r="CS17" i="31"/>
  <c r="CV17" i="31" s="1"/>
  <c r="CW17" i="31" s="1"/>
  <c r="CU17" i="31"/>
  <c r="BS17" i="31"/>
  <c r="BF137" i="31"/>
  <c r="BF61" i="31"/>
  <c r="BE61" i="31"/>
  <c r="BC105" i="31"/>
  <c r="AV105" i="31"/>
  <c r="AQ105" i="31"/>
  <c r="AR105" i="31" s="1"/>
  <c r="CS105" i="31"/>
  <c r="CV105" i="31" s="1"/>
  <c r="CW105" i="31" s="1"/>
  <c r="AP105" i="31"/>
  <c r="DA105" i="31"/>
  <c r="CQ105" i="31"/>
  <c r="DB105" i="31"/>
  <c r="CT105" i="31"/>
  <c r="CA118" i="31"/>
  <c r="BZ148" i="31"/>
  <c r="BD58" i="31"/>
  <c r="AO58" i="31"/>
  <c r="AO145" i="31" s="1"/>
  <c r="AP58" i="31"/>
  <c r="AP8" i="31" s="1"/>
  <c r="AM154" i="31"/>
  <c r="AM148" i="31"/>
  <c r="BE109" i="31"/>
  <c r="BF109" i="31"/>
  <c r="AV111" i="31"/>
  <c r="DA111" i="31"/>
  <c r="CQ111" i="31"/>
  <c r="AO111" i="31"/>
  <c r="DB111" i="31"/>
  <c r="CT111" i="31"/>
  <c r="CP111" i="31"/>
  <c r="CV111" i="31" s="1"/>
  <c r="CW111" i="31" s="1"/>
  <c r="AL154" i="31"/>
  <c r="CS111" i="31"/>
  <c r="AX108" i="31"/>
  <c r="CA123" i="31"/>
  <c r="CA96" i="31"/>
  <c r="CA72" i="31"/>
  <c r="CA46" i="31"/>
  <c r="CA22" i="31"/>
  <c r="AW58" i="31"/>
  <c r="BE128" i="31"/>
  <c r="BE65" i="31"/>
  <c r="AY131" i="31"/>
  <c r="AX131" i="31"/>
  <c r="BE55" i="31"/>
  <c r="BE40" i="31"/>
  <c r="BF40" i="31"/>
  <c r="AY141" i="31"/>
  <c r="BC133" i="31"/>
  <c r="AQ133" i="31"/>
  <c r="AR133" i="31" s="1"/>
  <c r="AY126" i="31"/>
  <c r="AS111" i="31"/>
  <c r="AQ111" i="31"/>
  <c r="AY108" i="31"/>
  <c r="AQ43" i="31"/>
  <c r="AR43" i="31" s="1"/>
  <c r="AZ43" i="31"/>
  <c r="AY36" i="31"/>
  <c r="CU120" i="31"/>
  <c r="AW132" i="31"/>
  <c r="AW107" i="31"/>
  <c r="AW75" i="31"/>
  <c r="AX75" i="31" s="1"/>
  <c r="AW69" i="31"/>
  <c r="AX69" i="31" s="1"/>
  <c r="AP122" i="31"/>
  <c r="AZ96" i="31"/>
  <c r="R96" i="31"/>
  <c r="BF82" i="31"/>
  <c r="BE82" i="31"/>
  <c r="BF71" i="31"/>
  <c r="BE71" i="31"/>
  <c r="BE60" i="31"/>
  <c r="AZ25" i="31"/>
  <c r="R25" i="31"/>
  <c r="BE16" i="31"/>
  <c r="AY133" i="31"/>
  <c r="BE86" i="31"/>
  <c r="AY15" i="31"/>
  <c r="AT73" i="31"/>
  <c r="BA73" i="31"/>
  <c r="AP133" i="31"/>
  <c r="BE140" i="31"/>
  <c r="BE135" i="31"/>
  <c r="BD122" i="31"/>
  <c r="BD116" i="31"/>
  <c r="BD90" i="31"/>
  <c r="BD83" i="31"/>
  <c r="BE29" i="31"/>
  <c r="BF102" i="31"/>
  <c r="BF60" i="31"/>
  <c r="BF24" i="31"/>
  <c r="AY96" i="31"/>
  <c r="AS89" i="31"/>
  <c r="AZ89" i="31"/>
  <c r="AV82" i="31"/>
  <c r="AX82" i="31" s="1"/>
  <c r="BC82" i="31"/>
  <c r="AQ82" i="31"/>
  <c r="AR82" i="31" s="1"/>
  <c r="AV62" i="31"/>
  <c r="AX62" i="31" s="1"/>
  <c r="BE28" i="31"/>
  <c r="BF28" i="31"/>
  <c r="BF72" i="31"/>
  <c r="BE72" i="31"/>
  <c r="AP107" i="31"/>
  <c r="AP85" i="31"/>
  <c r="BF117" i="31"/>
  <c r="BE95" i="31"/>
  <c r="AY136" i="31"/>
  <c r="BE125" i="31"/>
  <c r="BE62" i="31"/>
  <c r="AV45" i="31"/>
  <c r="BC45" i="31"/>
  <c r="AQ45" i="31"/>
  <c r="AR45" i="31" s="1"/>
  <c r="AL148" i="31"/>
  <c r="AP45" i="31"/>
  <c r="AU46" i="31"/>
  <c r="AX46" i="31" s="1"/>
  <c r="BB46" i="31"/>
  <c r="BE46" i="31" s="1"/>
  <c r="AQ46" i="31"/>
  <c r="AP158" i="31"/>
  <c r="BC143" i="31"/>
  <c r="BF128" i="31"/>
  <c r="BF112" i="31"/>
  <c r="BE112" i="31"/>
  <c r="BF59" i="31"/>
  <c r="BF39" i="31"/>
  <c r="BE39" i="31"/>
  <c r="AZ20" i="31"/>
  <c r="AY116" i="31"/>
  <c r="AW85" i="31"/>
  <c r="AX85" i="31" s="1"/>
  <c r="AP83" i="31"/>
  <c r="AP71" i="31"/>
  <c r="AQ143" i="31"/>
  <c r="AR143" i="31" s="1"/>
  <c r="BF44" i="31"/>
  <c r="AS119" i="31"/>
  <c r="AQ119" i="31"/>
  <c r="AR119" i="31" s="1"/>
  <c r="AS113" i="31"/>
  <c r="AQ113" i="31"/>
  <c r="AR113" i="31" s="1"/>
  <c r="AZ113" i="31"/>
  <c r="AZ88" i="31"/>
  <c r="AS88" i="31"/>
  <c r="AQ88" i="31"/>
  <c r="BE51" i="31"/>
  <c r="BF51" i="31"/>
  <c r="CR149" i="31"/>
  <c r="CR150" i="31" s="1"/>
  <c r="AP116" i="31"/>
  <c r="BF116" i="31"/>
  <c r="BE116" i="31"/>
  <c r="BF85" i="31"/>
  <c r="BF63" i="31"/>
  <c r="BE63" i="31"/>
  <c r="BF14" i="31"/>
  <c r="AP64" i="31"/>
  <c r="BC64" i="31"/>
  <c r="BE64" i="31" s="1"/>
  <c r="AV64" i="31"/>
  <c r="AQ64" i="31"/>
  <c r="AR64" i="31" s="1"/>
  <c r="AU81" i="31"/>
  <c r="BB81" i="31"/>
  <c r="BF81" i="31" s="1"/>
  <c r="AQ81" i="31"/>
  <c r="AR81" i="31" s="1"/>
  <c r="AX141" i="31"/>
  <c r="AW123" i="31"/>
  <c r="AX123" i="31" s="1"/>
  <c r="AW90" i="31"/>
  <c r="AX90" i="31" s="1"/>
  <c r="AW78" i="31"/>
  <c r="AX78" i="31" s="1"/>
  <c r="AP128" i="31"/>
  <c r="AP69" i="31"/>
  <c r="CN161" i="31"/>
  <c r="BC119" i="31"/>
  <c r="BF94" i="31"/>
  <c r="BE94" i="31"/>
  <c r="AZ90" i="31"/>
  <c r="R90" i="31"/>
  <c r="BE80" i="31"/>
  <c r="BF80" i="31"/>
  <c r="BF74" i="31"/>
  <c r="BE74" i="31"/>
  <c r="AZ68" i="31"/>
  <c r="R68" i="31"/>
  <c r="BF62" i="31"/>
  <c r="AZ58" i="31"/>
  <c r="R58" i="31"/>
  <c r="AZ33" i="31"/>
  <c r="R33" i="31"/>
  <c r="BE23" i="31"/>
  <c r="BF23" i="31"/>
  <c r="BE19" i="31"/>
  <c r="BF19" i="31"/>
  <c r="AS138" i="31"/>
  <c r="BB113" i="31"/>
  <c r="AU113" i="31"/>
  <c r="BB87" i="31"/>
  <c r="BF87" i="31" s="1"/>
  <c r="AU87" i="31"/>
  <c r="AX87" i="31" s="1"/>
  <c r="AQ87" i="31"/>
  <c r="AR87" i="31" s="1"/>
  <c r="BE36" i="31"/>
  <c r="BE26" i="31"/>
  <c r="AZ111" i="31"/>
  <c r="AZ52" i="31"/>
  <c r="R52" i="31"/>
  <c r="BF27" i="31"/>
  <c r="BE27" i="31"/>
  <c r="AV97" i="31"/>
  <c r="BC97" i="31"/>
  <c r="AU137" i="31"/>
  <c r="AX137" i="31" s="1"/>
  <c r="AQ137" i="31"/>
  <c r="AR137" i="31" s="1"/>
  <c r="AU57" i="31"/>
  <c r="AX57" i="31" s="1"/>
  <c r="AQ57" i="31"/>
  <c r="AR57" i="31" s="1"/>
  <c r="BB57" i="31"/>
  <c r="AW89" i="31"/>
  <c r="BD129" i="31"/>
  <c r="BD21" i="31"/>
  <c r="CM158" i="31"/>
  <c r="CN158" i="31" s="1"/>
  <c r="BF125" i="31"/>
  <c r="AZ119" i="31"/>
  <c r="AZ110" i="31"/>
  <c r="R110" i="31"/>
  <c r="AZ84" i="31"/>
  <c r="R84" i="31"/>
  <c r="BF79" i="31"/>
  <c r="BE79" i="31"/>
  <c r="BF47" i="31"/>
  <c r="BE47" i="31"/>
  <c r="AZ37" i="31"/>
  <c r="R37" i="31"/>
  <c r="AY97" i="31"/>
  <c r="S137" i="31"/>
  <c r="BF142" i="31"/>
  <c r="BF104" i="31"/>
  <c r="BE104" i="31"/>
  <c r="BF98" i="31"/>
  <c r="BE98" i="31"/>
  <c r="BF93" i="31"/>
  <c r="BE83" i="31"/>
  <c r="BF83" i="31"/>
  <c r="AZ66" i="31"/>
  <c r="R66" i="31"/>
  <c r="AZ56" i="31"/>
  <c r="R56" i="31"/>
  <c r="AV130" i="31"/>
  <c r="BC130" i="31"/>
  <c r="AQ70" i="31"/>
  <c r="AR70" i="31" s="1"/>
  <c r="AZ70" i="31"/>
  <c r="AS70" i="31"/>
  <c r="BE31" i="31"/>
  <c r="BF31" i="31"/>
  <c r="Q85" i="13"/>
  <c r="I85" i="13" s="1"/>
  <c r="P85" i="13"/>
  <c r="O76" i="13"/>
  <c r="Q76" i="13"/>
  <c r="I76" i="13" s="1"/>
  <c r="O10" i="13"/>
  <c r="BA136" i="31"/>
  <c r="AT136" i="31"/>
  <c r="AX136" i="31" s="1"/>
  <c r="BA111" i="31"/>
  <c r="AT111" i="31"/>
  <c r="BA44" i="31"/>
  <c r="BE44" i="31" s="1"/>
  <c r="AY59" i="31"/>
  <c r="AY46" i="31"/>
  <c r="AY29" i="31"/>
  <c r="AY22" i="31"/>
  <c r="BB119" i="31"/>
  <c r="AU119" i="31"/>
  <c r="BB93" i="31"/>
  <c r="BE93" i="31" s="1"/>
  <c r="AU93" i="31"/>
  <c r="AX93" i="31" s="1"/>
  <c r="BA85" i="31"/>
  <c r="BE85" i="31" s="1"/>
  <c r="BA49" i="31"/>
  <c r="BE49" i="31" s="1"/>
  <c r="U438" i="31"/>
  <c r="W437" i="31"/>
  <c r="CL138" i="31"/>
  <c r="CN138" i="31" s="1"/>
  <c r="BA148" i="31"/>
  <c r="CL63" i="31"/>
  <c r="CN63" i="31" s="1"/>
  <c r="AY82" i="31"/>
  <c r="AY49" i="31"/>
  <c r="AY35" i="31"/>
  <c r="AY21" i="31"/>
  <c r="BB35" i="31"/>
  <c r="AU35" i="31"/>
  <c r="AX35" i="31" s="1"/>
  <c r="BA117" i="31"/>
  <c r="AT117" i="31"/>
  <c r="BA91" i="31"/>
  <c r="BE91" i="31" s="1"/>
  <c r="AT91" i="31"/>
  <c r="AX91" i="31" s="1"/>
  <c r="AT14" i="31"/>
  <c r="AJ148" i="31"/>
  <c r="BC122" i="31"/>
  <c r="AS64" i="31"/>
  <c r="AY52" i="31"/>
  <c r="AS28" i="31"/>
  <c r="BB126" i="31"/>
  <c r="AU126" i="31"/>
  <c r="BB101" i="31"/>
  <c r="BE101" i="31" s="1"/>
  <c r="AU101" i="31"/>
  <c r="BA141" i="31"/>
  <c r="Q141" i="31"/>
  <c r="BA20" i="31"/>
  <c r="AY75" i="31"/>
  <c r="AY72" i="31"/>
  <c r="R136" i="31"/>
  <c r="R129" i="31"/>
  <c r="R108" i="31"/>
  <c r="R15" i="31"/>
  <c r="AY121" i="31"/>
  <c r="AS107" i="31"/>
  <c r="AY90" i="31"/>
  <c r="AY87" i="31"/>
  <c r="AS24" i="31"/>
  <c r="BB17" i="31"/>
  <c r="AK148" i="31"/>
  <c r="BA124" i="31"/>
  <c r="BF124" i="31" s="1"/>
  <c r="AT124" i="31"/>
  <c r="BA97" i="31"/>
  <c r="AT97" i="31"/>
  <c r="CL25" i="31"/>
  <c r="CN25" i="31" s="1"/>
  <c r="R115" i="31"/>
  <c r="R69" i="31"/>
  <c r="R59" i="31"/>
  <c r="BC59" i="31" s="1"/>
  <c r="BE59" i="31" s="1"/>
  <c r="R42" i="31"/>
  <c r="R34" i="31"/>
  <c r="AY78" i="31"/>
  <c r="AS66" i="31"/>
  <c r="AS41" i="31"/>
  <c r="BB132" i="31"/>
  <c r="AU132" i="31"/>
  <c r="BB107" i="31"/>
  <c r="BE107" i="31" s="1"/>
  <c r="AU107" i="31"/>
  <c r="BB75" i="31"/>
  <c r="BF75" i="31" s="1"/>
  <c r="BA67" i="31"/>
  <c r="CL115" i="31"/>
  <c r="CJ48" i="31"/>
  <c r="CL48" i="31" s="1"/>
  <c r="CK48" i="31"/>
  <c r="CL128" i="31"/>
  <c r="CN128" i="31" s="1"/>
  <c r="AY40" i="31"/>
  <c r="AY30" i="31"/>
  <c r="BB23" i="31"/>
  <c r="AU23" i="31"/>
  <c r="AX23" i="31" s="1"/>
  <c r="BA130" i="31"/>
  <c r="BF130" i="31" s="1"/>
  <c r="AT130" i="31"/>
  <c r="AY130" i="31" s="1"/>
  <c r="BA105" i="31"/>
  <c r="AT105" i="31"/>
  <c r="AY105" i="31" s="1"/>
  <c r="AU39" i="31"/>
  <c r="AX39" i="31" s="1"/>
  <c r="AU27" i="31"/>
  <c r="AX27" i="31" s="1"/>
  <c r="AU15" i="31"/>
  <c r="AU148" i="31" s="1"/>
  <c r="AU150" i="31" s="1"/>
  <c r="BB80" i="31"/>
  <c r="BB68" i="31"/>
  <c r="BB56" i="31"/>
  <c r="BA78" i="31"/>
  <c r="BE78" i="31" s="1"/>
  <c r="BA66" i="31"/>
  <c r="BA54" i="31"/>
  <c r="BA37" i="31"/>
  <c r="BA25" i="31"/>
  <c r="CL89" i="31"/>
  <c r="CK51" i="31"/>
  <c r="CJ51" i="31"/>
  <c r="CL51" i="31" s="1"/>
  <c r="CN51" i="31" s="1"/>
  <c r="CL34" i="31"/>
  <c r="CN34" i="31" s="1"/>
  <c r="CL17" i="31"/>
  <c r="BB130" i="31"/>
  <c r="BB117" i="31"/>
  <c r="BB105" i="31"/>
  <c r="BB91" i="31"/>
  <c r="BB45" i="31"/>
  <c r="BB33" i="31"/>
  <c r="BB21" i="31"/>
  <c r="W438" i="31"/>
  <c r="CL96" i="31"/>
  <c r="CL76" i="31"/>
  <c r="CN76" i="31" s="1"/>
  <c r="CL22" i="31"/>
  <c r="CN22" i="31" s="1"/>
  <c r="CL102" i="31"/>
  <c r="CN102" i="31" s="1"/>
  <c r="CL56" i="31"/>
  <c r="CN56" i="31" s="1"/>
  <c r="CL58" i="31"/>
  <c r="CL124" i="31"/>
  <c r="CN124" i="31" s="1"/>
  <c r="CL120" i="31"/>
  <c r="CL108" i="31"/>
  <c r="CN108" i="31" s="1"/>
  <c r="CL88" i="31"/>
  <c r="CN88" i="31" s="1"/>
  <c r="CL134" i="31"/>
  <c r="CN134" i="31" s="1"/>
  <c r="CL69" i="31"/>
  <c r="CN69" i="31" s="1"/>
  <c r="CL24" i="31"/>
  <c r="CL111" i="31"/>
  <c r="CL8" i="31" s="1"/>
  <c r="CL95" i="31"/>
  <c r="CN95" i="31" s="1"/>
  <c r="CJ46" i="31"/>
  <c r="CK46" i="31"/>
  <c r="CK142" i="31"/>
  <c r="CL133" i="31"/>
  <c r="CN133" i="31" s="1"/>
  <c r="CK130" i="31"/>
  <c r="CL130" i="31" s="1"/>
  <c r="CN130" i="31" s="1"/>
  <c r="CK123" i="31"/>
  <c r="CJ123" i="31"/>
  <c r="CL110" i="31"/>
  <c r="CN110" i="31" s="1"/>
  <c r="CL101" i="31"/>
  <c r="CN101" i="31" s="1"/>
  <c r="CL81" i="31"/>
  <c r="CN81" i="31" s="1"/>
  <c r="CL65" i="31"/>
  <c r="CN65" i="31" s="1"/>
  <c r="CL62" i="31"/>
  <c r="CN62" i="31" s="1"/>
  <c r="CL55" i="31"/>
  <c r="CN55" i="31" s="1"/>
  <c r="CL39" i="31"/>
  <c r="CN39" i="31" s="1"/>
  <c r="CL142" i="31"/>
  <c r="CN142" i="31" s="1"/>
  <c r="CL139" i="31"/>
  <c r="CN139" i="31" s="1"/>
  <c r="CJ137" i="31"/>
  <c r="CL137" i="31" s="1"/>
  <c r="CN137" i="31" s="1"/>
  <c r="CL126" i="31"/>
  <c r="CN126" i="31" s="1"/>
  <c r="CL119" i="31"/>
  <c r="CJ91" i="31"/>
  <c r="CL91" i="31" s="1"/>
  <c r="CN91" i="31" s="1"/>
  <c r="CK91" i="31"/>
  <c r="CL26" i="31"/>
  <c r="CN26" i="31" s="1"/>
  <c r="CL68" i="31"/>
  <c r="CL77" i="31"/>
  <c r="CL93" i="31"/>
  <c r="CK60" i="31"/>
  <c r="CL60" i="31" s="1"/>
  <c r="CN60" i="31" s="1"/>
  <c r="CL57" i="31"/>
  <c r="CN57" i="31" s="1"/>
  <c r="CK33" i="31"/>
  <c r="CL33" i="31" s="1"/>
  <c r="CN33" i="31" s="1"/>
  <c r="O109" i="13"/>
  <c r="O31" i="13"/>
  <c r="K46" i="13"/>
  <c r="K31" i="13"/>
  <c r="K10" i="13"/>
  <c r="CL100" i="31"/>
  <c r="CN100" i="31" s="1"/>
  <c r="CK63" i="31"/>
  <c r="L57" i="11"/>
  <c r="O116" i="13"/>
  <c r="O94" i="13"/>
  <c r="R69" i="13"/>
  <c r="R65" i="13"/>
  <c r="P49" i="13"/>
  <c r="P127" i="13"/>
  <c r="I90" i="13"/>
  <c r="I78" i="13"/>
  <c r="CK65" i="31"/>
  <c r="P21" i="13"/>
  <c r="P9" i="13"/>
  <c r="O61" i="13"/>
  <c r="O130" i="13"/>
  <c r="O69" i="13"/>
  <c r="CL67" i="31"/>
  <c r="CN67" i="31" s="1"/>
  <c r="O60" i="13"/>
  <c r="K42" i="13"/>
  <c r="K21" i="13"/>
  <c r="K18" i="13"/>
  <c r="CK137" i="31"/>
  <c r="O19" i="13"/>
  <c r="P120" i="13"/>
  <c r="P92" i="13"/>
  <c r="CL109" i="31"/>
  <c r="CN109" i="31" s="1"/>
  <c r="CK58" i="31"/>
  <c r="I68" i="13"/>
  <c r="P59" i="13"/>
  <c r="CL114" i="31"/>
  <c r="CN114" i="31" s="1"/>
  <c r="CK111" i="31"/>
  <c r="J36" i="13"/>
  <c r="K89" i="13"/>
  <c r="K62" i="13"/>
  <c r="K41" i="13"/>
  <c r="K38" i="13"/>
  <c r="K35" i="13"/>
  <c r="K26" i="13"/>
  <c r="K17" i="13"/>
  <c r="CK15" i="31"/>
  <c r="R10" i="13"/>
  <c r="N10" i="13" s="1"/>
  <c r="H10" i="13" s="1"/>
  <c r="P122" i="13"/>
  <c r="P94" i="13"/>
  <c r="Q91" i="13"/>
  <c r="K132" i="13"/>
  <c r="P128" i="13"/>
  <c r="O64" i="13"/>
  <c r="R60" i="13"/>
  <c r="N60" i="13" s="1"/>
  <c r="H60" i="13" s="1"/>
  <c r="O41" i="13"/>
  <c r="R34" i="13"/>
  <c r="J34" i="13" s="1"/>
  <c r="R30" i="13"/>
  <c r="J30" i="13" s="1"/>
  <c r="O16" i="13"/>
  <c r="Q72" i="13"/>
  <c r="I72" i="13" s="1"/>
  <c r="Q69" i="13"/>
  <c r="I69" i="13" s="1"/>
  <c r="K55" i="13"/>
  <c r="R131" i="13"/>
  <c r="K128" i="13"/>
  <c r="R124" i="13"/>
  <c r="J124" i="13" s="1"/>
  <c r="P114" i="13"/>
  <c r="K71" i="13"/>
  <c r="R67" i="13"/>
  <c r="R63" i="13"/>
  <c r="P47" i="13"/>
  <c r="O44" i="13"/>
  <c r="R40" i="13"/>
  <c r="J40" i="13" s="1"/>
  <c r="O26" i="13"/>
  <c r="Q54" i="13"/>
  <c r="I54" i="13" s="1"/>
  <c r="P134" i="13"/>
  <c r="R77" i="13"/>
  <c r="N77" i="13" s="1"/>
  <c r="K74" i="13"/>
  <c r="R70" i="13"/>
  <c r="J70" i="13" s="1"/>
  <c r="R43" i="13"/>
  <c r="N43" i="13" s="1"/>
  <c r="R39" i="13"/>
  <c r="J39" i="13" s="1"/>
  <c r="O29" i="13"/>
  <c r="Q83" i="13"/>
  <c r="I83" i="13" s="1"/>
  <c r="R22" i="13"/>
  <c r="J22" i="13" s="1"/>
  <c r="O11" i="13"/>
  <c r="O7" i="13"/>
  <c r="K129" i="13"/>
  <c r="K123" i="13"/>
  <c r="K80" i="13"/>
  <c r="Q62" i="13"/>
  <c r="I62" i="13" s="1"/>
  <c r="Q44" i="13"/>
  <c r="I44" i="13" s="1"/>
  <c r="Q38" i="13"/>
  <c r="N38" i="13" s="1"/>
  <c r="H38" i="13" s="1"/>
  <c r="Q35" i="13"/>
  <c r="I35" i="13" s="1"/>
  <c r="P32" i="13"/>
  <c r="P29" i="13"/>
  <c r="Q26" i="13"/>
  <c r="I26" i="13" s="1"/>
  <c r="Q23" i="13"/>
  <c r="I23" i="13" s="1"/>
  <c r="P17" i="13"/>
  <c r="Q14" i="13"/>
  <c r="Q11" i="13"/>
  <c r="K134" i="13"/>
  <c r="P126" i="13"/>
  <c r="O91" i="13"/>
  <c r="R80" i="13"/>
  <c r="N80" i="13" s="1"/>
  <c r="H80" i="13" s="1"/>
  <c r="P73" i="13"/>
  <c r="O46" i="13"/>
  <c r="R32" i="13"/>
  <c r="J32" i="13" s="1"/>
  <c r="O22" i="13"/>
  <c r="Q56" i="13"/>
  <c r="I56" i="13" s="1"/>
  <c r="Q53" i="13"/>
  <c r="I53" i="13" s="1"/>
  <c r="Q50" i="13"/>
  <c r="I50" i="13" s="1"/>
  <c r="O133" i="13"/>
  <c r="O68" i="13"/>
  <c r="O59" i="13"/>
  <c r="K53" i="13"/>
  <c r="O51" i="13"/>
  <c r="K43" i="13"/>
  <c r="P40" i="13"/>
  <c r="N34" i="13"/>
  <c r="H34" i="13" s="1"/>
  <c r="K30" i="13"/>
  <c r="K27" i="13"/>
  <c r="P24" i="13"/>
  <c r="K22" i="13"/>
  <c r="K14" i="13"/>
  <c r="P8" i="13"/>
  <c r="P132" i="13"/>
  <c r="P90" i="13"/>
  <c r="P78" i="13"/>
  <c r="P62" i="13"/>
  <c r="P61" i="13"/>
  <c r="P43" i="13"/>
  <c r="P39" i="13"/>
  <c r="P31" i="13"/>
  <c r="P27" i="13"/>
  <c r="P26" i="13"/>
  <c r="P15" i="13"/>
  <c r="O113" i="13"/>
  <c r="O87" i="13"/>
  <c r="O81" i="13"/>
  <c r="R28" i="13"/>
  <c r="J28" i="13" s="1"/>
  <c r="R26" i="13"/>
  <c r="J26" i="13" s="1"/>
  <c r="R25" i="13"/>
  <c r="J25" i="13" s="1"/>
  <c r="Q132" i="13"/>
  <c r="N132" i="13" s="1"/>
  <c r="H132" i="13" s="1"/>
  <c r="Q130" i="13"/>
  <c r="Q87" i="13"/>
  <c r="Q86" i="13"/>
  <c r="I86" i="13" s="1"/>
  <c r="Q82" i="13"/>
  <c r="I82" i="13" s="1"/>
  <c r="Q81" i="13"/>
  <c r="I81" i="13" s="1"/>
  <c r="Q74" i="13"/>
  <c r="Q73" i="13"/>
  <c r="I73" i="13" s="1"/>
  <c r="Q66" i="13"/>
  <c r="I66" i="13" s="1"/>
  <c r="Q65" i="13"/>
  <c r="I65" i="13" s="1"/>
  <c r="Q58" i="13"/>
  <c r="I58" i="13" s="1"/>
  <c r="Q57" i="13"/>
  <c r="I57" i="13" s="1"/>
  <c r="Q48" i="13"/>
  <c r="I48" i="13" s="1"/>
  <c r="Q47" i="13"/>
  <c r="I47" i="13" s="1"/>
  <c r="L56" i="11"/>
  <c r="U3" i="13"/>
  <c r="U1" i="13" s="1"/>
  <c r="P124" i="13"/>
  <c r="P91" i="13"/>
  <c r="P79" i="13"/>
  <c r="P70" i="13"/>
  <c r="P60" i="13"/>
  <c r="P53" i="13"/>
  <c r="P44" i="13"/>
  <c r="P42" i="13"/>
  <c r="P38" i="13"/>
  <c r="P34" i="13"/>
  <c r="P30" i="13"/>
  <c r="P23" i="13"/>
  <c r="P18" i="13"/>
  <c r="P14" i="13"/>
  <c r="P10" i="13"/>
  <c r="N70" i="13"/>
  <c r="H70" i="13" s="1"/>
  <c r="R133" i="13"/>
  <c r="J133" i="13" s="1"/>
  <c r="R123" i="13"/>
  <c r="J123" i="13" s="1"/>
  <c r="R122" i="13"/>
  <c r="R120" i="13"/>
  <c r="J120" i="13" s="1"/>
  <c r="R117" i="13"/>
  <c r="J117" i="13" s="1"/>
  <c r="R116" i="13"/>
  <c r="J116" i="13" s="1"/>
  <c r="R112" i="13"/>
  <c r="R110" i="13"/>
  <c r="J110" i="13" s="1"/>
  <c r="R108" i="13"/>
  <c r="R106" i="13"/>
  <c r="J106" i="13" s="1"/>
  <c r="O118" i="13"/>
  <c r="O97" i="13"/>
  <c r="R104" i="13"/>
  <c r="O103" i="13"/>
  <c r="R102" i="13"/>
  <c r="O101" i="13"/>
  <c r="R100" i="13"/>
  <c r="J100" i="13" s="1"/>
  <c r="O99" i="13"/>
  <c r="R98" i="13"/>
  <c r="R95" i="13"/>
  <c r="R94" i="13"/>
  <c r="R92" i="13"/>
  <c r="R89" i="13"/>
  <c r="N89" i="13" s="1"/>
  <c r="H89" i="13" s="1"/>
  <c r="R88" i="13"/>
  <c r="J88" i="13" s="1"/>
  <c r="R86" i="13"/>
  <c r="J86" i="13" s="1"/>
  <c r="O85" i="13"/>
  <c r="R84" i="13"/>
  <c r="R82" i="13"/>
  <c r="J82" i="13" s="1"/>
  <c r="R72" i="13"/>
  <c r="J72" i="13" s="1"/>
  <c r="R61" i="13"/>
  <c r="N61" i="13" s="1"/>
  <c r="H61" i="13" s="1"/>
  <c r="R59" i="13"/>
  <c r="R58" i="13"/>
  <c r="R56" i="13"/>
  <c r="R54" i="13"/>
  <c r="R52" i="13"/>
  <c r="N52" i="13" s="1"/>
  <c r="R51" i="13"/>
  <c r="J51" i="13" s="1"/>
  <c r="R44" i="13"/>
  <c r="N44" i="13" s="1"/>
  <c r="H44" i="13" s="1"/>
  <c r="R41" i="13"/>
  <c r="J41" i="13" s="1"/>
  <c r="R35" i="13"/>
  <c r="R33" i="13"/>
  <c r="J33" i="13" s="1"/>
  <c r="R31" i="13"/>
  <c r="J31" i="13" s="1"/>
  <c r="R29" i="13"/>
  <c r="J29" i="13" s="1"/>
  <c r="R23" i="13"/>
  <c r="J23" i="13" s="1"/>
  <c r="R11" i="13"/>
  <c r="N11" i="13" s="1"/>
  <c r="H11" i="13" s="1"/>
  <c r="R9" i="13"/>
  <c r="Q134" i="13"/>
  <c r="Q133" i="13"/>
  <c r="I133" i="13" s="1"/>
  <c r="Q129" i="13"/>
  <c r="I129" i="13" s="1"/>
  <c r="Q127" i="13"/>
  <c r="I127" i="13" s="1"/>
  <c r="Q124" i="13"/>
  <c r="N124" i="13" s="1"/>
  <c r="Q123" i="13"/>
  <c r="Q120" i="13"/>
  <c r="I120" i="13" s="1"/>
  <c r="Q119" i="13"/>
  <c r="K119" i="13"/>
  <c r="Q116" i="13"/>
  <c r="Q111" i="13"/>
  <c r="I111" i="13" s="1"/>
  <c r="Q108" i="13"/>
  <c r="I108" i="13" s="1"/>
  <c r="Q107" i="13"/>
  <c r="Q104" i="13"/>
  <c r="I104" i="13" s="1"/>
  <c r="Q103" i="13"/>
  <c r="I103" i="13" s="1"/>
  <c r="Q100" i="13"/>
  <c r="I100" i="13" s="1"/>
  <c r="Q99" i="13"/>
  <c r="Q96" i="13"/>
  <c r="Q95" i="13"/>
  <c r="Q92" i="13"/>
  <c r="I92" i="13" s="1"/>
  <c r="Q88" i="13"/>
  <c r="I88" i="13" s="1"/>
  <c r="Q84" i="13"/>
  <c r="I84" i="13" s="1"/>
  <c r="Q79" i="13"/>
  <c r="I79" i="13" s="1"/>
  <c r="Q75" i="13"/>
  <c r="I75" i="13" s="1"/>
  <c r="Q71" i="13"/>
  <c r="Q67" i="13"/>
  <c r="N67" i="13" s="1"/>
  <c r="Q63" i="13"/>
  <c r="N63" i="13" s="1"/>
  <c r="Q59" i="13"/>
  <c r="Q55" i="13"/>
  <c r="I55" i="13" s="1"/>
  <c r="Q51" i="13"/>
  <c r="Q49" i="13"/>
  <c r="I49" i="13" s="1"/>
  <c r="Q45" i="13"/>
  <c r="I45" i="13" s="1"/>
  <c r="O37" i="13"/>
  <c r="O20" i="13"/>
  <c r="J112" i="13"/>
  <c r="J108" i="13"/>
  <c r="J104" i="13"/>
  <c r="J102" i="13"/>
  <c r="J98" i="13"/>
  <c r="J84" i="13"/>
  <c r="J35" i="13"/>
  <c r="N35" i="13"/>
  <c r="H35" i="13" s="1"/>
  <c r="J27" i="13"/>
  <c r="N27" i="13"/>
  <c r="I39" i="13"/>
  <c r="L3" i="13"/>
  <c r="L1" i="13" s="1"/>
  <c r="P133" i="13"/>
  <c r="P119" i="13"/>
  <c r="P117" i="13"/>
  <c r="P112" i="13"/>
  <c r="P110" i="13"/>
  <c r="P108" i="13"/>
  <c r="P106" i="13"/>
  <c r="P104" i="13"/>
  <c r="P102" i="13"/>
  <c r="P100" i="13"/>
  <c r="P98" i="13"/>
  <c r="P88" i="13"/>
  <c r="P86" i="13"/>
  <c r="P84" i="13"/>
  <c r="P82" i="13"/>
  <c r="P41" i="13"/>
  <c r="P35" i="13"/>
  <c r="P33" i="13"/>
  <c r="P22" i="13"/>
  <c r="K124" i="13"/>
  <c r="J131" i="13"/>
  <c r="J122" i="13"/>
  <c r="J95" i="13"/>
  <c r="J94" i="13"/>
  <c r="J92" i="13"/>
  <c r="J79" i="13"/>
  <c r="J77" i="13"/>
  <c r="J61" i="13"/>
  <c r="J59" i="13"/>
  <c r="O36" i="13"/>
  <c r="J9" i="13"/>
  <c r="I134" i="13"/>
  <c r="I91" i="13"/>
  <c r="I87" i="13"/>
  <c r="I74" i="13"/>
  <c r="I71" i="13"/>
  <c r="N31" i="13"/>
  <c r="H31" i="13" s="1"/>
  <c r="I31" i="13"/>
  <c r="I15" i="13"/>
  <c r="R134" i="13"/>
  <c r="R130" i="13"/>
  <c r="R129" i="13"/>
  <c r="R127" i="13"/>
  <c r="R126" i="13"/>
  <c r="R125" i="13"/>
  <c r="J125" i="13" s="1"/>
  <c r="R121" i="13"/>
  <c r="J121" i="13" s="1"/>
  <c r="R119" i="13"/>
  <c r="J119" i="13" s="1"/>
  <c r="R118" i="13"/>
  <c r="J118" i="13" s="1"/>
  <c r="R115" i="13"/>
  <c r="J115" i="13" s="1"/>
  <c r="R114" i="13"/>
  <c r="R113" i="13"/>
  <c r="J113" i="13" s="1"/>
  <c r="R111" i="13"/>
  <c r="R109" i="13"/>
  <c r="J109" i="13" s="1"/>
  <c r="R107" i="13"/>
  <c r="N107" i="13" s="1"/>
  <c r="R105" i="13"/>
  <c r="J105" i="13" s="1"/>
  <c r="R103" i="13"/>
  <c r="R101" i="13"/>
  <c r="J101" i="13" s="1"/>
  <c r="R99" i="13"/>
  <c r="R97" i="13"/>
  <c r="J97" i="13" s="1"/>
  <c r="R96" i="13"/>
  <c r="N96" i="13" s="1"/>
  <c r="R93" i="13"/>
  <c r="J93" i="13" s="1"/>
  <c r="R91" i="13"/>
  <c r="J91" i="13" s="1"/>
  <c r="R90" i="13"/>
  <c r="N90" i="13" s="1"/>
  <c r="R87" i="13"/>
  <c r="N87" i="13" s="1"/>
  <c r="R85" i="13"/>
  <c r="R83" i="13"/>
  <c r="N83" i="13" s="1"/>
  <c r="R81" i="13"/>
  <c r="N81" i="13" s="1"/>
  <c r="R78" i="13"/>
  <c r="N78" i="13" s="1"/>
  <c r="R76" i="13"/>
  <c r="R75" i="13"/>
  <c r="R74" i="13"/>
  <c r="J74" i="13" s="1"/>
  <c r="R73" i="13"/>
  <c r="J73" i="13" s="1"/>
  <c r="R71" i="13"/>
  <c r="N71" i="13" s="1"/>
  <c r="R68" i="13"/>
  <c r="N68" i="13" s="1"/>
  <c r="H68" i="13" s="1"/>
  <c r="R66" i="13"/>
  <c r="N66" i="13" s="1"/>
  <c r="H66" i="13" s="1"/>
  <c r="R64" i="13"/>
  <c r="R62" i="13"/>
  <c r="N62" i="13" s="1"/>
  <c r="H62" i="13" s="1"/>
  <c r="R57" i="13"/>
  <c r="R55" i="13"/>
  <c r="R53" i="13"/>
  <c r="R50" i="13"/>
  <c r="R49" i="13"/>
  <c r="R48" i="13"/>
  <c r="R47" i="13"/>
  <c r="R46" i="13"/>
  <c r="R45" i="13"/>
  <c r="N45" i="13" s="1"/>
  <c r="R21" i="13"/>
  <c r="J21" i="13" s="1"/>
  <c r="R20" i="13"/>
  <c r="J20" i="13" s="1"/>
  <c r="R19" i="13"/>
  <c r="R18" i="13"/>
  <c r="R17" i="13"/>
  <c r="J17" i="13" s="1"/>
  <c r="R16" i="13"/>
  <c r="J16" i="13" s="1"/>
  <c r="R15" i="13"/>
  <c r="J15" i="13" s="1"/>
  <c r="R14" i="13"/>
  <c r="R13" i="13"/>
  <c r="J13" i="13" s="1"/>
  <c r="R12" i="13"/>
  <c r="J12" i="13" s="1"/>
  <c r="J8" i="13"/>
  <c r="I130" i="13"/>
  <c r="I116" i="13"/>
  <c r="I96" i="13"/>
  <c r="I27" i="13"/>
  <c r="I19" i="13"/>
  <c r="I11" i="13"/>
  <c r="R7" i="13"/>
  <c r="N7" i="13" s="1"/>
  <c r="Q131" i="13"/>
  <c r="N131" i="13" s="1"/>
  <c r="Q126" i="13"/>
  <c r="I126" i="13" s="1"/>
  <c r="Q125" i="13"/>
  <c r="Q122" i="13"/>
  <c r="I122" i="13" s="1"/>
  <c r="Q121" i="13"/>
  <c r="Q118" i="13"/>
  <c r="I118" i="13" s="1"/>
  <c r="Q117" i="13"/>
  <c r="N117" i="13" s="1"/>
  <c r="Q114" i="13"/>
  <c r="I114" i="13" s="1"/>
  <c r="Q113" i="13"/>
  <c r="Q112" i="13"/>
  <c r="Q110" i="13"/>
  <c r="I110" i="13" s="1"/>
  <c r="Q109" i="13"/>
  <c r="N109" i="13" s="1"/>
  <c r="Q106" i="13"/>
  <c r="I106" i="13" s="1"/>
  <c r="Q105" i="13"/>
  <c r="N105" i="13" s="1"/>
  <c r="Q102" i="13"/>
  <c r="I102" i="13" s="1"/>
  <c r="Q101" i="13"/>
  <c r="Q98" i="13"/>
  <c r="I98" i="13" s="1"/>
  <c r="Q97" i="13"/>
  <c r="I97" i="13" s="1"/>
  <c r="Q94" i="13"/>
  <c r="I94" i="13" s="1"/>
  <c r="Q93" i="13"/>
  <c r="Q41" i="13"/>
  <c r="I41" i="13" s="1"/>
  <c r="Q40" i="13"/>
  <c r="Q37" i="13"/>
  <c r="Q36" i="13"/>
  <c r="N36" i="13" s="1"/>
  <c r="Q33" i="13"/>
  <c r="Q32" i="13"/>
  <c r="N32" i="13" s="1"/>
  <c r="Q29" i="13"/>
  <c r="Q28" i="13"/>
  <c r="Q25" i="13"/>
  <c r="Q24" i="13"/>
  <c r="N24" i="13" s="1"/>
  <c r="Q21" i="13"/>
  <c r="Q20" i="13"/>
  <c r="Q17" i="13"/>
  <c r="Q16" i="13"/>
  <c r="I16" i="13" s="1"/>
  <c r="Q13" i="13"/>
  <c r="Q12" i="13"/>
  <c r="Q9" i="13"/>
  <c r="Q8" i="13"/>
  <c r="N8" i="13" s="1"/>
  <c r="I143" i="13"/>
  <c r="N143" i="13"/>
  <c r="H143" i="13" s="1"/>
  <c r="X129" i="13"/>
  <c r="X121" i="13"/>
  <c r="X112" i="13"/>
  <c r="X82" i="13"/>
  <c r="X39" i="13"/>
  <c r="W129" i="13"/>
  <c r="W113" i="13"/>
  <c r="P143" i="13"/>
  <c r="X133" i="13"/>
  <c r="X123" i="13"/>
  <c r="X114" i="13"/>
  <c r="X111" i="13"/>
  <c r="X40" i="13"/>
  <c r="W114" i="13"/>
  <c r="W82" i="13"/>
  <c r="W111" i="13"/>
  <c r="X127" i="13"/>
  <c r="X120" i="13"/>
  <c r="X109" i="13"/>
  <c r="X107" i="13"/>
  <c r="X105" i="13"/>
  <c r="X103" i="13"/>
  <c r="X101" i="13"/>
  <c r="X99" i="13"/>
  <c r="X93" i="13"/>
  <c r="X86" i="13"/>
  <c r="X84" i="13"/>
  <c r="X78" i="13"/>
  <c r="X74" i="13"/>
  <c r="X72" i="13"/>
  <c r="X62" i="13"/>
  <c r="X60" i="13"/>
  <c r="X56" i="13"/>
  <c r="X54" i="13"/>
  <c r="X52" i="13"/>
  <c r="X50" i="13"/>
  <c r="X46" i="13"/>
  <c r="X42" i="13"/>
  <c r="X38" i="13"/>
  <c r="X36" i="13"/>
  <c r="X34" i="13"/>
  <c r="X32" i="13"/>
  <c r="X30" i="13"/>
  <c r="X26" i="13"/>
  <c r="X20" i="13"/>
  <c r="X18" i="13"/>
  <c r="X16" i="13"/>
  <c r="X14" i="13"/>
  <c r="X10" i="13"/>
  <c r="X8" i="13"/>
  <c r="X7" i="13"/>
  <c r="W50" i="13"/>
  <c r="AB77" i="13"/>
  <c r="Q84" i="11"/>
  <c r="AB37" i="13"/>
  <c r="Q44" i="11"/>
  <c r="X128" i="13"/>
  <c r="O134" i="11"/>
  <c r="O127" i="11"/>
  <c r="X110" i="13"/>
  <c r="O116" i="11"/>
  <c r="X108" i="13"/>
  <c r="O114" i="11"/>
  <c r="X106" i="13"/>
  <c r="O112" i="11"/>
  <c r="X104" i="13"/>
  <c r="O110" i="11"/>
  <c r="X102" i="13"/>
  <c r="O108" i="11"/>
  <c r="X100" i="13"/>
  <c r="O106" i="11"/>
  <c r="X98" i="13"/>
  <c r="O100" i="11"/>
  <c r="X92" i="13"/>
  <c r="X87" i="13"/>
  <c r="O93" i="11"/>
  <c r="X85" i="13"/>
  <c r="O91" i="11"/>
  <c r="X83" i="13"/>
  <c r="X81" i="13"/>
  <c r="O85" i="11"/>
  <c r="X77" i="13"/>
  <c r="X75" i="13"/>
  <c r="O81" i="11"/>
  <c r="O79" i="11"/>
  <c r="X71" i="13"/>
  <c r="O69" i="11"/>
  <c r="O67" i="11"/>
  <c r="X59" i="13"/>
  <c r="X57" i="13"/>
  <c r="O63" i="11"/>
  <c r="X55" i="13"/>
  <c r="O61" i="11"/>
  <c r="X53" i="13"/>
  <c r="O59" i="11"/>
  <c r="X51" i="13"/>
  <c r="O57" i="11"/>
  <c r="X49" i="13"/>
  <c r="X47" i="13"/>
  <c r="O53" i="11"/>
  <c r="X43" i="13"/>
  <c r="O49" i="11"/>
  <c r="O45" i="11"/>
  <c r="X37" i="13"/>
  <c r="O43" i="11"/>
  <c r="O41" i="11"/>
  <c r="X33" i="13"/>
  <c r="O39" i="11"/>
  <c r="X31" i="13"/>
  <c r="O37" i="11"/>
  <c r="X29" i="13"/>
  <c r="X27" i="13"/>
  <c r="O33" i="11"/>
  <c r="X21" i="13"/>
  <c r="O27" i="11"/>
  <c r="X19" i="13"/>
  <c r="O25" i="11"/>
  <c r="X17" i="13"/>
  <c r="O23" i="11"/>
  <c r="X15" i="13"/>
  <c r="O21" i="11"/>
  <c r="X13" i="13"/>
  <c r="O17" i="11"/>
  <c r="X9" i="13"/>
  <c r="O15" i="11"/>
  <c r="O14" i="11"/>
  <c r="R14" i="11" s="1"/>
  <c r="W49" i="13"/>
  <c r="S2" i="13"/>
  <c r="Q2" i="13"/>
  <c r="D2" i="13" s="1"/>
  <c r="V1" i="13"/>
  <c r="T1" i="13"/>
  <c r="K1" i="13"/>
  <c r="B64" i="13"/>
  <c r="B71" i="11"/>
  <c r="M127" i="13"/>
  <c r="S115" i="13"/>
  <c r="M2" i="13"/>
  <c r="D3" i="13" s="1"/>
  <c r="M52" i="13"/>
  <c r="M69" i="13"/>
  <c r="M67" i="13"/>
  <c r="J66" i="13"/>
  <c r="M65" i="13"/>
  <c r="J63" i="13"/>
  <c r="J56" i="13"/>
  <c r="J54" i="13"/>
  <c r="M50" i="13"/>
  <c r="Q128" i="13"/>
  <c r="I117" i="13"/>
  <c r="N112" i="13"/>
  <c r="I112" i="13"/>
  <c r="I101" i="13"/>
  <c r="I93" i="13"/>
  <c r="I40" i="13"/>
  <c r="I28" i="13"/>
  <c r="I20" i="13"/>
  <c r="I12" i="13"/>
  <c r="I1" i="13"/>
  <c r="Q139" i="11"/>
  <c r="P131" i="13"/>
  <c r="P77" i="13"/>
  <c r="P72" i="13"/>
  <c r="P69" i="13"/>
  <c r="P67" i="13"/>
  <c r="P65" i="13"/>
  <c r="P63" i="13"/>
  <c r="P58" i="13"/>
  <c r="P56" i="13"/>
  <c r="P54" i="13"/>
  <c r="P52" i="13"/>
  <c r="P50" i="13"/>
  <c r="P45" i="13"/>
  <c r="K133" i="13"/>
  <c r="K131" i="13"/>
  <c r="K125" i="13"/>
  <c r="K122" i="13"/>
  <c r="K121" i="13"/>
  <c r="K120" i="13"/>
  <c r="K118" i="13"/>
  <c r="K117" i="13"/>
  <c r="K116" i="13"/>
  <c r="K113" i="13"/>
  <c r="K112" i="13"/>
  <c r="K111" i="13"/>
  <c r="K110" i="13"/>
  <c r="K109" i="13"/>
  <c r="K108" i="13"/>
  <c r="K107" i="13"/>
  <c r="K106" i="13"/>
  <c r="K105" i="13"/>
  <c r="K104" i="13"/>
  <c r="K103" i="13"/>
  <c r="K102" i="13"/>
  <c r="K101" i="13"/>
  <c r="K100" i="13"/>
  <c r="K99" i="13"/>
  <c r="K98" i="13"/>
  <c r="K97" i="13"/>
  <c r="K96" i="13"/>
  <c r="K94" i="13"/>
  <c r="K93" i="13"/>
  <c r="K92" i="13"/>
  <c r="K90" i="13"/>
  <c r="H90" i="13" s="1"/>
  <c r="K88" i="13"/>
  <c r="K87" i="13"/>
  <c r="K86" i="13"/>
  <c r="K85" i="13"/>
  <c r="K84" i="13"/>
  <c r="K83" i="13"/>
  <c r="K82" i="13"/>
  <c r="K81" i="13"/>
  <c r="H81" i="13" s="1"/>
  <c r="K79" i="13"/>
  <c r="K78" i="13"/>
  <c r="H78" i="13" s="1"/>
  <c r="K77" i="13"/>
  <c r="H77" i="13" s="1"/>
  <c r="K72" i="13"/>
  <c r="K63" i="13"/>
  <c r="K58" i="13"/>
  <c r="K56" i="13"/>
  <c r="K54" i="13"/>
  <c r="K45" i="13"/>
  <c r="K40" i="13"/>
  <c r="K36" i="13"/>
  <c r="K32" i="13"/>
  <c r="K28" i="13"/>
  <c r="K24" i="13"/>
  <c r="H24" i="13" s="1"/>
  <c r="K20" i="13"/>
  <c r="K16" i="13"/>
  <c r="K12" i="13"/>
  <c r="K8" i="13"/>
  <c r="J132" i="13"/>
  <c r="R128" i="13"/>
  <c r="J128" i="13" s="1"/>
  <c r="J62" i="13"/>
  <c r="J57" i="13"/>
  <c r="J55" i="13"/>
  <c r="J53" i="13"/>
  <c r="M49" i="13"/>
  <c r="I123" i="13"/>
  <c r="I119" i="13"/>
  <c r="I107" i="13"/>
  <c r="I99" i="13"/>
  <c r="I95" i="13"/>
  <c r="R42" i="13"/>
  <c r="I42" i="13"/>
  <c r="I38" i="13"/>
  <c r="I34" i="13"/>
  <c r="I30" i="13"/>
  <c r="I22" i="13"/>
  <c r="I18" i="13"/>
  <c r="I14" i="13"/>
  <c r="I10" i="13"/>
  <c r="P7" i="13"/>
  <c r="P3" i="13" s="1"/>
  <c r="P1" i="13" s="1"/>
  <c r="J80" i="13" l="1"/>
  <c r="N30" i="13"/>
  <c r="N133" i="13"/>
  <c r="N120" i="13"/>
  <c r="J43" i="13"/>
  <c r="H71" i="13"/>
  <c r="J60" i="13"/>
  <c r="N101" i="13"/>
  <c r="H43" i="13"/>
  <c r="H101" i="13"/>
  <c r="N125" i="13"/>
  <c r="H125" i="13" s="1"/>
  <c r="CL447" i="31"/>
  <c r="CL444" i="31"/>
  <c r="CL6" i="31"/>
  <c r="CO8" i="31"/>
  <c r="CQ150" i="31"/>
  <c r="BF30" i="30"/>
  <c r="BE30" i="30"/>
  <c r="BW146" i="29"/>
  <c r="BW143" i="29"/>
  <c r="BX136" i="29"/>
  <c r="BY136" i="29" s="1"/>
  <c r="CS90" i="31"/>
  <c r="CV90" i="31" s="1"/>
  <c r="CW90" i="31" s="1"/>
  <c r="CU90" i="31"/>
  <c r="BC90" i="31"/>
  <c r="BF90" i="31" s="1"/>
  <c r="BV90" i="31"/>
  <c r="BX90" i="31" s="1"/>
  <c r="BY90" i="31" s="1"/>
  <c r="CT90" i="31"/>
  <c r="CW144" i="31"/>
  <c r="CM144" i="31"/>
  <c r="CN144" i="31" s="1"/>
  <c r="R116" i="30"/>
  <c r="CU116" i="30"/>
  <c r="AZ116" i="30"/>
  <c r="CT116" i="30"/>
  <c r="CG116" i="30"/>
  <c r="CH116" i="30" s="1"/>
  <c r="BS116" i="30"/>
  <c r="CS116" i="30"/>
  <c r="CV116" i="30" s="1"/>
  <c r="CW116" i="30" s="1"/>
  <c r="BF43" i="30"/>
  <c r="BE43" i="30"/>
  <c r="BE15" i="30"/>
  <c r="BF15" i="30"/>
  <c r="BF87" i="29"/>
  <c r="BE87" i="29"/>
  <c r="AY121" i="29"/>
  <c r="AX121" i="29"/>
  <c r="CF113" i="29"/>
  <c r="CE113" i="29"/>
  <c r="AY101" i="29"/>
  <c r="AX101" i="29"/>
  <c r="BE57" i="29"/>
  <c r="BF57" i="29"/>
  <c r="CE34" i="29"/>
  <c r="CF34" i="29"/>
  <c r="BR21" i="29"/>
  <c r="BQ146" i="29"/>
  <c r="BQ143" i="29"/>
  <c r="AX29" i="29"/>
  <c r="AY29" i="29"/>
  <c r="CF44" i="29"/>
  <c r="CE44" i="29"/>
  <c r="CF33" i="29"/>
  <c r="CE33" i="29"/>
  <c r="BE44" i="29"/>
  <c r="BF44" i="29"/>
  <c r="BF42" i="29"/>
  <c r="BE42" i="29"/>
  <c r="AR113" i="29"/>
  <c r="CE101" i="29"/>
  <c r="CF101" i="29"/>
  <c r="CE137" i="30"/>
  <c r="CF137" i="30"/>
  <c r="DI136" i="29"/>
  <c r="DH143" i="29"/>
  <c r="AR79" i="29"/>
  <c r="BC69" i="31"/>
  <c r="BV69" i="31"/>
  <c r="BX69" i="31" s="1"/>
  <c r="BY69" i="31" s="1"/>
  <c r="CT69" i="31"/>
  <c r="CS69" i="31"/>
  <c r="CV69" i="31" s="1"/>
  <c r="CW69" i="31" s="1"/>
  <c r="CU69" i="31"/>
  <c r="CG44" i="30"/>
  <c r="CH44" i="30" s="1"/>
  <c r="BG44" i="30"/>
  <c r="BS44" i="30"/>
  <c r="R44" i="30"/>
  <c r="CU44" i="30"/>
  <c r="BH44" i="30"/>
  <c r="CT44" i="30"/>
  <c r="CS44" i="30"/>
  <c r="CV44" i="30" s="1"/>
  <c r="CW44" i="30" s="1"/>
  <c r="AZ44" i="30"/>
  <c r="BE107" i="29"/>
  <c r="BF107" i="29"/>
  <c r="AY51" i="29"/>
  <c r="AX51" i="29"/>
  <c r="BC115" i="31"/>
  <c r="CS115" i="31"/>
  <c r="CV115" i="31" s="1"/>
  <c r="CW115" i="31" s="1"/>
  <c r="CU115" i="31"/>
  <c r="BV115" i="31"/>
  <c r="BX115" i="31" s="1"/>
  <c r="BY115" i="31" s="1"/>
  <c r="CT115" i="31"/>
  <c r="BC66" i="31"/>
  <c r="BF66" i="31" s="1"/>
  <c r="CS66" i="31"/>
  <c r="CV66" i="31" s="1"/>
  <c r="CW66" i="31" s="1"/>
  <c r="CU66" i="31"/>
  <c r="BV66" i="31"/>
  <c r="BX66" i="31" s="1"/>
  <c r="BY66" i="31" s="1"/>
  <c r="CT66" i="31"/>
  <c r="BE113" i="31"/>
  <c r="BF113" i="31"/>
  <c r="J44" i="13"/>
  <c r="CB56" i="31"/>
  <c r="CD56" i="31"/>
  <c r="CX147" i="30"/>
  <c r="CX151" i="30"/>
  <c r="BF80" i="29"/>
  <c r="BE80" i="29"/>
  <c r="LP19" i="26"/>
  <c r="LQ18" i="26"/>
  <c r="BE121" i="30"/>
  <c r="BF121" i="30"/>
  <c r="CB54" i="30"/>
  <c r="CC54" i="30"/>
  <c r="BZ150" i="30"/>
  <c r="BZ147" i="30"/>
  <c r="CB116" i="29"/>
  <c r="CC116" i="29"/>
  <c r="BE62" i="29"/>
  <c r="BF62" i="29"/>
  <c r="CE26" i="29"/>
  <c r="CF26" i="29"/>
  <c r="AY136" i="30"/>
  <c r="AX136" i="30"/>
  <c r="I63" i="13"/>
  <c r="CL171" i="31"/>
  <c r="CN171" i="31" s="1"/>
  <c r="CN120" i="31"/>
  <c r="AX45" i="31"/>
  <c r="AV145" i="31"/>
  <c r="BC17" i="31"/>
  <c r="BV17" i="31"/>
  <c r="CH41" i="31"/>
  <c r="CG145" i="31"/>
  <c r="BC135" i="30"/>
  <c r="BV135" i="30"/>
  <c r="BX135" i="30" s="1"/>
  <c r="BY135" i="30" s="1"/>
  <c r="CS135" i="30"/>
  <c r="CV135" i="30" s="1"/>
  <c r="CW135" i="30" s="1"/>
  <c r="CU135" i="30"/>
  <c r="AY24" i="30"/>
  <c r="AX24" i="30"/>
  <c r="CM33" i="30"/>
  <c r="CN33" i="30" s="1"/>
  <c r="AR33" i="30"/>
  <c r="CD24" i="30"/>
  <c r="CB24" i="30"/>
  <c r="CA150" i="30"/>
  <c r="CA147" i="30"/>
  <c r="BE86" i="29"/>
  <c r="BF86" i="29"/>
  <c r="AX112" i="29"/>
  <c r="AY112" i="29"/>
  <c r="AX17" i="29"/>
  <c r="AY17" i="29"/>
  <c r="CZ143" i="29"/>
  <c r="CZ147" i="29" s="1"/>
  <c r="CD47" i="29"/>
  <c r="CB47" i="29"/>
  <c r="AY56" i="29"/>
  <c r="AX56" i="29"/>
  <c r="CE19" i="29"/>
  <c r="CF19" i="29"/>
  <c r="CC51" i="29"/>
  <c r="CB51" i="29"/>
  <c r="AX21" i="29"/>
  <c r="AY21" i="29"/>
  <c r="AV143" i="29"/>
  <c r="AV146" i="29"/>
  <c r="AV148" i="29" s="1"/>
  <c r="I125" i="13"/>
  <c r="N99" i="13"/>
  <c r="I67" i="13"/>
  <c r="J11" i="13"/>
  <c r="N54" i="13"/>
  <c r="CK8" i="31"/>
  <c r="CK6" i="31" s="1"/>
  <c r="CK4" i="31" s="1"/>
  <c r="AX97" i="31"/>
  <c r="BC15" i="31"/>
  <c r="CS15" i="31"/>
  <c r="CU15" i="31"/>
  <c r="BV15" i="31"/>
  <c r="CT15" i="31"/>
  <c r="Z6" i="31"/>
  <c r="AU154" i="31"/>
  <c r="AX126" i="31"/>
  <c r="BE117" i="31"/>
  <c r="AY62" i="31"/>
  <c r="AY113" i="31"/>
  <c r="AX113" i="31"/>
  <c r="BF20" i="31"/>
  <c r="BE20" i="31"/>
  <c r="BE133" i="31"/>
  <c r="BF133" i="31"/>
  <c r="AX58" i="31"/>
  <c r="AW145" i="31"/>
  <c r="BZ149" i="31"/>
  <c r="CC148" i="31"/>
  <c r="BF49" i="31"/>
  <c r="BF17" i="31"/>
  <c r="BE17" i="31"/>
  <c r="AZ145" i="31"/>
  <c r="DH141" i="31"/>
  <c r="DJ141" i="31" s="1"/>
  <c r="AR141" i="31"/>
  <c r="CB135" i="31"/>
  <c r="CD135" i="31"/>
  <c r="CV38" i="31"/>
  <c r="CW38" i="31" s="1"/>
  <c r="CT41" i="31"/>
  <c r="CF61" i="31"/>
  <c r="CE61" i="31"/>
  <c r="BF112" i="30"/>
  <c r="BE112" i="30"/>
  <c r="AX112" i="30"/>
  <c r="E20" i="26"/>
  <c r="J8" i="26"/>
  <c r="G6" i="26" s="1"/>
  <c r="CT114" i="30"/>
  <c r="BV114" i="30"/>
  <c r="BX114" i="30" s="1"/>
  <c r="BY114" i="30" s="1"/>
  <c r="CU114" i="30"/>
  <c r="BC114" i="30"/>
  <c r="BV119" i="30"/>
  <c r="BX119" i="30" s="1"/>
  <c r="BY119" i="30" s="1"/>
  <c r="BC119" i="30"/>
  <c r="CS119" i="30"/>
  <c r="CV119" i="30" s="1"/>
  <c r="CW119" i="30" s="1"/>
  <c r="CT119" i="30"/>
  <c r="CU119" i="30"/>
  <c r="AX62" i="30"/>
  <c r="AY62" i="30"/>
  <c r="CW66" i="30"/>
  <c r="LJ15" i="26"/>
  <c r="LK14" i="26"/>
  <c r="CL17" i="30"/>
  <c r="CL147" i="30" s="1"/>
  <c r="CJ147" i="30"/>
  <c r="CJ151" i="30"/>
  <c r="CJ152" i="30" s="1"/>
  <c r="BE112" i="29"/>
  <c r="BF112" i="29"/>
  <c r="CB110" i="30"/>
  <c r="CX134" i="29"/>
  <c r="AY70" i="30"/>
  <c r="AX70" i="30"/>
  <c r="AY20" i="29"/>
  <c r="AX20" i="29"/>
  <c r="AY82" i="29"/>
  <c r="AX82" i="29"/>
  <c r="AR15" i="29"/>
  <c r="AH8" i="29"/>
  <c r="CK76" i="29"/>
  <c r="CL76" i="29" s="1"/>
  <c r="AG147" i="29"/>
  <c r="BF29" i="29"/>
  <c r="BE29" i="29"/>
  <c r="CJ77" i="29"/>
  <c r="CL77" i="29" s="1"/>
  <c r="AH77" i="29"/>
  <c r="CM77" i="29"/>
  <c r="AR16" i="29"/>
  <c r="CC39" i="29"/>
  <c r="CB39" i="29"/>
  <c r="BZ143" i="29"/>
  <c r="BZ146" i="29"/>
  <c r="AX47" i="29"/>
  <c r="AY47" i="29"/>
  <c r="CF50" i="30"/>
  <c r="CE50" i="30"/>
  <c r="BY14" i="29"/>
  <c r="AR46" i="29"/>
  <c r="CF38" i="29"/>
  <c r="CE38" i="29"/>
  <c r="CH22" i="29"/>
  <c r="CG146" i="29"/>
  <c r="CG143" i="29"/>
  <c r="CM76" i="29"/>
  <c r="CF16" i="29"/>
  <c r="CE16" i="29"/>
  <c r="BO143" i="29"/>
  <c r="BO146" i="29"/>
  <c r="CF37" i="29"/>
  <c r="CE37" i="29"/>
  <c r="AY81" i="30"/>
  <c r="CF81" i="29"/>
  <c r="CE81" i="29"/>
  <c r="DN137" i="30"/>
  <c r="DN147" i="30" s="1"/>
  <c r="DM147" i="30"/>
  <c r="BA150" i="31"/>
  <c r="AX101" i="31"/>
  <c r="BF91" i="31"/>
  <c r="AP145" i="31"/>
  <c r="CF121" i="30"/>
  <c r="CE121" i="30"/>
  <c r="CK149" i="31"/>
  <c r="CK150" i="31" s="1"/>
  <c r="CK145" i="31"/>
  <c r="N69" i="13"/>
  <c r="AY117" i="31"/>
  <c r="AX117" i="31"/>
  <c r="BV33" i="31"/>
  <c r="BX33" i="31" s="1"/>
  <c r="BY33" i="31" s="1"/>
  <c r="CT33" i="31"/>
  <c r="BC33" i="31"/>
  <c r="BF33" i="31" s="1"/>
  <c r="CS33" i="31"/>
  <c r="CV33" i="31" s="1"/>
  <c r="CW33" i="31" s="1"/>
  <c r="CU33" i="31"/>
  <c r="CB110" i="31"/>
  <c r="CD110" i="31"/>
  <c r="BF133" i="30"/>
  <c r="BE133" i="30"/>
  <c r="AX57" i="30"/>
  <c r="AY57" i="30"/>
  <c r="AX63" i="30"/>
  <c r="AY63" i="30"/>
  <c r="CM17" i="30"/>
  <c r="CN17" i="30" s="1"/>
  <c r="AR17" i="30"/>
  <c r="AY30" i="29"/>
  <c r="AX30" i="29"/>
  <c r="CE32" i="29"/>
  <c r="CF32" i="29"/>
  <c r="BI22" i="29"/>
  <c r="BH143" i="29"/>
  <c r="BH146" i="29"/>
  <c r="BH8" i="29"/>
  <c r="R3" i="13"/>
  <c r="R1" i="13" s="1"/>
  <c r="I132" i="13"/>
  <c r="H105" i="13"/>
  <c r="H120" i="13"/>
  <c r="I32" i="13"/>
  <c r="N40" i="13"/>
  <c r="H40" i="13" s="1"/>
  <c r="N50" i="13"/>
  <c r="N56" i="13"/>
  <c r="CL435" i="31"/>
  <c r="CL436" i="31" s="1"/>
  <c r="CL437" i="31" s="1"/>
  <c r="CN58" i="31"/>
  <c r="AY132" i="31"/>
  <c r="AX132" i="31"/>
  <c r="BE97" i="31"/>
  <c r="BF97" i="31"/>
  <c r="BC108" i="31"/>
  <c r="BV108" i="31"/>
  <c r="BX108" i="31" s="1"/>
  <c r="BY108" i="31" s="1"/>
  <c r="CT108" i="31"/>
  <c r="CS108" i="31"/>
  <c r="CV108" i="31" s="1"/>
  <c r="CW108" i="31" s="1"/>
  <c r="CU108" i="31"/>
  <c r="BF126" i="31"/>
  <c r="BE126" i="31"/>
  <c r="BV58" i="31"/>
  <c r="BX58" i="31" s="1"/>
  <c r="BY58" i="31" s="1"/>
  <c r="CT58" i="31"/>
  <c r="BC58" i="31"/>
  <c r="CS58" i="31"/>
  <c r="CV58" i="31" s="1"/>
  <c r="CW58" i="31" s="1"/>
  <c r="CU58" i="31"/>
  <c r="BE130" i="31"/>
  <c r="AV148" i="31"/>
  <c r="AV150" i="31" s="1"/>
  <c r="CP145" i="31"/>
  <c r="CP149" i="31" s="1"/>
  <c r="CP150" i="31" s="1"/>
  <c r="CB26" i="31"/>
  <c r="CD26" i="31"/>
  <c r="CF15" i="31"/>
  <c r="CE15" i="31"/>
  <c r="LO13" i="26"/>
  <c r="LN14" i="26"/>
  <c r="BL150" i="30"/>
  <c r="BN153" i="30" s="1"/>
  <c r="BQ136" i="30"/>
  <c r="BR136" i="30" s="1"/>
  <c r="BL147" i="30"/>
  <c r="CD53" i="30"/>
  <c r="CB53" i="30"/>
  <c r="CD132" i="30"/>
  <c r="CB132" i="30"/>
  <c r="CD65" i="30"/>
  <c r="CB65" i="30"/>
  <c r="CN66" i="30"/>
  <c r="CF22" i="30"/>
  <c r="CE22" i="30"/>
  <c r="BS67" i="30"/>
  <c r="R67" i="30"/>
  <c r="CT67" i="30" s="1"/>
  <c r="CG67" i="30"/>
  <c r="CH67" i="30" s="1"/>
  <c r="AZ67" i="30"/>
  <c r="CH16" i="30"/>
  <c r="BF106" i="29"/>
  <c r="BE106" i="29"/>
  <c r="BE18" i="29"/>
  <c r="BB143" i="29"/>
  <c r="BB146" i="29"/>
  <c r="BB148" i="29" s="1"/>
  <c r="BF18" i="29"/>
  <c r="BD146" i="29"/>
  <c r="BD148" i="29" s="1"/>
  <c r="BE14" i="29"/>
  <c r="BD143" i="29"/>
  <c r="CJ74" i="29"/>
  <c r="CL74" i="29" s="1"/>
  <c r="CM74" i="29"/>
  <c r="AH74" i="29"/>
  <c r="AY27" i="29"/>
  <c r="AX27" i="29"/>
  <c r="CL14" i="29"/>
  <c r="CJ8" i="29"/>
  <c r="CJ6" i="29" s="1"/>
  <c r="CJ4" i="29" s="1"/>
  <c r="CT16" i="29"/>
  <c r="AY38" i="29"/>
  <c r="AX38" i="29"/>
  <c r="CF52" i="29"/>
  <c r="CE52" i="29"/>
  <c r="CD31" i="29"/>
  <c r="CB31" i="29"/>
  <c r="AH76" i="29"/>
  <c r="BE134" i="30"/>
  <c r="BE133" i="29"/>
  <c r="AT154" i="31"/>
  <c r="AX130" i="31"/>
  <c r="AY89" i="31"/>
  <c r="AX89" i="31"/>
  <c r="CB60" i="31"/>
  <c r="CD60" i="31"/>
  <c r="BF138" i="30"/>
  <c r="BE138" i="30"/>
  <c r="CV14" i="30"/>
  <c r="CE57" i="29"/>
  <c r="CF57" i="29"/>
  <c r="CD109" i="29"/>
  <c r="CB109" i="29"/>
  <c r="CF70" i="29"/>
  <c r="CE70" i="29"/>
  <c r="CF54" i="29"/>
  <c r="CE54" i="29"/>
  <c r="AY107" i="31"/>
  <c r="AX107" i="31"/>
  <c r="N58" i="13"/>
  <c r="H58" i="13" s="1"/>
  <c r="BE35" i="31"/>
  <c r="BF35" i="31"/>
  <c r="BF101" i="31"/>
  <c r="BF139" i="30"/>
  <c r="BE139" i="30"/>
  <c r="BS131" i="30"/>
  <c r="AZ131" i="30"/>
  <c r="R131" i="30"/>
  <c r="CT131" i="30"/>
  <c r="CG131" i="30"/>
  <c r="CH131" i="30" s="1"/>
  <c r="R109" i="30"/>
  <c r="CS109" i="30" s="1"/>
  <c r="CV109" i="30" s="1"/>
  <c r="CW109" i="30" s="1"/>
  <c r="AZ109" i="30"/>
  <c r="BS109" i="30"/>
  <c r="CG109" i="30"/>
  <c r="CH109" i="30" s="1"/>
  <c r="BS103" i="30"/>
  <c r="AZ103" i="30"/>
  <c r="R103" i="30"/>
  <c r="CG103" i="30"/>
  <c r="CH103" i="30" s="1"/>
  <c r="BR19" i="30"/>
  <c r="BQ147" i="30"/>
  <c r="BQ150" i="30"/>
  <c r="BF101" i="29"/>
  <c r="BE101" i="29"/>
  <c r="AX108" i="29"/>
  <c r="AY108" i="29"/>
  <c r="AY73" i="29"/>
  <c r="AX73" i="29"/>
  <c r="BQ38" i="29"/>
  <c r="BR38" i="29" s="1"/>
  <c r="BL143" i="29"/>
  <c r="BL146" i="29"/>
  <c r="BN149" i="29" s="1"/>
  <c r="BE47" i="29"/>
  <c r="BF47" i="29"/>
  <c r="CR143" i="29"/>
  <c r="CR147" i="29"/>
  <c r="CF15" i="29"/>
  <c r="CE15" i="29"/>
  <c r="CP143" i="29"/>
  <c r="CP147" i="29" s="1"/>
  <c r="CP148" i="29" s="1"/>
  <c r="AX127" i="30"/>
  <c r="CD73" i="29"/>
  <c r="CB73" i="29"/>
  <c r="BF48" i="29"/>
  <c r="LL16" i="26"/>
  <c r="LM15" i="26"/>
  <c r="CC131" i="30"/>
  <c r="CB131" i="30"/>
  <c r="CB107" i="31"/>
  <c r="CD107" i="31"/>
  <c r="BF93" i="30"/>
  <c r="BE93" i="30"/>
  <c r="CF120" i="30"/>
  <c r="CE120" i="30"/>
  <c r="BE66" i="30"/>
  <c r="BF66" i="30"/>
  <c r="P59" i="30"/>
  <c r="BF130" i="29"/>
  <c r="BE130" i="29"/>
  <c r="BF16" i="30"/>
  <c r="BE16" i="30"/>
  <c r="BF135" i="29"/>
  <c r="BE135" i="29"/>
  <c r="BV131" i="29"/>
  <c r="BX131" i="29" s="1"/>
  <c r="BY131" i="29" s="1"/>
  <c r="BC131" i="29"/>
  <c r="BE131" i="29" s="1"/>
  <c r="CQ131" i="29"/>
  <c r="CT131" i="29" s="1"/>
  <c r="CU131" i="29" s="1"/>
  <c r="CS131" i="29"/>
  <c r="CR131" i="29"/>
  <c r="J7" i="13"/>
  <c r="N93" i="13"/>
  <c r="N55" i="13"/>
  <c r="H55" i="13" s="1"/>
  <c r="N127" i="13"/>
  <c r="N79" i="13"/>
  <c r="H79" i="13" s="1"/>
  <c r="N26" i="13"/>
  <c r="H26" i="13" s="1"/>
  <c r="N23" i="13"/>
  <c r="H23" i="13" s="1"/>
  <c r="CL15" i="31"/>
  <c r="AY41" i="31"/>
  <c r="AX41" i="31"/>
  <c r="BC136" i="31"/>
  <c r="CU136" i="31"/>
  <c r="BV136" i="31"/>
  <c r="BX136" i="31" s="1"/>
  <c r="BY136" i="31" s="1"/>
  <c r="CT136" i="31"/>
  <c r="CS136" i="31"/>
  <c r="CV136" i="31" s="1"/>
  <c r="CW136" i="31" s="1"/>
  <c r="AY38" i="31"/>
  <c r="BE70" i="31"/>
  <c r="BF70" i="31"/>
  <c r="AR46" i="31"/>
  <c r="DH46" i="31"/>
  <c r="AY57" i="31"/>
  <c r="CB46" i="31"/>
  <c r="CD46" i="31"/>
  <c r="AY73" i="31"/>
  <c r="AX73" i="31"/>
  <c r="CD30" i="31"/>
  <c r="CB30" i="31"/>
  <c r="DB145" i="31"/>
  <c r="DB149" i="31" s="1"/>
  <c r="CB76" i="31"/>
  <c r="CD76" i="31"/>
  <c r="AX125" i="30"/>
  <c r="AY125" i="30"/>
  <c r="BE144" i="30"/>
  <c r="BF144" i="30"/>
  <c r="AY133" i="30"/>
  <c r="AX133" i="30"/>
  <c r="BF127" i="30"/>
  <c r="BE127" i="30"/>
  <c r="BF125" i="30"/>
  <c r="BE125" i="30"/>
  <c r="BF104" i="30"/>
  <c r="BE104" i="30"/>
  <c r="CN103" i="30"/>
  <c r="R88" i="30"/>
  <c r="CU88" i="30" s="1"/>
  <c r="AZ88" i="30"/>
  <c r="BG88" i="30"/>
  <c r="BS88" i="30"/>
  <c r="BH88" i="30"/>
  <c r="CG88" i="30"/>
  <c r="CH88" i="30" s="1"/>
  <c r="CT88" i="30"/>
  <c r="AR53" i="30"/>
  <c r="CF133" i="30"/>
  <c r="CE133" i="30"/>
  <c r="BX61" i="30"/>
  <c r="BY61" i="30" s="1"/>
  <c r="CD38" i="30"/>
  <c r="CB38" i="30"/>
  <c r="BE88" i="29"/>
  <c r="BF88" i="29"/>
  <c r="CG53" i="30"/>
  <c r="CH53" i="30" s="1"/>
  <c r="CT53" i="30"/>
  <c r="AZ53" i="30"/>
  <c r="R53" i="30"/>
  <c r="CS53" i="30"/>
  <c r="CV53" i="30" s="1"/>
  <c r="CW53" i="30" s="1"/>
  <c r="BS53" i="30"/>
  <c r="CU53" i="30"/>
  <c r="BE118" i="29"/>
  <c r="BF118" i="29"/>
  <c r="BF138" i="29"/>
  <c r="BE138" i="29"/>
  <c r="DI128" i="29"/>
  <c r="DI143" i="29" s="1"/>
  <c r="DG143" i="29"/>
  <c r="CK143" i="29"/>
  <c r="CK147" i="29"/>
  <c r="CK148" i="29" s="1"/>
  <c r="CK8" i="29"/>
  <c r="CK6" i="29" s="1"/>
  <c r="CK4" i="29" s="1"/>
  <c r="BF70" i="29"/>
  <c r="BE70" i="29"/>
  <c r="BF22" i="29"/>
  <c r="BE22" i="29"/>
  <c r="BE71" i="30"/>
  <c r="AY80" i="29"/>
  <c r="AX80" i="29"/>
  <c r="CX47" i="29"/>
  <c r="AR82" i="29"/>
  <c r="CU82" i="29"/>
  <c r="AR66" i="29"/>
  <c r="CF17" i="29"/>
  <c r="CE17" i="29"/>
  <c r="AH156" i="29"/>
  <c r="AR50" i="29"/>
  <c r="CC75" i="29"/>
  <c r="CB75" i="29"/>
  <c r="CT39" i="29"/>
  <c r="CU39" i="29" s="1"/>
  <c r="CX31" i="29"/>
  <c r="BF20" i="29"/>
  <c r="BE20" i="29"/>
  <c r="AR87" i="30"/>
  <c r="BX137" i="30"/>
  <c r="BY137" i="30" s="1"/>
  <c r="CW87" i="30"/>
  <c r="BD147" i="30"/>
  <c r="H56" i="13"/>
  <c r="AY111" i="31"/>
  <c r="AX111" i="31"/>
  <c r="BF46" i="30"/>
  <c r="BE46" i="30"/>
  <c r="AX116" i="29"/>
  <c r="AY116" i="29"/>
  <c r="BF54" i="31"/>
  <c r="BE54" i="31"/>
  <c r="BC37" i="31"/>
  <c r="BF37" i="31" s="1"/>
  <c r="CU37" i="31"/>
  <c r="BV37" i="31"/>
  <c r="BX37" i="31" s="1"/>
  <c r="BY37" i="31" s="1"/>
  <c r="CT37" i="31"/>
  <c r="CS37" i="31"/>
  <c r="CV37" i="31" s="1"/>
  <c r="CW37" i="31" s="1"/>
  <c r="AO154" i="31"/>
  <c r="AO8" i="31"/>
  <c r="BC129" i="31"/>
  <c r="CS129" i="31"/>
  <c r="CV129" i="31" s="1"/>
  <c r="CW129" i="31" s="1"/>
  <c r="CU129" i="31"/>
  <c r="BV129" i="31"/>
  <c r="BX129" i="31" s="1"/>
  <c r="BY129" i="31" s="1"/>
  <c r="CT129" i="31"/>
  <c r="BE58" i="31"/>
  <c r="BF58" i="31"/>
  <c r="BC96" i="31"/>
  <c r="BF96" i="31" s="1"/>
  <c r="BV96" i="31"/>
  <c r="BX96" i="31" s="1"/>
  <c r="BY96" i="31" s="1"/>
  <c r="CT96" i="31"/>
  <c r="CS96" i="31"/>
  <c r="CV96" i="31" s="1"/>
  <c r="CW96" i="31" s="1"/>
  <c r="CU96" i="31"/>
  <c r="CD118" i="31"/>
  <c r="CB118" i="31"/>
  <c r="AO148" i="31"/>
  <c r="BF73" i="31"/>
  <c r="BE73" i="31"/>
  <c r="CB102" i="31"/>
  <c r="CD102" i="31"/>
  <c r="AX142" i="30"/>
  <c r="AY142" i="30"/>
  <c r="AY104" i="30"/>
  <c r="AX104" i="30"/>
  <c r="CK78" i="30"/>
  <c r="CL78" i="30" s="1"/>
  <c r="CO78" i="30"/>
  <c r="AH78" i="30"/>
  <c r="CM78" i="30" s="1"/>
  <c r="CN78" i="30" s="1"/>
  <c r="CV24" i="30"/>
  <c r="CW24" i="30" s="1"/>
  <c r="CE91" i="30"/>
  <c r="CF91" i="30"/>
  <c r="AR116" i="30"/>
  <c r="CM116" i="30"/>
  <c r="CN116" i="30" s="1"/>
  <c r="AY30" i="30"/>
  <c r="AX30" i="30"/>
  <c r="AV147" i="30"/>
  <c r="AV150" i="30"/>
  <c r="AV152" i="30" s="1"/>
  <c r="AX75" i="30"/>
  <c r="AY75" i="30"/>
  <c r="CZ98" i="29"/>
  <c r="AZ98" i="29"/>
  <c r="CO98" i="29"/>
  <c r="AO98" i="29"/>
  <c r="AO143" i="29" s="1"/>
  <c r="AQ98" i="29"/>
  <c r="AR98" i="29" s="1"/>
  <c r="CY98" i="29"/>
  <c r="AS98" i="29"/>
  <c r="CN98" i="29"/>
  <c r="CT98" i="29" s="1"/>
  <c r="CU98" i="29" s="1"/>
  <c r="AP98" i="29"/>
  <c r="CR98" i="29"/>
  <c r="CQ98" i="29"/>
  <c r="AY40" i="30"/>
  <c r="AU150" i="30"/>
  <c r="AU152" i="30" s="1"/>
  <c r="AU147" i="30"/>
  <c r="AX40" i="30"/>
  <c r="AY26" i="29"/>
  <c r="AX26" i="29"/>
  <c r="AY24" i="29"/>
  <c r="AX24" i="29"/>
  <c r="BE76" i="29"/>
  <c r="BF76" i="29"/>
  <c r="CX16" i="29"/>
  <c r="CJ49" i="29"/>
  <c r="CL49" i="29" s="1"/>
  <c r="CM49" i="29"/>
  <c r="CM143" i="29" s="1"/>
  <c r="AH49" i="29"/>
  <c r="AH142" i="29" s="1"/>
  <c r="Z147" i="29"/>
  <c r="BF39" i="29"/>
  <c r="BE39" i="29"/>
  <c r="CE35" i="29"/>
  <c r="CF35" i="29"/>
  <c r="CF60" i="29"/>
  <c r="CE60" i="29"/>
  <c r="CL159" i="29"/>
  <c r="CW17" i="30"/>
  <c r="CF87" i="30"/>
  <c r="CE87" i="30"/>
  <c r="BF88" i="31"/>
  <c r="BE88" i="31"/>
  <c r="BF39" i="30"/>
  <c r="BE39" i="30"/>
  <c r="BI34" i="29"/>
  <c r="BG146" i="29"/>
  <c r="BG143" i="29"/>
  <c r="BG8" i="29"/>
  <c r="BF45" i="31"/>
  <c r="BE45" i="31"/>
  <c r="H93" i="13"/>
  <c r="N53" i="13"/>
  <c r="H53" i="13" s="1"/>
  <c r="CL46" i="31"/>
  <c r="CN46" i="31" s="1"/>
  <c r="CJ149" i="31"/>
  <c r="CJ150" i="31" s="1"/>
  <c r="CJ145" i="31"/>
  <c r="BF132" i="31"/>
  <c r="BE132" i="31"/>
  <c r="CB51" i="31"/>
  <c r="CD51" i="31"/>
  <c r="H32" i="13"/>
  <c r="N22" i="13"/>
  <c r="H22" i="13" s="1"/>
  <c r="AX15" i="31"/>
  <c r="AU145" i="31"/>
  <c r="AY66" i="31"/>
  <c r="AX66" i="31"/>
  <c r="AX144" i="30"/>
  <c r="AY144" i="30"/>
  <c r="H36" i="13"/>
  <c r="J89" i="13"/>
  <c r="N72" i="13"/>
  <c r="H72" i="13" s="1"/>
  <c r="AY23" i="31"/>
  <c r="BB145" i="31"/>
  <c r="AY64" i="31"/>
  <c r="AX64" i="31"/>
  <c r="AY45" i="31"/>
  <c r="BE136" i="31"/>
  <c r="BF57" i="31"/>
  <c r="BE57" i="31"/>
  <c r="AY91" i="31"/>
  <c r="BE75" i="31"/>
  <c r="BF64" i="31"/>
  <c r="BE87" i="31"/>
  <c r="CB96" i="31"/>
  <c r="CD96" i="31"/>
  <c r="AW148" i="31"/>
  <c r="AW150" i="31" s="1"/>
  <c r="BE124" i="31"/>
  <c r="CB80" i="31"/>
  <c r="CD80" i="31"/>
  <c r="CB127" i="31"/>
  <c r="CD127" i="31"/>
  <c r="BE41" i="31"/>
  <c r="BR19" i="31"/>
  <c r="BQ148" i="31"/>
  <c r="BQ145" i="31"/>
  <c r="CT135" i="30"/>
  <c r="CQ78" i="30"/>
  <c r="DB78" i="30"/>
  <c r="CT78" i="30"/>
  <c r="AS78" i="30"/>
  <c r="CS78" i="30"/>
  <c r="AQ78" i="30"/>
  <c r="CP78" i="30"/>
  <c r="CV78" i="30" s="1"/>
  <c r="CW78" i="30" s="1"/>
  <c r="AO78" i="30"/>
  <c r="AZ78" i="30"/>
  <c r="AP78" i="30"/>
  <c r="DA78" i="30"/>
  <c r="CN71" i="30"/>
  <c r="BE92" i="30"/>
  <c r="BF92" i="30"/>
  <c r="BC61" i="30"/>
  <c r="BE61" i="30" s="1"/>
  <c r="CT61" i="30"/>
  <c r="BV61" i="30"/>
  <c r="CU61" i="30"/>
  <c r="CS61" i="30"/>
  <c r="CV61" i="30" s="1"/>
  <c r="CW61" i="30" s="1"/>
  <c r="BF75" i="30"/>
  <c r="BE75" i="30"/>
  <c r="AY49" i="30"/>
  <c r="AX49" i="30"/>
  <c r="BE90" i="29"/>
  <c r="BF90" i="29"/>
  <c r="BF134" i="29"/>
  <c r="BE134" i="29"/>
  <c r="AX71" i="29"/>
  <c r="AY71" i="29"/>
  <c r="AY31" i="29"/>
  <c r="AX31" i="29"/>
  <c r="CT66" i="29"/>
  <c r="CU66" i="29" s="1"/>
  <c r="CT25" i="29"/>
  <c r="CU25" i="29" s="1"/>
  <c r="AY58" i="29"/>
  <c r="AX58" i="29"/>
  <c r="CB55" i="29"/>
  <c r="CF77" i="29"/>
  <c r="CE77" i="29"/>
  <c r="BE56" i="29"/>
  <c r="BF56" i="29"/>
  <c r="BE24" i="29"/>
  <c r="BF24" i="29"/>
  <c r="CB68" i="29"/>
  <c r="CD68" i="29"/>
  <c r="LE12" i="26"/>
  <c r="BU147" i="30"/>
  <c r="CA143" i="30"/>
  <c r="BU150" i="30"/>
  <c r="CE130" i="30"/>
  <c r="CF130" i="30"/>
  <c r="CW33" i="30"/>
  <c r="CB132" i="31"/>
  <c r="CD132" i="31"/>
  <c r="BE140" i="30"/>
  <c r="BF140" i="30"/>
  <c r="AY83" i="30"/>
  <c r="AX83" i="30"/>
  <c r="BG72" i="30"/>
  <c r="BI72" i="30" s="1"/>
  <c r="R72" i="30"/>
  <c r="CS72" i="30" s="1"/>
  <c r="CV72" i="30" s="1"/>
  <c r="CW72" i="30" s="1"/>
  <c r="AZ72" i="30"/>
  <c r="BS72" i="30"/>
  <c r="CG72" i="30"/>
  <c r="CH72" i="30" s="1"/>
  <c r="BH72" i="30"/>
  <c r="BX119" i="29"/>
  <c r="BY119" i="29" s="1"/>
  <c r="CA119" i="29"/>
  <c r="CA143" i="29" s="1"/>
  <c r="BU143" i="29"/>
  <c r="BX22" i="29"/>
  <c r="BY22" i="29" s="1"/>
  <c r="BS146" i="29"/>
  <c r="BS143" i="29"/>
  <c r="BB150" i="30"/>
  <c r="BB152" i="30" s="1"/>
  <c r="CB84" i="31"/>
  <c r="CD84" i="31"/>
  <c r="I36" i="13"/>
  <c r="AY28" i="31"/>
  <c r="AX28" i="31"/>
  <c r="AX70" i="31"/>
  <c r="AY70" i="31"/>
  <c r="AY119" i="31"/>
  <c r="AX119" i="31"/>
  <c r="CB22" i="31"/>
  <c r="CD22" i="31"/>
  <c r="AY91" i="30"/>
  <c r="AX91" i="30"/>
  <c r="CB72" i="31"/>
  <c r="CD72" i="31"/>
  <c r="BC41" i="31"/>
  <c r="BF41" i="31" s="1"/>
  <c r="BV41" i="31"/>
  <c r="BX41" i="31" s="1"/>
  <c r="BY41" i="31" s="1"/>
  <c r="N85" i="13"/>
  <c r="J71" i="13"/>
  <c r="H83" i="13"/>
  <c r="H133" i="13"/>
  <c r="J58" i="13"/>
  <c r="N64" i="13"/>
  <c r="H64" i="13" s="1"/>
  <c r="N111" i="13"/>
  <c r="J10" i="13"/>
  <c r="N95" i="13"/>
  <c r="H95" i="13" s="1"/>
  <c r="N82" i="13"/>
  <c r="H82" i="13" s="1"/>
  <c r="N39" i="13"/>
  <c r="H39" i="13" s="1"/>
  <c r="BC34" i="31"/>
  <c r="BV34" i="31"/>
  <c r="BX34" i="31" s="1"/>
  <c r="BY34" i="31" s="1"/>
  <c r="CT34" i="31"/>
  <c r="CS34" i="31"/>
  <c r="CV34" i="31" s="1"/>
  <c r="CW34" i="31" s="1"/>
  <c r="CU34" i="31"/>
  <c r="AY24" i="31"/>
  <c r="AS148" i="31"/>
  <c r="AX24" i="31"/>
  <c r="AS145" i="31"/>
  <c r="AY101" i="31"/>
  <c r="BF122" i="31"/>
  <c r="BE122" i="31"/>
  <c r="BC110" i="31"/>
  <c r="BV110" i="31"/>
  <c r="BX110" i="31" s="1"/>
  <c r="BY110" i="31" s="1"/>
  <c r="CT110" i="31"/>
  <c r="CS110" i="31"/>
  <c r="CV110" i="31" s="1"/>
  <c r="CW110" i="31" s="1"/>
  <c r="CU110" i="31"/>
  <c r="CS52" i="31"/>
  <c r="CV52" i="31" s="1"/>
  <c r="CW52" i="31" s="1"/>
  <c r="CU52" i="31"/>
  <c r="BC52" i="31"/>
  <c r="BV52" i="31"/>
  <c r="BX52" i="31" s="1"/>
  <c r="BY52" i="31" s="1"/>
  <c r="CT52" i="31"/>
  <c r="AY138" i="31"/>
  <c r="AX138" i="31"/>
  <c r="AY39" i="31"/>
  <c r="BC25" i="31"/>
  <c r="CU25" i="31"/>
  <c r="BV25" i="31"/>
  <c r="BX25" i="31" s="1"/>
  <c r="BY25" i="31" s="1"/>
  <c r="CT25" i="31"/>
  <c r="CS25" i="31"/>
  <c r="CV25" i="31" s="1"/>
  <c r="CW25" i="31" s="1"/>
  <c r="BF136" i="31"/>
  <c r="AY93" i="31"/>
  <c r="CB123" i="31"/>
  <c r="CD123" i="31"/>
  <c r="CD106" i="31"/>
  <c r="CB106" i="31"/>
  <c r="BJ8" i="31"/>
  <c r="BK7" i="31"/>
  <c r="BI6" i="31"/>
  <c r="CM134" i="30"/>
  <c r="CN134" i="30" s="1"/>
  <c r="AR134" i="30"/>
  <c r="BF86" i="30"/>
  <c r="BE86" i="30"/>
  <c r="CR151" i="30"/>
  <c r="CR152" i="30" s="1"/>
  <c r="CR147" i="30"/>
  <c r="AY92" i="30"/>
  <c r="AX92" i="30"/>
  <c r="CT51" i="30"/>
  <c r="BS51" i="30"/>
  <c r="CG51" i="30"/>
  <c r="CH51" i="30" s="1"/>
  <c r="BH51" i="30"/>
  <c r="R51" i="30"/>
  <c r="BG51" i="30"/>
  <c r="CS51" i="30"/>
  <c r="CV51" i="30" s="1"/>
  <c r="CW51" i="30" s="1"/>
  <c r="CU51" i="30"/>
  <c r="AZ51" i="30"/>
  <c r="BS56" i="30"/>
  <c r="AZ56" i="30"/>
  <c r="CG56" i="30"/>
  <c r="CH56" i="30" s="1"/>
  <c r="R56" i="30"/>
  <c r="CU56" i="30" s="1"/>
  <c r="AX118" i="29"/>
  <c r="AY118" i="29"/>
  <c r="CN53" i="30"/>
  <c r="BF49" i="30"/>
  <c r="BE49" i="30"/>
  <c r="CM21" i="30"/>
  <c r="CN21" i="30" s="1"/>
  <c r="AR21" i="30"/>
  <c r="AY111" i="29"/>
  <c r="AX111" i="29"/>
  <c r="R41" i="30"/>
  <c r="AZ41" i="30"/>
  <c r="BG41" i="30"/>
  <c r="BH41" i="30"/>
  <c r="CG41" i="30"/>
  <c r="CH41" i="30" s="1"/>
  <c r="CT41" i="30"/>
  <c r="CU41" i="30"/>
  <c r="BS41" i="30"/>
  <c r="CF123" i="29"/>
  <c r="CE123" i="29"/>
  <c r="CK8" i="30"/>
  <c r="CK6" i="30" s="1"/>
  <c r="CK4" i="30" s="1"/>
  <c r="CK147" i="30"/>
  <c r="CK151" i="30"/>
  <c r="CK152" i="30" s="1"/>
  <c r="CN23" i="30"/>
  <c r="BE58" i="29"/>
  <c r="BF58" i="29"/>
  <c r="CE121" i="29"/>
  <c r="CF121" i="29"/>
  <c r="CT42" i="29"/>
  <c r="CU42" i="29" s="1"/>
  <c r="CE56" i="29"/>
  <c r="CF56" i="29"/>
  <c r="AO49" i="29"/>
  <c r="CY49" i="29"/>
  <c r="CQ49" i="29"/>
  <c r="CO49" i="29"/>
  <c r="AS49" i="29"/>
  <c r="AP49" i="29"/>
  <c r="AP146" i="29" s="1"/>
  <c r="CZ49" i="29"/>
  <c r="CR49" i="29"/>
  <c r="CN49" i="29"/>
  <c r="CT49" i="29" s="1"/>
  <c r="CU49" i="29" s="1"/>
  <c r="AQ49" i="29"/>
  <c r="AR49" i="29" s="1"/>
  <c r="AZ49" i="29"/>
  <c r="CS143" i="29"/>
  <c r="CS144" i="29" s="1"/>
  <c r="CL145" i="29" s="1"/>
  <c r="AY70" i="29"/>
  <c r="AX70" i="29"/>
  <c r="CU37" i="29"/>
  <c r="LH21" i="26"/>
  <c r="LI20" i="26"/>
  <c r="BF16" i="29"/>
  <c r="BE16" i="29"/>
  <c r="CE20" i="29"/>
  <c r="CF20" i="29"/>
  <c r="H8" i="13"/>
  <c r="AQ150" i="31"/>
  <c r="AY124" i="31"/>
  <c r="AX124" i="31"/>
  <c r="AQ148" i="31"/>
  <c r="DA150" i="31" s="1"/>
  <c r="BC84" i="31"/>
  <c r="BE84" i="31" s="1"/>
  <c r="BV84" i="31"/>
  <c r="BX84" i="31" s="1"/>
  <c r="BY84" i="31" s="1"/>
  <c r="CT84" i="31"/>
  <c r="CS84" i="31"/>
  <c r="CV84" i="31" s="1"/>
  <c r="CW84" i="31" s="1"/>
  <c r="CU84" i="31"/>
  <c r="BF38" i="31"/>
  <c r="BC68" i="31"/>
  <c r="BF68" i="31" s="1"/>
  <c r="CS68" i="31"/>
  <c r="CV68" i="31" s="1"/>
  <c r="CW68" i="31" s="1"/>
  <c r="CU68" i="31"/>
  <c r="BV68" i="31"/>
  <c r="BX68" i="31" s="1"/>
  <c r="BY68" i="31" s="1"/>
  <c r="CT68" i="31"/>
  <c r="BE43" i="31"/>
  <c r="BF43" i="31"/>
  <c r="CB55" i="31"/>
  <c r="CD55" i="31"/>
  <c r="AQ145" i="31"/>
  <c r="AR38" i="31"/>
  <c r="AJ8" i="30"/>
  <c r="BA141" i="30"/>
  <c r="AJ147" i="30"/>
  <c r="AJ146" i="30"/>
  <c r="AT141" i="30"/>
  <c r="AT147" i="30" s="1"/>
  <c r="AJ150" i="30"/>
  <c r="H109" i="13"/>
  <c r="N97" i="13"/>
  <c r="H97" i="13" s="1"/>
  <c r="H111" i="13"/>
  <c r="I105" i="13"/>
  <c r="N28" i="13"/>
  <c r="H28" i="13" s="1"/>
  <c r="I124" i="13"/>
  <c r="AX105" i="31"/>
  <c r="BC42" i="31"/>
  <c r="CS42" i="31"/>
  <c r="CV42" i="31" s="1"/>
  <c r="CW42" i="31" s="1"/>
  <c r="CU42" i="31"/>
  <c r="BV42" i="31"/>
  <c r="BX42" i="31" s="1"/>
  <c r="BY42" i="31" s="1"/>
  <c r="CT42" i="31"/>
  <c r="AY27" i="31"/>
  <c r="BA145" i="31"/>
  <c r="AJ149" i="31"/>
  <c r="BB164" i="31"/>
  <c r="AY137" i="31"/>
  <c r="BF110" i="31"/>
  <c r="BE110" i="31"/>
  <c r="BE52" i="31"/>
  <c r="BF52" i="31"/>
  <c r="AZ148" i="31"/>
  <c r="BF107" i="31"/>
  <c r="BF25" i="31"/>
  <c r="BE25" i="31"/>
  <c r="CT17" i="31"/>
  <c r="CD131" i="31"/>
  <c r="CB131" i="31"/>
  <c r="AY142" i="31"/>
  <c r="AX142" i="31"/>
  <c r="BC114" i="31"/>
  <c r="BF114" i="31" s="1"/>
  <c r="BV114" i="31"/>
  <c r="BX114" i="31" s="1"/>
  <c r="BY114" i="31" s="1"/>
  <c r="CB31" i="31"/>
  <c r="CD31" i="31"/>
  <c r="CB81" i="31"/>
  <c r="CD81" i="31"/>
  <c r="AG141" i="30"/>
  <c r="AH141" i="30" s="1"/>
  <c r="AB8" i="30"/>
  <c r="BE115" i="30"/>
  <c r="BF115" i="30"/>
  <c r="AU156" i="30"/>
  <c r="AX138" i="30"/>
  <c r="AY138" i="30"/>
  <c r="AY86" i="30"/>
  <c r="AX86" i="30"/>
  <c r="CJ76" i="30"/>
  <c r="CL76" i="30" s="1"/>
  <c r="CL163" i="30" s="1"/>
  <c r="CN163" i="30" s="1"/>
  <c r="Z8" i="30"/>
  <c r="Y8" i="30" s="1"/>
  <c r="Z156" i="30"/>
  <c r="AH76" i="30"/>
  <c r="CM76" i="30" s="1"/>
  <c r="CO76" i="30"/>
  <c r="CO147" i="30" s="1"/>
  <c r="BF83" i="30"/>
  <c r="BE83" i="30"/>
  <c r="BV136" i="30"/>
  <c r="BX136" i="30" s="1"/>
  <c r="BY136" i="30" s="1"/>
  <c r="CS136" i="30"/>
  <c r="CV136" i="30" s="1"/>
  <c r="CW136" i="30" s="1"/>
  <c r="CT136" i="30"/>
  <c r="BC136" i="30"/>
  <c r="BF136" i="30" s="1"/>
  <c r="CU136" i="30"/>
  <c r="AY37" i="30"/>
  <c r="AX37" i="30"/>
  <c r="AY56" i="30"/>
  <c r="AX56" i="30"/>
  <c r="BF105" i="30"/>
  <c r="BE105" i="30"/>
  <c r="BF58" i="30"/>
  <c r="BE58" i="30"/>
  <c r="CL41" i="30"/>
  <c r="CN41" i="30" s="1"/>
  <c r="AX107" i="29"/>
  <c r="AY107" i="29"/>
  <c r="CM14" i="30"/>
  <c r="CN14" i="30" s="1"/>
  <c r="AR14" i="30"/>
  <c r="AX97" i="29"/>
  <c r="AY97" i="29"/>
  <c r="AQ28" i="29"/>
  <c r="AR28" i="29" s="1"/>
  <c r="AZ28" i="29"/>
  <c r="AP28" i="29"/>
  <c r="AS28" i="29"/>
  <c r="AS146" i="29" s="1"/>
  <c r="CN28" i="29"/>
  <c r="CQ28" i="29"/>
  <c r="CR28" i="29"/>
  <c r="CZ28" i="29"/>
  <c r="CY28" i="29"/>
  <c r="AO28" i="29"/>
  <c r="AO146" i="29" s="1"/>
  <c r="AI143" i="29"/>
  <c r="CO28" i="29"/>
  <c r="AI146" i="29"/>
  <c r="BB162" i="29" s="1"/>
  <c r="CT27" i="29"/>
  <c r="CU27" i="29" s="1"/>
  <c r="AR18" i="29"/>
  <c r="CU18" i="29"/>
  <c r="CX25" i="29"/>
  <c r="AP8" i="29"/>
  <c r="CE80" i="29"/>
  <c r="CF80" i="29"/>
  <c r="CH28" i="29"/>
  <c r="CW28" i="29"/>
  <c r="CV28" i="29"/>
  <c r="CX28" i="29" s="1"/>
  <c r="AJ143" i="29"/>
  <c r="AJ8" i="29"/>
  <c r="BA28" i="29"/>
  <c r="BA143" i="29" s="1"/>
  <c r="AJ142" i="29"/>
  <c r="AJ146" i="29"/>
  <c r="AJ147" i="29" s="1"/>
  <c r="CC28" i="29"/>
  <c r="AT28" i="29"/>
  <c r="AT146" i="29" s="1"/>
  <c r="CX98" i="29"/>
  <c r="CT31" i="29"/>
  <c r="CU31" i="29" s="1"/>
  <c r="BX20" i="29"/>
  <c r="BY20" i="29" s="1"/>
  <c r="CF27" i="29"/>
  <c r="CE27" i="29"/>
  <c r="CF46" i="29"/>
  <c r="CE46" i="29"/>
  <c r="BF66" i="29"/>
  <c r="BE66" i="29"/>
  <c r="CW21" i="30"/>
  <c r="CB104" i="29"/>
  <c r="CD104" i="29"/>
  <c r="CF78" i="30"/>
  <c r="CE78" i="30"/>
  <c r="AX74" i="30"/>
  <c r="BC143" i="30"/>
  <c r="BF143" i="30" s="1"/>
  <c r="BV143" i="30"/>
  <c r="BX143" i="30" s="1"/>
  <c r="BY143" i="30" s="1"/>
  <c r="CT143" i="30"/>
  <c r="CF104" i="30"/>
  <c r="CE104" i="30"/>
  <c r="CE138" i="30"/>
  <c r="CF138" i="30"/>
  <c r="BE67" i="31"/>
  <c r="BF67" i="31"/>
  <c r="CM131" i="30"/>
  <c r="CN131" i="30" s="1"/>
  <c r="AR131" i="30"/>
  <c r="R47" i="30"/>
  <c r="O50" i="30"/>
  <c r="CG47" i="30"/>
  <c r="CH47" i="30" s="1"/>
  <c r="AZ47" i="30"/>
  <c r="BS47" i="30"/>
  <c r="BF97" i="29"/>
  <c r="BE97" i="29"/>
  <c r="AY25" i="29"/>
  <c r="AX25" i="29"/>
  <c r="AU143" i="29"/>
  <c r="AU146" i="29"/>
  <c r="AU148" i="29" s="1"/>
  <c r="CE61" i="29"/>
  <c r="CF61" i="29"/>
  <c r="AY110" i="30"/>
  <c r="AX110" i="30"/>
  <c r="N103" i="13"/>
  <c r="H103" i="13" s="1"/>
  <c r="AY81" i="31"/>
  <c r="AX81" i="31"/>
  <c r="H96" i="13"/>
  <c r="H54" i="13"/>
  <c r="H85" i="13"/>
  <c r="I109" i="13"/>
  <c r="H30" i="13"/>
  <c r="CL123" i="31"/>
  <c r="CN123" i="31" s="1"/>
  <c r="BE21" i="31"/>
  <c r="BF21" i="31"/>
  <c r="BE105" i="31"/>
  <c r="BF105" i="31"/>
  <c r="BB141" i="31"/>
  <c r="BB148" i="31" s="1"/>
  <c r="R141" i="31"/>
  <c r="BU141" i="31"/>
  <c r="CS141" i="31"/>
  <c r="CV141" i="31" s="1"/>
  <c r="CW141" i="31" s="1"/>
  <c r="CU141" i="31"/>
  <c r="CY141" i="31"/>
  <c r="CY145" i="31" s="1"/>
  <c r="CY149" i="31" s="1"/>
  <c r="CY150" i="31" s="1"/>
  <c r="AY14" i="31"/>
  <c r="AT148" i="31"/>
  <c r="AX14" i="31"/>
  <c r="AT145" i="31"/>
  <c r="BC56" i="31"/>
  <c r="BF56" i="31" s="1"/>
  <c r="BV56" i="31"/>
  <c r="BX56" i="31" s="1"/>
  <c r="BY56" i="31" s="1"/>
  <c r="CT56" i="31"/>
  <c r="CS56" i="31"/>
  <c r="CV56" i="31" s="1"/>
  <c r="CW56" i="31" s="1"/>
  <c r="CU56" i="31"/>
  <c r="BD137" i="31"/>
  <c r="BE137" i="31" s="1"/>
  <c r="BW137" i="31"/>
  <c r="DM137" i="31"/>
  <c r="BF119" i="31"/>
  <c r="BE119" i="31"/>
  <c r="BF111" i="31"/>
  <c r="BE111" i="31"/>
  <c r="AX88" i="31"/>
  <c r="AY88" i="31"/>
  <c r="BF89" i="31"/>
  <c r="BE89" i="31"/>
  <c r="BF46" i="31"/>
  <c r="AR111" i="31"/>
  <c r="AQ8" i="31"/>
  <c r="BS148" i="31"/>
  <c r="BX17" i="31"/>
  <c r="BY17" i="31" s="1"/>
  <c r="BS145" i="31"/>
  <c r="CB34" i="31"/>
  <c r="CD34" i="31"/>
  <c r="AP148" i="31"/>
  <c r="CG148" i="31"/>
  <c r="CH148" i="31" s="1"/>
  <c r="CM123" i="30"/>
  <c r="CN123" i="30" s="1"/>
  <c r="AR123" i="30"/>
  <c r="CQ76" i="30"/>
  <c r="CQ147" i="30" s="1"/>
  <c r="CT76" i="30"/>
  <c r="AS76" i="30"/>
  <c r="AQ76" i="30"/>
  <c r="AR76" i="30" s="1"/>
  <c r="CP76" i="30"/>
  <c r="CV76" i="30" s="1"/>
  <c r="CW76" i="30" s="1"/>
  <c r="AO76" i="30"/>
  <c r="AO8" i="30" s="1"/>
  <c r="CS76" i="30"/>
  <c r="AP76" i="30"/>
  <c r="AP147" i="30" s="1"/>
  <c r="DB76" i="30"/>
  <c r="DB147" i="30" s="1"/>
  <c r="AZ76" i="30"/>
  <c r="DA76" i="30"/>
  <c r="DA147" i="30" s="1"/>
  <c r="AI8" i="30"/>
  <c r="AY135" i="30"/>
  <c r="AX135" i="30"/>
  <c r="CE93" i="30"/>
  <c r="CF93" i="30"/>
  <c r="BE57" i="30"/>
  <c r="BF57" i="30"/>
  <c r="BF81" i="30"/>
  <c r="BE81" i="30"/>
  <c r="AY93" i="30"/>
  <c r="AX93" i="30"/>
  <c r="CN44" i="30"/>
  <c r="CT91" i="29"/>
  <c r="CU91" i="29" s="1"/>
  <c r="CN72" i="30"/>
  <c r="AX35" i="30"/>
  <c r="AW150" i="30"/>
  <c r="AW152" i="30" s="1"/>
  <c r="AW147" i="30"/>
  <c r="BX14" i="30"/>
  <c r="BF127" i="29"/>
  <c r="BE127" i="29"/>
  <c r="AX46" i="29"/>
  <c r="AY46" i="29"/>
  <c r="BF83" i="29"/>
  <c r="BE83" i="29"/>
  <c r="AY64" i="29"/>
  <c r="AX64" i="29"/>
  <c r="AW143" i="29"/>
  <c r="AW146" i="29"/>
  <c r="AW148" i="29" s="1"/>
  <c r="AX14" i="29"/>
  <c r="CE43" i="29"/>
  <c r="CF43" i="29"/>
  <c r="CF53" i="29"/>
  <c r="CE53" i="29"/>
  <c r="AY16" i="29"/>
  <c r="AT143" i="29"/>
  <c r="AX16" i="29"/>
  <c r="CE48" i="29"/>
  <c r="CF48" i="29"/>
  <c r="BE31" i="29"/>
  <c r="BF31" i="29"/>
  <c r="BE60" i="29"/>
  <c r="BF60" i="29"/>
  <c r="CF102" i="29"/>
  <c r="CE102" i="29"/>
  <c r="BD150" i="30"/>
  <c r="BD152" i="30" s="1"/>
  <c r="BF70" i="30"/>
  <c r="BE70" i="30"/>
  <c r="LR25" i="26"/>
  <c r="LS24" i="26"/>
  <c r="CU50" i="29"/>
  <c r="H63" i="13"/>
  <c r="I8" i="13"/>
  <c r="I24" i="13"/>
  <c r="N121" i="13"/>
  <c r="H121" i="13" s="1"/>
  <c r="N49" i="13"/>
  <c r="N57" i="13"/>
  <c r="H57" i="13" s="1"/>
  <c r="N73" i="13"/>
  <c r="H73" i="13" s="1"/>
  <c r="J78" i="13"/>
  <c r="J81" i="13"/>
  <c r="J83" i="13"/>
  <c r="J85" i="13"/>
  <c r="J87" i="13"/>
  <c r="J90" i="13"/>
  <c r="J99" i="13"/>
  <c r="J103" i="13"/>
  <c r="J107" i="13"/>
  <c r="J111" i="13"/>
  <c r="H27" i="13"/>
  <c r="N123" i="13"/>
  <c r="H123" i="13" s="1"/>
  <c r="N86" i="13"/>
  <c r="H86" i="13" s="1"/>
  <c r="N65" i="13"/>
  <c r="I131" i="13"/>
  <c r="N41" i="13"/>
  <c r="H41" i="13" s="1"/>
  <c r="H117" i="13"/>
  <c r="I121" i="13"/>
  <c r="J45" i="13"/>
  <c r="J64" i="13"/>
  <c r="J68" i="13"/>
  <c r="N12" i="13"/>
  <c r="H12" i="13" s="1"/>
  <c r="N16" i="13"/>
  <c r="H16" i="13" s="1"/>
  <c r="N20" i="13"/>
  <c r="H20" i="13" s="1"/>
  <c r="N88" i="13"/>
  <c r="H88" i="13" s="1"/>
  <c r="N92" i="13"/>
  <c r="H92" i="13" s="1"/>
  <c r="N116" i="13"/>
  <c r="H116" i="13" s="1"/>
  <c r="H124" i="13"/>
  <c r="I51" i="13"/>
  <c r="N51" i="13"/>
  <c r="H51" i="13" s="1"/>
  <c r="I59" i="13"/>
  <c r="N59" i="13"/>
  <c r="H59" i="13" s="1"/>
  <c r="N84" i="13"/>
  <c r="H84" i="13" s="1"/>
  <c r="N100" i="13"/>
  <c r="H100" i="13" s="1"/>
  <c r="N104" i="13"/>
  <c r="H104" i="13" s="1"/>
  <c r="N108" i="13"/>
  <c r="H108" i="13" s="1"/>
  <c r="H87" i="13"/>
  <c r="I9" i="13"/>
  <c r="N9" i="13"/>
  <c r="H9" i="13" s="1"/>
  <c r="N13" i="13"/>
  <c r="H13" i="13" s="1"/>
  <c r="I13" i="13"/>
  <c r="I17" i="13"/>
  <c r="N17" i="13"/>
  <c r="H17" i="13" s="1"/>
  <c r="N21" i="13"/>
  <c r="H21" i="13" s="1"/>
  <c r="I21" i="13"/>
  <c r="I25" i="13"/>
  <c r="N25" i="13"/>
  <c r="H25" i="13" s="1"/>
  <c r="N29" i="13"/>
  <c r="H29" i="13" s="1"/>
  <c r="I29" i="13"/>
  <c r="I33" i="13"/>
  <c r="N33" i="13"/>
  <c r="H33" i="13" s="1"/>
  <c r="N37" i="13"/>
  <c r="H37" i="13" s="1"/>
  <c r="I37" i="13"/>
  <c r="I113" i="13"/>
  <c r="N113" i="13"/>
  <c r="N14" i="13"/>
  <c r="H14" i="13" s="1"/>
  <c r="J14" i="13"/>
  <c r="N18" i="13"/>
  <c r="H18" i="13" s="1"/>
  <c r="J18" i="13"/>
  <c r="N47" i="13"/>
  <c r="H47" i="13" s="1"/>
  <c r="J47" i="13"/>
  <c r="J75" i="13"/>
  <c r="N75" i="13"/>
  <c r="H75" i="13" s="1"/>
  <c r="N114" i="13"/>
  <c r="H114" i="13" s="1"/>
  <c r="J114" i="13"/>
  <c r="N130" i="13"/>
  <c r="H130" i="13" s="1"/>
  <c r="J130" i="13"/>
  <c r="N74" i="13"/>
  <c r="H74" i="13" s="1"/>
  <c r="N91" i="13"/>
  <c r="H91" i="13" s="1"/>
  <c r="N122" i="13"/>
  <c r="H122" i="13" s="1"/>
  <c r="N98" i="13"/>
  <c r="H98" i="13" s="1"/>
  <c r="N106" i="13"/>
  <c r="H106" i="13" s="1"/>
  <c r="N119" i="13"/>
  <c r="H119" i="13" s="1"/>
  <c r="H45" i="13"/>
  <c r="H99" i="13"/>
  <c r="H107" i="13"/>
  <c r="H113" i="13"/>
  <c r="H131" i="13"/>
  <c r="N19" i="13"/>
  <c r="H19" i="13" s="1"/>
  <c r="J19" i="13"/>
  <c r="J46" i="13"/>
  <c r="N46" i="13"/>
  <c r="H46" i="13" s="1"/>
  <c r="J48" i="13"/>
  <c r="N48" i="13"/>
  <c r="H48" i="13" s="1"/>
  <c r="N76" i="13"/>
  <c r="H76" i="13" s="1"/>
  <c r="J76" i="13"/>
  <c r="J96" i="13"/>
  <c r="N118" i="13"/>
  <c r="H118" i="13" s="1"/>
  <c r="N126" i="13"/>
  <c r="H126" i="13" s="1"/>
  <c r="J126" i="13"/>
  <c r="J129" i="13"/>
  <c r="N129" i="13"/>
  <c r="H129" i="13" s="1"/>
  <c r="N134" i="13"/>
  <c r="H134" i="13" s="1"/>
  <c r="J134" i="13"/>
  <c r="N15" i="13"/>
  <c r="H15" i="13" s="1"/>
  <c r="N94" i="13"/>
  <c r="H94" i="13" s="1"/>
  <c r="N102" i="13"/>
  <c r="H102" i="13" s="1"/>
  <c r="N110" i="13"/>
  <c r="H110" i="13" s="1"/>
  <c r="R27" i="11"/>
  <c r="R37" i="11"/>
  <c r="R41" i="11"/>
  <c r="R45" i="11"/>
  <c r="R53" i="11"/>
  <c r="R69" i="11"/>
  <c r="R81" i="11"/>
  <c r="R112" i="11"/>
  <c r="R116" i="11"/>
  <c r="R134" i="11"/>
  <c r="N42" i="13"/>
  <c r="H42" i="13" s="1"/>
  <c r="J42" i="13"/>
  <c r="H112" i="13"/>
  <c r="AD132" i="13"/>
  <c r="R139" i="11"/>
  <c r="J50" i="13"/>
  <c r="K50" i="13"/>
  <c r="J65" i="13"/>
  <c r="K65" i="13"/>
  <c r="J67" i="13"/>
  <c r="K67" i="13"/>
  <c r="H67" i="13" s="1"/>
  <c r="J69" i="13"/>
  <c r="K69" i="13"/>
  <c r="J2" i="13"/>
  <c r="J52" i="13"/>
  <c r="K52" i="13"/>
  <c r="H52" i="13" s="1"/>
  <c r="Q115" i="13"/>
  <c r="O115" i="13"/>
  <c r="O3" i="13" s="1"/>
  <c r="S3" i="13"/>
  <c r="S1" i="13" s="1"/>
  <c r="B65" i="13"/>
  <c r="B72" i="11"/>
  <c r="R15" i="11"/>
  <c r="R21" i="11"/>
  <c r="R25" i="11"/>
  <c r="R33" i="11"/>
  <c r="R39" i="11"/>
  <c r="R43" i="11"/>
  <c r="R49" i="11"/>
  <c r="R57" i="11"/>
  <c r="R61" i="11"/>
  <c r="R67" i="11"/>
  <c r="R79" i="11"/>
  <c r="R85" i="11"/>
  <c r="R93" i="11"/>
  <c r="R106" i="11"/>
  <c r="R110" i="11"/>
  <c r="R114" i="11"/>
  <c r="R127" i="11"/>
  <c r="AD37" i="13"/>
  <c r="AD77" i="13"/>
  <c r="J49" i="13"/>
  <c r="J3" i="13" s="1"/>
  <c r="K49" i="13"/>
  <c r="M3" i="13"/>
  <c r="M1" i="13" s="1"/>
  <c r="I128" i="13"/>
  <c r="N128" i="13"/>
  <c r="H128" i="13" s="1"/>
  <c r="J127" i="13"/>
  <c r="K127" i="13"/>
  <c r="H127" i="13" s="1"/>
  <c r="R17" i="11"/>
  <c r="R23" i="11"/>
  <c r="R59" i="11"/>
  <c r="R63" i="11"/>
  <c r="R91" i="11"/>
  <c r="R100" i="11"/>
  <c r="R108" i="11"/>
  <c r="H7" i="13"/>
  <c r="H3" i="13" s="1"/>
  <c r="H65" i="13" l="1"/>
  <c r="J1" i="13"/>
  <c r="CY151" i="31"/>
  <c r="CZ150" i="31"/>
  <c r="AT149" i="29"/>
  <c r="AT148" i="29"/>
  <c r="AS148" i="29"/>
  <c r="AS152" i="29"/>
  <c r="BB150" i="31"/>
  <c r="BA151" i="31"/>
  <c r="BA168" i="31"/>
  <c r="AH8" i="30"/>
  <c r="AI7" i="30" s="1"/>
  <c r="AH146" i="30"/>
  <c r="CW147" i="29"/>
  <c r="CW148" i="29" s="1"/>
  <c r="BF141" i="30"/>
  <c r="BE141" i="30"/>
  <c r="Q59" i="30"/>
  <c r="CY59" i="30" s="1"/>
  <c r="CF53" i="30"/>
  <c r="CE53" i="30"/>
  <c r="CA151" i="30"/>
  <c r="CD150" i="30"/>
  <c r="BE114" i="31"/>
  <c r="BX141" i="31"/>
  <c r="BY141" i="31" s="1"/>
  <c r="BU145" i="31"/>
  <c r="BU148" i="31"/>
  <c r="CA141" i="31"/>
  <c r="AR145" i="31"/>
  <c r="BI51" i="30"/>
  <c r="CF123" i="31"/>
  <c r="CE123" i="31"/>
  <c r="CO143" i="29"/>
  <c r="CO147" i="29" s="1"/>
  <c r="CO148" i="29" s="1"/>
  <c r="AR78" i="30"/>
  <c r="AR147" i="30" s="1"/>
  <c r="BE68" i="31"/>
  <c r="CF51" i="31"/>
  <c r="CE51" i="31"/>
  <c r="BD148" i="31"/>
  <c r="BD150" i="31" s="1"/>
  <c r="BD157" i="31" s="1"/>
  <c r="BV131" i="30"/>
  <c r="BC131" i="30"/>
  <c r="BF131" i="30" s="1"/>
  <c r="CJ8" i="30"/>
  <c r="CJ6" i="30" s="1"/>
  <c r="CJ4" i="30" s="1"/>
  <c r="BE119" i="30"/>
  <c r="BF119" i="30"/>
  <c r="CV15" i="31"/>
  <c r="CS145" i="31"/>
  <c r="CS149" i="31"/>
  <c r="CS150" i="31" s="1"/>
  <c r="CS151" i="31" s="1"/>
  <c r="CM146" i="29"/>
  <c r="CE24" i="30"/>
  <c r="CF24" i="30"/>
  <c r="BE135" i="30"/>
  <c r="BF135" i="30"/>
  <c r="BE90" i="31"/>
  <c r="BR146" i="29"/>
  <c r="BR143" i="29"/>
  <c r="DA151" i="30"/>
  <c r="DA152" i="30" s="1"/>
  <c r="LD12" i="26"/>
  <c r="H50" i="13"/>
  <c r="BV141" i="31"/>
  <c r="BC141" i="31"/>
  <c r="BF141" i="31" s="1"/>
  <c r="CT141" i="31"/>
  <c r="BE56" i="31"/>
  <c r="CF131" i="31"/>
  <c r="CE131" i="31"/>
  <c r="BH8" i="30"/>
  <c r="BH150" i="30"/>
  <c r="BH147" i="30"/>
  <c r="BV51" i="30"/>
  <c r="BX51" i="30" s="1"/>
  <c r="BY51" i="30" s="1"/>
  <c r="BC51" i="30"/>
  <c r="CU72" i="30"/>
  <c r="CE68" i="29"/>
  <c r="CF68" i="29"/>
  <c r="CF127" i="31"/>
  <c r="CE127" i="31"/>
  <c r="BF98" i="29"/>
  <c r="BE98" i="29"/>
  <c r="CP151" i="30"/>
  <c r="CF102" i="31"/>
  <c r="CE102" i="31"/>
  <c r="BX53" i="30"/>
  <c r="BY53" i="30" s="1"/>
  <c r="CE73" i="29"/>
  <c r="CF73" i="29"/>
  <c r="BE131" i="30"/>
  <c r="CE60" i="31"/>
  <c r="CF60" i="31"/>
  <c r="CF110" i="31"/>
  <c r="CE110" i="31"/>
  <c r="CK151" i="31"/>
  <c r="CH146" i="29"/>
  <c r="BZ147" i="29"/>
  <c r="CC147" i="29" s="1"/>
  <c r="CC146" i="29"/>
  <c r="BC148" i="31"/>
  <c r="BC150" i="31" s="1"/>
  <c r="BC157" i="31" s="1"/>
  <c r="BE15" i="31"/>
  <c r="BC145" i="31"/>
  <c r="BF15" i="31"/>
  <c r="BE37" i="31"/>
  <c r="AP8" i="30"/>
  <c r="BF76" i="30"/>
  <c r="BE76" i="30"/>
  <c r="LM16" i="26"/>
  <c r="LL17" i="26"/>
  <c r="CF31" i="29"/>
  <c r="CE31" i="29"/>
  <c r="CF26" i="31"/>
  <c r="CE26" i="31"/>
  <c r="H49" i="13"/>
  <c r="AH147" i="30"/>
  <c r="CM147" i="30" s="1"/>
  <c r="CN147" i="30" s="1"/>
  <c r="BA169" i="31"/>
  <c r="AQ149" i="31"/>
  <c r="CE150" i="31"/>
  <c r="CF150" i="31"/>
  <c r="BI41" i="30"/>
  <c r="BG150" i="30"/>
  <c r="BG147" i="30"/>
  <c r="BG8" i="30"/>
  <c r="CT56" i="30"/>
  <c r="AS150" i="31"/>
  <c r="AS154" i="31"/>
  <c r="CF72" i="31"/>
  <c r="CE72" i="31"/>
  <c r="CT72" i="30"/>
  <c r="CF132" i="31"/>
  <c r="CE132" i="31"/>
  <c r="AY78" i="30"/>
  <c r="AX78" i="30"/>
  <c r="CP147" i="30"/>
  <c r="AQ147" i="30"/>
  <c r="BI88" i="30"/>
  <c r="CU109" i="30"/>
  <c r="BX131" i="30"/>
  <c r="BY131" i="30" s="1"/>
  <c r="CU74" i="29"/>
  <c r="AR74" i="29"/>
  <c r="AR143" i="29" s="1"/>
  <c r="BE108" i="31"/>
  <c r="BF108" i="31"/>
  <c r="BF114" i="30"/>
  <c r="BE114" i="30"/>
  <c r="BE33" i="31"/>
  <c r="CF51" i="29"/>
  <c r="CE51" i="29"/>
  <c r="AS143" i="29"/>
  <c r="LQ19" i="26"/>
  <c r="LP20" i="26"/>
  <c r="BC44" i="30"/>
  <c r="BE44" i="30" s="1"/>
  <c r="BV44" i="30"/>
  <c r="AP150" i="30"/>
  <c r="CE75" i="29"/>
  <c r="CF75" i="29"/>
  <c r="CL8" i="29"/>
  <c r="CL147" i="29"/>
  <c r="CL148" i="29" s="1"/>
  <c r="CL143" i="29"/>
  <c r="CS145" i="29" s="1"/>
  <c r="BE143" i="30"/>
  <c r="AR77" i="29"/>
  <c r="CU77" i="29"/>
  <c r="AO156" i="30"/>
  <c r="AO150" i="30"/>
  <c r="AP143" i="29"/>
  <c r="CN76" i="30"/>
  <c r="CF55" i="31"/>
  <c r="CE55" i="31"/>
  <c r="BA146" i="29"/>
  <c r="CS147" i="29"/>
  <c r="CS148" i="29" s="1"/>
  <c r="CS149" i="29" s="1"/>
  <c r="CK153" i="30"/>
  <c r="CS56" i="30"/>
  <c r="CV56" i="30" s="1"/>
  <c r="CW56" i="30" s="1"/>
  <c r="CF80" i="31"/>
  <c r="CE80" i="31"/>
  <c r="BV53" i="30"/>
  <c r="BC53" i="30"/>
  <c r="BE53" i="30" s="1"/>
  <c r="AQ150" i="30"/>
  <c r="BR147" i="30"/>
  <c r="BR150" i="30"/>
  <c r="CT109" i="30"/>
  <c r="CF109" i="29"/>
  <c r="CE109" i="29"/>
  <c r="CF39" i="29"/>
  <c r="CE39" i="29"/>
  <c r="CY143" i="29"/>
  <c r="CY147" i="29" s="1"/>
  <c r="AO147" i="30"/>
  <c r="BX44" i="30"/>
  <c r="BY44" i="30" s="1"/>
  <c r="BC47" i="30"/>
  <c r="BV47" i="30"/>
  <c r="BX47" i="30" s="1"/>
  <c r="BY47" i="30" s="1"/>
  <c r="BV148" i="31"/>
  <c r="BU151" i="31" s="1"/>
  <c r="BU153" i="31" s="1"/>
  <c r="BX15" i="31"/>
  <c r="BV145" i="31"/>
  <c r="CE56" i="31"/>
  <c r="CF56" i="31"/>
  <c r="BY14" i="30"/>
  <c r="CF34" i="31"/>
  <c r="CE34" i="31"/>
  <c r="BE47" i="30"/>
  <c r="BF47" i="30"/>
  <c r="CE104" i="29"/>
  <c r="CF104" i="29"/>
  <c r="AO8" i="29"/>
  <c r="BV41" i="30"/>
  <c r="BC41" i="30"/>
  <c r="CF84" i="31"/>
  <c r="CE84" i="31"/>
  <c r="BX72" i="30"/>
  <c r="BY72" i="30" s="1"/>
  <c r="BF84" i="31"/>
  <c r="CV143" i="29"/>
  <c r="CV147" i="29" s="1"/>
  <c r="CV148" i="29" s="1"/>
  <c r="AG8" i="30"/>
  <c r="AF8" i="30" s="1"/>
  <c r="AQ152" i="30"/>
  <c r="CF46" i="31"/>
  <c r="CE46" i="31"/>
  <c r="BF61" i="30"/>
  <c r="BX109" i="30"/>
  <c r="BY109" i="30" s="1"/>
  <c r="LO14" i="26"/>
  <c r="LG14" i="26" s="1"/>
  <c r="LF14" i="26" s="1"/>
  <c r="LE14" i="26" s="1"/>
  <c r="LD14" i="26" s="1"/>
  <c r="LN15" i="26"/>
  <c r="CO150" i="31"/>
  <c r="CC149" i="31"/>
  <c r="AT150" i="30"/>
  <c r="BE115" i="31"/>
  <c r="BF115" i="31"/>
  <c r="BI44" i="30"/>
  <c r="CQ143" i="29"/>
  <c r="CQ147" i="29" s="1"/>
  <c r="BC116" i="30"/>
  <c r="BE116" i="30" s="1"/>
  <c r="BV116" i="30"/>
  <c r="BX116" i="30" s="1"/>
  <c r="BY116" i="30" s="1"/>
  <c r="LS25" i="26"/>
  <c r="LR26" i="26"/>
  <c r="BE49" i="29"/>
  <c r="BF49" i="29"/>
  <c r="BV56" i="30"/>
  <c r="BC56" i="30"/>
  <c r="BB155" i="30"/>
  <c r="BB162" i="30"/>
  <c r="BB159" i="30"/>
  <c r="BF72" i="30"/>
  <c r="BE72" i="30"/>
  <c r="BV143" i="29"/>
  <c r="CX147" i="29"/>
  <c r="CX149" i="29" s="1"/>
  <c r="CX143" i="29"/>
  <c r="CF118" i="31"/>
  <c r="CE118" i="31"/>
  <c r="BC143" i="29"/>
  <c r="AQ8" i="30"/>
  <c r="BC88" i="30"/>
  <c r="BE88" i="30" s="1"/>
  <c r="BV88" i="30"/>
  <c r="BX88" i="30" s="1"/>
  <c r="BY88" i="30" s="1"/>
  <c r="BE96" i="31"/>
  <c r="AT163" i="31"/>
  <c r="AT158" i="31"/>
  <c r="AT160" i="31" s="1"/>
  <c r="CF65" i="30"/>
  <c r="CE65" i="30"/>
  <c r="AQ143" i="29"/>
  <c r="AG149" i="29"/>
  <c r="LK15" i="26"/>
  <c r="LJ16" i="26"/>
  <c r="DB151" i="30"/>
  <c r="DB152" i="30" s="1"/>
  <c r="BA147" i="30"/>
  <c r="BV103" i="30"/>
  <c r="BX103" i="30" s="1"/>
  <c r="BY103" i="30" s="1"/>
  <c r="BC103" i="30"/>
  <c r="BE103" i="30" s="1"/>
  <c r="BC67" i="30"/>
  <c r="BV67" i="30"/>
  <c r="BX67" i="30" s="1"/>
  <c r="BY67" i="30" s="1"/>
  <c r="BE69" i="31"/>
  <c r="BF69" i="31"/>
  <c r="BA167" i="29"/>
  <c r="CE148" i="29"/>
  <c r="CF148" i="29"/>
  <c r="CE81" i="31"/>
  <c r="CF81" i="31"/>
  <c r="AX76" i="30"/>
  <c r="AY76" i="30"/>
  <c r="AY150" i="30" s="1"/>
  <c r="AX148" i="31"/>
  <c r="AX150" i="31" s="1"/>
  <c r="AX145" i="31"/>
  <c r="CU47" i="30"/>
  <c r="CT28" i="29"/>
  <c r="CU28" i="29" s="1"/>
  <c r="AJ151" i="30"/>
  <c r="BB166" i="30"/>
  <c r="BE141" i="31"/>
  <c r="BV146" i="29"/>
  <c r="BE129" i="31"/>
  <c r="BF129" i="31"/>
  <c r="CB146" i="29"/>
  <c r="CS103" i="30"/>
  <c r="CV103" i="30" s="1"/>
  <c r="CW103" i="30" s="1"/>
  <c r="CN143" i="29"/>
  <c r="CN147" i="29" s="1"/>
  <c r="BF67" i="30"/>
  <c r="BE67" i="30"/>
  <c r="AS147" i="30"/>
  <c r="BX146" i="29"/>
  <c r="AQ146" i="29"/>
  <c r="AQ147" i="29" s="1"/>
  <c r="AX147" i="30"/>
  <c r="CF116" i="29"/>
  <c r="CE116" i="29"/>
  <c r="CW143" i="29"/>
  <c r="CL151" i="30"/>
  <c r="BX137" i="31"/>
  <c r="BY137" i="31" s="1"/>
  <c r="BW145" i="31"/>
  <c r="BW148" i="31"/>
  <c r="CF30" i="31"/>
  <c r="CE30" i="31"/>
  <c r="CF54" i="30"/>
  <c r="CE54" i="30"/>
  <c r="AT150" i="31"/>
  <c r="AT151" i="31"/>
  <c r="BS50" i="30"/>
  <c r="BS147" i="30" s="1"/>
  <c r="CU50" i="30"/>
  <c r="CG50" i="30"/>
  <c r="CH50" i="30" s="1"/>
  <c r="AZ50" i="30"/>
  <c r="AZ147" i="30" s="1"/>
  <c r="CT50" i="30"/>
  <c r="CS50" i="30"/>
  <c r="CV50" i="30" s="1"/>
  <c r="CW50" i="30" s="1"/>
  <c r="AY28" i="29"/>
  <c r="AY143" i="29" s="1"/>
  <c r="AX28" i="29"/>
  <c r="AX146" i="29" s="1"/>
  <c r="AX148" i="29" s="1"/>
  <c r="BB163" i="31"/>
  <c r="BB165" i="31" s="1"/>
  <c r="AZ154" i="31"/>
  <c r="AZ150" i="31"/>
  <c r="AZ157" i="31" s="1"/>
  <c r="AT156" i="30"/>
  <c r="AY141" i="30"/>
  <c r="AX141" i="30"/>
  <c r="AX150" i="30" s="1"/>
  <c r="AX152" i="30" s="1"/>
  <c r="BF56" i="30"/>
  <c r="BE56" i="30"/>
  <c r="CF22" i="31"/>
  <c r="CE22" i="31"/>
  <c r="BU149" i="29"/>
  <c r="BU151" i="29" s="1"/>
  <c r="BV72" i="30"/>
  <c r="BC72" i="30"/>
  <c r="CO150" i="30"/>
  <c r="CO152" i="30" s="1"/>
  <c r="CF96" i="31"/>
  <c r="CE96" i="31"/>
  <c r="BC146" i="29"/>
  <c r="BC148" i="29" s="1"/>
  <c r="BC155" i="29" s="1"/>
  <c r="CQ151" i="30"/>
  <c r="CQ152" i="30" s="1"/>
  <c r="CF107" i="31"/>
  <c r="CE107" i="31"/>
  <c r="BC109" i="30"/>
  <c r="BE109" i="30" s="1"/>
  <c r="BV109" i="30"/>
  <c r="CU16" i="29"/>
  <c r="CT143" i="29"/>
  <c r="CT147" i="29" s="1"/>
  <c r="BD155" i="29"/>
  <c r="CU67" i="30"/>
  <c r="AS150" i="30"/>
  <c r="BE66" i="31"/>
  <c r="BX143" i="29"/>
  <c r="AQ148" i="29"/>
  <c r="AY167" i="29" s="1"/>
  <c r="AH143" i="29"/>
  <c r="CF110" i="30"/>
  <c r="CE110" i="30"/>
  <c r="H20" i="26"/>
  <c r="H8" i="26" s="1"/>
  <c r="E8" i="26"/>
  <c r="E7" i="26" s="1"/>
  <c r="BD145" i="31"/>
  <c r="CX152" i="30"/>
  <c r="BA150" i="30"/>
  <c r="CL8" i="30"/>
  <c r="AY49" i="29"/>
  <c r="AX49" i="29"/>
  <c r="CU145" i="31"/>
  <c r="CU146" i="31" s="1"/>
  <c r="CL147" i="31" s="1"/>
  <c r="CN147" i="31" s="1"/>
  <c r="BD159" i="30"/>
  <c r="AY148" i="31"/>
  <c r="AY145" i="31"/>
  <c r="CT47" i="30"/>
  <c r="BF131" i="29"/>
  <c r="CF31" i="31"/>
  <c r="CE31" i="31"/>
  <c r="BX41" i="30"/>
  <c r="BY41" i="30" s="1"/>
  <c r="BX56" i="30"/>
  <c r="BY56" i="30" s="1"/>
  <c r="BE136" i="30"/>
  <c r="BE34" i="31"/>
  <c r="BF34" i="31"/>
  <c r="CD143" i="30"/>
  <c r="CB143" i="30"/>
  <c r="CB150" i="30" s="1"/>
  <c r="CE55" i="29"/>
  <c r="CF55" i="29"/>
  <c r="AY98" i="29"/>
  <c r="AX98" i="29"/>
  <c r="CF76" i="31"/>
  <c r="CE76" i="31"/>
  <c r="DJ46" i="31"/>
  <c r="DJ8" i="31" s="1"/>
  <c r="DH8" i="31"/>
  <c r="CF131" i="30"/>
  <c r="CE131" i="30"/>
  <c r="CT103" i="30"/>
  <c r="CU131" i="30"/>
  <c r="AR76" i="29"/>
  <c r="CU76" i="29"/>
  <c r="CJ147" i="29"/>
  <c r="CJ148" i="29" s="1"/>
  <c r="CK149" i="29" s="1"/>
  <c r="LG13" i="26"/>
  <c r="BI143" i="29"/>
  <c r="BI146" i="29"/>
  <c r="BI8" i="29"/>
  <c r="BA160" i="31"/>
  <c r="BA157" i="31"/>
  <c r="BA153" i="31"/>
  <c r="BY143" i="29"/>
  <c r="BY146" i="29"/>
  <c r="AQ8" i="29"/>
  <c r="AH147" i="29"/>
  <c r="CF135" i="31"/>
  <c r="CE135" i="31"/>
  <c r="CF47" i="29"/>
  <c r="CE47" i="29"/>
  <c r="BZ151" i="30"/>
  <c r="CC151" i="30" s="1"/>
  <c r="CC150" i="30"/>
  <c r="CB153" i="30"/>
  <c r="CD119" i="29"/>
  <c r="CB119" i="29"/>
  <c r="CB143" i="29" s="1"/>
  <c r="CR148" i="29"/>
  <c r="H69" i="13"/>
  <c r="DN137" i="31"/>
  <c r="DN145" i="31" s="1"/>
  <c r="DM145" i="31"/>
  <c r="CS47" i="30"/>
  <c r="CV47" i="30" s="1"/>
  <c r="CW47" i="30" s="1"/>
  <c r="AZ146" i="29"/>
  <c r="BE28" i="29"/>
  <c r="BE146" i="29" s="1"/>
  <c r="BE148" i="29" s="1"/>
  <c r="AZ143" i="29"/>
  <c r="BF28" i="29"/>
  <c r="BF146" i="29" s="1"/>
  <c r="BE42" i="31"/>
  <c r="BF42" i="31"/>
  <c r="AY169" i="31"/>
  <c r="AQ152" i="31"/>
  <c r="AR149" i="31"/>
  <c r="LI21" i="26"/>
  <c r="LH22" i="26"/>
  <c r="CS41" i="30"/>
  <c r="BF51" i="30"/>
  <c r="BE51" i="30"/>
  <c r="CE106" i="31"/>
  <c r="CF106" i="31"/>
  <c r="BF78" i="30"/>
  <c r="BE78" i="30"/>
  <c r="BR148" i="31"/>
  <c r="BR145" i="31"/>
  <c r="CF38" i="30"/>
  <c r="CE38" i="30"/>
  <c r="CS88" i="30"/>
  <c r="CV88" i="30" s="1"/>
  <c r="CW88" i="30" s="1"/>
  <c r="DB150" i="31"/>
  <c r="DB151" i="31" s="1"/>
  <c r="CL145" i="31"/>
  <c r="CL149" i="31"/>
  <c r="CN15" i="31"/>
  <c r="CU103" i="30"/>
  <c r="CS131" i="30"/>
  <c r="CV131" i="30" s="1"/>
  <c r="CW131" i="30" s="1"/>
  <c r="CW14" i="30"/>
  <c r="CA146" i="29"/>
  <c r="CJ143" i="29"/>
  <c r="BB158" i="29"/>
  <c r="BB155" i="29"/>
  <c r="BB151" i="29"/>
  <c r="CS67" i="30"/>
  <c r="CV67" i="30" s="1"/>
  <c r="CW67" i="30" s="1"/>
  <c r="CF132" i="30"/>
  <c r="CE132" i="30"/>
  <c r="CT145" i="31"/>
  <c r="CT149" i="31"/>
  <c r="CT150" i="31" s="1"/>
  <c r="CT151" i="31" s="1"/>
  <c r="B66" i="13"/>
  <c r="B73" i="11"/>
  <c r="I115" i="13"/>
  <c r="N115" i="13"/>
  <c r="H115" i="13" s="1"/>
  <c r="Q3" i="13"/>
  <c r="Q1" i="13" s="1"/>
  <c r="N3" i="13"/>
  <c r="O2" i="13"/>
  <c r="O1" i="13" s="1"/>
  <c r="N2" i="13"/>
  <c r="H2" i="13"/>
  <c r="G3" i="13" s="1"/>
  <c r="H1" i="13"/>
  <c r="CX148" i="29" l="1"/>
  <c r="CY148" i="29"/>
  <c r="BF148" i="29"/>
  <c r="CT148" i="29"/>
  <c r="CN148" i="29"/>
  <c r="CQ148" i="29"/>
  <c r="CQ149" i="29" s="1"/>
  <c r="BE155" i="29"/>
  <c r="AY152" i="30"/>
  <c r="CY147" i="30"/>
  <c r="CY151" i="30"/>
  <c r="CY152" i="30" s="1"/>
  <c r="CY153" i="30" s="1"/>
  <c r="CE150" i="30"/>
  <c r="CB151" i="30"/>
  <c r="CF150" i="30"/>
  <c r="BI6" i="29"/>
  <c r="BJ8" i="29"/>
  <c r="BF109" i="30"/>
  <c r="CG150" i="30"/>
  <c r="CH150" i="30" s="1"/>
  <c r="LL18" i="26"/>
  <c r="LM17" i="26"/>
  <c r="CM148" i="29"/>
  <c r="CB147" i="30"/>
  <c r="BA148" i="29"/>
  <c r="BA149" i="29"/>
  <c r="BA150" i="29" s="1"/>
  <c r="BA166" i="29"/>
  <c r="BA168" i="29" s="1"/>
  <c r="CW149" i="29"/>
  <c r="CU147" i="31"/>
  <c r="CU149" i="31" s="1"/>
  <c r="CU150" i="31" s="1"/>
  <c r="CU151" i="31" s="1"/>
  <c r="CN145" i="31"/>
  <c r="AZ152" i="29"/>
  <c r="AZ153" i="29" s="1"/>
  <c r="AZ148" i="29"/>
  <c r="AZ155" i="29" s="1"/>
  <c r="BB161" i="29"/>
  <c r="BB163" i="29" s="1"/>
  <c r="AY146" i="29"/>
  <c r="AG150" i="29"/>
  <c r="DB153" i="30"/>
  <c r="LP21" i="26"/>
  <c r="LQ20" i="26"/>
  <c r="CL6" i="29"/>
  <c r="CM8" i="29"/>
  <c r="CP152" i="30"/>
  <c r="CZ148" i="29"/>
  <c r="CZ149" i="29" s="1"/>
  <c r="CW146" i="30"/>
  <c r="CM146" i="30"/>
  <c r="CN146" i="30" s="1"/>
  <c r="CV41" i="30"/>
  <c r="LK16" i="26"/>
  <c r="LJ17" i="26"/>
  <c r="CA147" i="29"/>
  <c r="CD146" i="29"/>
  <c r="BF103" i="30"/>
  <c r="LF13" i="26"/>
  <c r="BA171" i="30"/>
  <c r="CF152" i="30"/>
  <c r="AQ151" i="30"/>
  <c r="CE152" i="30"/>
  <c r="BF44" i="30"/>
  <c r="AS152" i="30"/>
  <c r="AS156" i="30"/>
  <c r="CL152" i="30"/>
  <c r="CN152" i="30" s="1"/>
  <c r="CN151" i="30"/>
  <c r="BF88" i="30"/>
  <c r="BX147" i="30"/>
  <c r="CO8" i="30"/>
  <c r="CL6" i="30"/>
  <c r="CR149" i="29"/>
  <c r="AT165" i="30"/>
  <c r="AT160" i="30"/>
  <c r="AT162" i="30" s="1"/>
  <c r="BE143" i="29"/>
  <c r="AT153" i="30"/>
  <c r="AT152" i="30"/>
  <c r="BC150" i="30"/>
  <c r="BC152" i="30" s="1"/>
  <c r="BC159" i="30" s="1"/>
  <c r="BC147" i="30"/>
  <c r="BY147" i="30"/>
  <c r="BY150" i="30"/>
  <c r="BF148" i="31"/>
  <c r="BF150" i="31" s="1"/>
  <c r="BF145" i="31"/>
  <c r="R59" i="30"/>
  <c r="CU59" i="30"/>
  <c r="BA170" i="31"/>
  <c r="BF50" i="30"/>
  <c r="BE50" i="30"/>
  <c r="AZ150" i="30"/>
  <c r="BX50" i="30"/>
  <c r="BY50" i="30" s="1"/>
  <c r="BS150" i="30"/>
  <c r="BU153" i="30" s="1"/>
  <c r="BU155" i="30" s="1"/>
  <c r="CE119" i="29"/>
  <c r="CF119" i="29"/>
  <c r="CF143" i="30"/>
  <c r="CE143" i="30"/>
  <c r="AY147" i="30"/>
  <c r="AQ154" i="30"/>
  <c r="AY171" i="30"/>
  <c r="AR151" i="30"/>
  <c r="BV147" i="30"/>
  <c r="BV150" i="30"/>
  <c r="CG147" i="30"/>
  <c r="CU147" i="30"/>
  <c r="CU148" i="30" s="1"/>
  <c r="CL149" i="30" s="1"/>
  <c r="BA152" i="31"/>
  <c r="CL150" i="31"/>
  <c r="CN150" i="31" s="1"/>
  <c r="CN149" i="31"/>
  <c r="LH23" i="26"/>
  <c r="LI22" i="26"/>
  <c r="BA152" i="30"/>
  <c r="BA170" i="30"/>
  <c r="BA153" i="30"/>
  <c r="BA154" i="30" s="1"/>
  <c r="CW147" i="30"/>
  <c r="CW151" i="30"/>
  <c r="AZ155" i="31"/>
  <c r="LR27" i="26"/>
  <c r="LS26" i="26"/>
  <c r="BF53" i="30"/>
  <c r="BE41" i="30"/>
  <c r="AX143" i="29"/>
  <c r="BF116" i="30"/>
  <c r="BI150" i="30"/>
  <c r="BI8" i="30"/>
  <c r="BI147" i="30"/>
  <c r="BE145" i="31"/>
  <c r="BE148" i="31"/>
  <c r="BE150" i="31" s="1"/>
  <c r="BE157" i="31" s="1"/>
  <c r="CB141" i="31"/>
  <c r="CD141" i="31"/>
  <c r="CA145" i="31"/>
  <c r="CA148" i="31"/>
  <c r="BB160" i="31"/>
  <c r="BB157" i="31"/>
  <c r="BB153" i="31"/>
  <c r="AJ151" i="29"/>
  <c r="AT161" i="29" s="1"/>
  <c r="AQ150" i="29"/>
  <c r="AR147" i="29"/>
  <c r="AY150" i="31"/>
  <c r="BF41" i="30"/>
  <c r="BF143" i="29"/>
  <c r="CV145" i="31"/>
  <c r="CV149" i="31" s="1"/>
  <c r="CV150" i="31" s="1"/>
  <c r="CW15" i="31"/>
  <c r="CU147" i="29"/>
  <c r="CU143" i="29"/>
  <c r="CB147" i="29"/>
  <c r="CH148" i="29" s="1"/>
  <c r="CF146" i="29"/>
  <c r="CE146" i="29"/>
  <c r="LN16" i="26"/>
  <c r="LO15" i="26"/>
  <c r="LG15" i="26" s="1"/>
  <c r="BY15" i="31"/>
  <c r="BX145" i="31"/>
  <c r="BX148" i="31"/>
  <c r="CB149" i="29"/>
  <c r="N1" i="13"/>
  <c r="B67" i="13"/>
  <c r="B74" i="11"/>
  <c r="LF15" i="26" l="1"/>
  <c r="LE15" i="26" s="1"/>
  <c r="LD15" i="26" s="1"/>
  <c r="CA149" i="31"/>
  <c r="CD148" i="31"/>
  <c r="CB151" i="31"/>
  <c r="LP22" i="26"/>
  <c r="LQ21" i="26"/>
  <c r="BA158" i="29"/>
  <c r="BA155" i="29"/>
  <c r="BA151" i="29"/>
  <c r="CH152" i="30"/>
  <c r="LS27" i="26"/>
  <c r="LR28" i="26"/>
  <c r="LE13" i="26"/>
  <c r="AY148" i="29"/>
  <c r="AY166" i="29"/>
  <c r="AY168" i="29" s="1"/>
  <c r="BY148" i="31"/>
  <c r="BY145" i="31"/>
  <c r="BF147" i="30"/>
  <c r="BF150" i="30"/>
  <c r="CF141" i="31"/>
  <c r="CE141" i="31"/>
  <c r="CB145" i="31"/>
  <c r="CB148" i="31"/>
  <c r="LL19" i="26"/>
  <c r="LM18" i="26"/>
  <c r="LO16" i="26"/>
  <c r="LN17" i="26"/>
  <c r="AY168" i="31"/>
  <c r="AY170" i="31" s="1"/>
  <c r="CZ152" i="30"/>
  <c r="BX150" i="30"/>
  <c r="AZ152" i="30"/>
  <c r="AZ159" i="30" s="1"/>
  <c r="AZ156" i="30"/>
  <c r="AZ157" i="30" s="1"/>
  <c r="BB165" i="30"/>
  <c r="BB167" i="30" s="1"/>
  <c r="BJ8" i="30"/>
  <c r="BK7" i="30"/>
  <c r="BI6" i="30"/>
  <c r="BA172" i="30"/>
  <c r="BF153" i="31"/>
  <c r="CT153" i="31" s="1"/>
  <c r="BF157" i="31"/>
  <c r="BA162" i="30"/>
  <c r="BA159" i="30"/>
  <c r="BA155" i="30"/>
  <c r="CN149" i="30"/>
  <c r="CU149" i="30"/>
  <c r="CU151" i="30" s="1"/>
  <c r="CU152" i="30" s="1"/>
  <c r="CU153" i="30" s="1"/>
  <c r="LJ18" i="26"/>
  <c r="LK17" i="26"/>
  <c r="CW41" i="30"/>
  <c r="LH24" i="26"/>
  <c r="LI23" i="26"/>
  <c r="LG16" i="26"/>
  <c r="LF16" i="26" s="1"/>
  <c r="LE16" i="26" s="1"/>
  <c r="LD16" i="26" s="1"/>
  <c r="CW145" i="31"/>
  <c r="CW149" i="31"/>
  <c r="BE150" i="30"/>
  <c r="BE152" i="30" s="1"/>
  <c r="BE159" i="30" s="1"/>
  <c r="BE147" i="30"/>
  <c r="CS59" i="30"/>
  <c r="CT59" i="30"/>
  <c r="CT147" i="30" s="1"/>
  <c r="CT151" i="30" s="1"/>
  <c r="CT152" i="30" s="1"/>
  <c r="CT153" i="30" s="1"/>
  <c r="B68" i="13"/>
  <c r="B75" i="11"/>
  <c r="BF152" i="30" l="1"/>
  <c r="AY170" i="30"/>
  <c r="AY172" i="30" s="1"/>
  <c r="LH25" i="26"/>
  <c r="LI24" i="26"/>
  <c r="LQ22" i="26"/>
  <c r="LP23" i="26"/>
  <c r="LN18" i="26"/>
  <c r="LO17" i="26"/>
  <c r="BF151" i="29"/>
  <c r="CR151" i="29" s="1"/>
  <c r="BF155" i="29"/>
  <c r="LG17" i="26"/>
  <c r="LF17" i="26" s="1"/>
  <c r="LE17" i="26" s="1"/>
  <c r="LD17" i="26" s="1"/>
  <c r="CV59" i="30"/>
  <c r="CS147" i="30"/>
  <c r="CS151" i="30" s="1"/>
  <c r="CS152" i="30" s="1"/>
  <c r="CS153" i="30" s="1"/>
  <c r="LK18" i="26"/>
  <c r="LJ19" i="26"/>
  <c r="LL20" i="26"/>
  <c r="LM19" i="26"/>
  <c r="LD13" i="26"/>
  <c r="CB149" i="31"/>
  <c r="CH150" i="31" s="1"/>
  <c r="CF148" i="31"/>
  <c r="CE148" i="31"/>
  <c r="LR29" i="26"/>
  <c r="LS28" i="26"/>
  <c r="B69" i="13"/>
  <c r="B76" i="11"/>
  <c r="B70" i="13" s="1"/>
  <c r="BF159" i="30" l="1"/>
  <c r="BF155" i="30"/>
  <c r="CT155" i="30" s="1"/>
  <c r="LO18" i="26"/>
  <c r="LG18" i="26" s="1"/>
  <c r="LN19" i="26"/>
  <c r="LP24" i="26"/>
  <c r="LQ23" i="26"/>
  <c r="LL21" i="26"/>
  <c r="LM20" i="26"/>
  <c r="LK19" i="26"/>
  <c r="LJ20" i="26"/>
  <c r="LH26" i="26"/>
  <c r="LI25" i="26"/>
  <c r="LS29" i="26"/>
  <c r="LR30" i="26"/>
  <c r="CW59" i="30"/>
  <c r="CV147" i="30"/>
  <c r="CV151" i="30"/>
  <c r="CV152" i="30" s="1"/>
  <c r="LF18" i="26" l="1"/>
  <c r="LS30" i="26"/>
  <c r="LR31" i="26"/>
  <c r="LQ24" i="26"/>
  <c r="LP25" i="26"/>
  <c r="LL22" i="26"/>
  <c r="LM21" i="26"/>
  <c r="LO19" i="26"/>
  <c r="LG19" i="26" s="1"/>
  <c r="LF19" i="26" s="1"/>
  <c r="LE19" i="26" s="1"/>
  <c r="LD19" i="26" s="1"/>
  <c r="LN20" i="26"/>
  <c r="LH27" i="26"/>
  <c r="LI26" i="26"/>
  <c r="LJ21" i="26"/>
  <c r="LK20" i="26"/>
  <c r="LO20" i="26" l="1"/>
  <c r="LN21" i="26"/>
  <c r="LG20" i="26"/>
  <c r="LF20" i="26" s="1"/>
  <c r="LE20" i="26" s="1"/>
  <c r="LD20" i="26" s="1"/>
  <c r="LR32" i="26"/>
  <c r="LS31" i="26"/>
  <c r="LJ22" i="26"/>
  <c r="LK21" i="26"/>
  <c r="LL23" i="26"/>
  <c r="LM22" i="26"/>
  <c r="LQ25" i="26"/>
  <c r="LP26" i="26"/>
  <c r="LH28" i="26"/>
  <c r="LI27" i="26"/>
  <c r="LE18" i="26"/>
  <c r="LL24" i="26" l="1"/>
  <c r="LM23" i="26"/>
  <c r="LQ26" i="26"/>
  <c r="LP27" i="26"/>
  <c r="LG21" i="26"/>
  <c r="LF21" i="26" s="1"/>
  <c r="LK22" i="26"/>
  <c r="LJ23" i="26"/>
  <c r="LS32" i="26"/>
  <c r="LR33" i="26"/>
  <c r="LD18" i="26"/>
  <c r="LO21" i="26"/>
  <c r="LN22" i="26"/>
  <c r="LH29" i="26"/>
  <c r="LI28" i="26"/>
  <c r="LE21" i="26" l="1"/>
  <c r="LR34" i="26"/>
  <c r="LS33" i="26"/>
  <c r="LJ24" i="26"/>
  <c r="LK23" i="26"/>
  <c r="LH30" i="26"/>
  <c r="LI29" i="26"/>
  <c r="LG22" i="26"/>
  <c r="LF22" i="26" s="1"/>
  <c r="LE22" i="26" s="1"/>
  <c r="LD22" i="26" s="1"/>
  <c r="LP28" i="26"/>
  <c r="LQ27" i="26"/>
  <c r="LN23" i="26"/>
  <c r="LO22" i="26"/>
  <c r="LL25" i="26"/>
  <c r="LM24" i="26"/>
  <c r="LQ28" i="26" l="1"/>
  <c r="LP29" i="26"/>
  <c r="LI30" i="26"/>
  <c r="LH31" i="26"/>
  <c r="LR35" i="26"/>
  <c r="LS34" i="26"/>
  <c r="LG23" i="26"/>
  <c r="LF23" i="26" s="1"/>
  <c r="LE23" i="26" s="1"/>
  <c r="LD23" i="26" s="1"/>
  <c r="LD21" i="26"/>
  <c r="LJ25" i="26"/>
  <c r="LK24" i="26"/>
  <c r="LL26" i="26"/>
  <c r="LM25" i="26"/>
  <c r="LN24" i="26"/>
  <c r="LO23" i="26"/>
  <c r="LK25" i="26" l="1"/>
  <c r="LJ26" i="26"/>
  <c r="LR36" i="26"/>
  <c r="LS35" i="26"/>
  <c r="LO24" i="26"/>
  <c r="LG24" i="26" s="1"/>
  <c r="LF24" i="26" s="1"/>
  <c r="LE24" i="26" s="1"/>
  <c r="LD24" i="26" s="1"/>
  <c r="LN25" i="26"/>
  <c r="LP30" i="26"/>
  <c r="LQ29" i="26"/>
  <c r="LH32" i="26"/>
  <c r="LI31" i="26"/>
  <c r="LM26" i="26"/>
  <c r="LL27" i="26"/>
  <c r="LP31" i="26" l="1"/>
  <c r="LQ30" i="26"/>
  <c r="LN26" i="26"/>
  <c r="LO25" i="26"/>
  <c r="LH33" i="26"/>
  <c r="LI32" i="26"/>
  <c r="LG25" i="26"/>
  <c r="LF25" i="26" s="1"/>
  <c r="LE25" i="26" s="1"/>
  <c r="LD25" i="26" s="1"/>
  <c r="LR37" i="26"/>
  <c r="LS36" i="26"/>
  <c r="LJ27" i="26"/>
  <c r="LK26" i="26"/>
  <c r="LM27" i="26"/>
  <c r="LL28" i="26"/>
  <c r="LS37" i="26" l="1"/>
  <c r="LR38" i="26"/>
  <c r="LJ28" i="26"/>
  <c r="LK27" i="26"/>
  <c r="LL29" i="26"/>
  <c r="LM28" i="26"/>
  <c r="LH34" i="26"/>
  <c r="LI33" i="26"/>
  <c r="LN27" i="26"/>
  <c r="LO26" i="26"/>
  <c r="LG26" i="26" s="1"/>
  <c r="LF26" i="26" s="1"/>
  <c r="LE26" i="26" s="1"/>
  <c r="LD26" i="26" s="1"/>
  <c r="LP32" i="26"/>
  <c r="LQ31" i="26"/>
  <c r="LO27" i="26" l="1"/>
  <c r="LN28" i="26"/>
  <c r="LM29" i="26"/>
  <c r="LL30" i="26"/>
  <c r="LH35" i="26"/>
  <c r="LI34" i="26"/>
  <c r="LG27" i="26"/>
  <c r="LF27" i="26" s="1"/>
  <c r="LE27" i="26" s="1"/>
  <c r="LD27" i="26" s="1"/>
  <c r="LK28" i="26"/>
  <c r="LJ29" i="26"/>
  <c r="LR39" i="26"/>
  <c r="LS38" i="26"/>
  <c r="LP33" i="26"/>
  <c r="LQ32" i="26"/>
  <c r="LJ30" i="26" l="1"/>
  <c r="LK29" i="26"/>
  <c r="LH36" i="26"/>
  <c r="LI35" i="26"/>
  <c r="LL31" i="26"/>
  <c r="LM30" i="26"/>
  <c r="LR40" i="26"/>
  <c r="LS39" i="26"/>
  <c r="LN29" i="26"/>
  <c r="LO28" i="26"/>
  <c r="LG28" i="26" s="1"/>
  <c r="LF28" i="26" s="1"/>
  <c r="LE28" i="26" s="1"/>
  <c r="LD28" i="26" s="1"/>
  <c r="LP34" i="26"/>
  <c r="LQ33" i="26"/>
  <c r="LO29" i="26" l="1"/>
  <c r="LN30" i="26"/>
  <c r="LG29" i="26"/>
  <c r="LF29" i="26" s="1"/>
  <c r="LE29" i="26" s="1"/>
  <c r="LD29" i="26" s="1"/>
  <c r="LS40" i="26"/>
  <c r="LR41" i="26"/>
  <c r="LL32" i="26"/>
  <c r="LM31" i="26"/>
  <c r="LH37" i="26"/>
  <c r="LI36" i="26"/>
  <c r="LP35" i="26"/>
  <c r="LQ34" i="26"/>
  <c r="LJ31" i="26"/>
  <c r="LK30" i="26"/>
  <c r="LQ35" i="26" l="1"/>
  <c r="LP36" i="26"/>
  <c r="LL33" i="26"/>
  <c r="LM32" i="26"/>
  <c r="LS41" i="26"/>
  <c r="LR42" i="26"/>
  <c r="LO30" i="26"/>
  <c r="LN31" i="26"/>
  <c r="LH38" i="26"/>
  <c r="LI37" i="26"/>
  <c r="LG30" i="26"/>
  <c r="LF30" i="26" s="1"/>
  <c r="LE30" i="26" s="1"/>
  <c r="LD30" i="26" s="1"/>
  <c r="LK31" i="26"/>
  <c r="LJ32" i="26"/>
  <c r="LN32" i="26" l="1"/>
  <c r="LO31" i="26"/>
  <c r="LH39" i="26"/>
  <c r="LI38" i="26"/>
  <c r="LR43" i="26"/>
  <c r="LS42" i="26"/>
  <c r="LP37" i="26"/>
  <c r="LQ36" i="26"/>
  <c r="LL34" i="26"/>
  <c r="LM33" i="26"/>
  <c r="LJ33" i="26"/>
  <c r="LK32" i="26"/>
  <c r="LG31" i="26"/>
  <c r="LF31" i="26" s="1"/>
  <c r="LE31" i="26" s="1"/>
  <c r="LD31" i="26" s="1"/>
  <c r="LL35" i="26" l="1"/>
  <c r="LM34" i="26"/>
  <c r="LS43" i="26"/>
  <c r="LR44" i="26"/>
  <c r="LP38" i="26"/>
  <c r="LQ37" i="26"/>
  <c r="LH40" i="26"/>
  <c r="LI39" i="26"/>
  <c r="LK33" i="26"/>
  <c r="LJ34" i="26"/>
  <c r="LG32" i="26"/>
  <c r="LF32" i="26" s="1"/>
  <c r="LE32" i="26" s="1"/>
  <c r="LD32" i="26" s="1"/>
  <c r="LN33" i="26"/>
  <c r="LO32" i="26"/>
  <c r="LK34" i="26" l="1"/>
  <c r="LJ35" i="26"/>
  <c r="LH41" i="26"/>
  <c r="LI40" i="26"/>
  <c r="LQ38" i="26"/>
  <c r="LP39" i="26"/>
  <c r="LS44" i="26"/>
  <c r="LR45" i="26"/>
  <c r="LN34" i="26"/>
  <c r="LO33" i="26"/>
  <c r="LG33" i="26" s="1"/>
  <c r="LF33" i="26" s="1"/>
  <c r="LE33" i="26" s="1"/>
  <c r="LD33" i="26" s="1"/>
  <c r="LM35" i="26"/>
  <c r="LL36" i="26"/>
  <c r="LR46" i="26" l="1"/>
  <c r="LS45" i="26"/>
  <c r="LN35" i="26"/>
  <c r="LO34" i="26"/>
  <c r="LG34" i="26" s="1"/>
  <c r="LF34" i="26" s="1"/>
  <c r="LE34" i="26" s="1"/>
  <c r="LD34" i="26" s="1"/>
  <c r="LI41" i="26"/>
  <c r="LH42" i="26"/>
  <c r="LJ36" i="26"/>
  <c r="LK35" i="26"/>
  <c r="LP40" i="26"/>
  <c r="LQ39" i="26"/>
  <c r="LL37" i="26"/>
  <c r="LM36" i="26"/>
  <c r="LP41" i="26" l="1"/>
  <c r="LQ40" i="26"/>
  <c r="LJ37" i="26"/>
  <c r="LK36" i="26"/>
  <c r="LL38" i="26"/>
  <c r="LM37" i="26"/>
  <c r="LH43" i="26"/>
  <c r="LI42" i="26"/>
  <c r="LO35" i="26"/>
  <c r="LG35" i="26" s="1"/>
  <c r="LF35" i="26" s="1"/>
  <c r="LE35" i="26" s="1"/>
  <c r="LD35" i="26" s="1"/>
  <c r="LN36" i="26"/>
  <c r="LS46" i="26"/>
  <c r="LR47" i="26"/>
  <c r="LN37" i="26" l="1"/>
  <c r="LO36" i="26"/>
  <c r="LI43" i="26"/>
  <c r="LH44" i="26"/>
  <c r="LL39" i="26"/>
  <c r="LM38" i="26"/>
  <c r="LG36" i="26"/>
  <c r="LF36" i="26" s="1"/>
  <c r="LE36" i="26" s="1"/>
  <c r="LD36" i="26" s="1"/>
  <c r="LJ38" i="26"/>
  <c r="LK37" i="26"/>
  <c r="LS47" i="26"/>
  <c r="LR48" i="26"/>
  <c r="LP42" i="26"/>
  <c r="LQ41" i="26"/>
  <c r="LN38" i="26" l="1"/>
  <c r="LO37" i="26"/>
  <c r="LG37" i="26" s="1"/>
  <c r="LF37" i="26" s="1"/>
  <c r="LE37" i="26" s="1"/>
  <c r="LD37" i="26" s="1"/>
  <c r="LR49" i="26"/>
  <c r="LS48" i="26"/>
  <c r="LK38" i="26"/>
  <c r="LJ39" i="26"/>
  <c r="LL40" i="26"/>
  <c r="LM39" i="26"/>
  <c r="LI44" i="26"/>
  <c r="LH45" i="26"/>
  <c r="LQ42" i="26"/>
  <c r="LP43" i="26"/>
  <c r="LI45" i="26" l="1"/>
  <c r="LH46" i="26"/>
  <c r="LM40" i="26"/>
  <c r="LL41" i="26"/>
  <c r="LK39" i="26"/>
  <c r="LJ40" i="26"/>
  <c r="LS49" i="26"/>
  <c r="LR50" i="26"/>
  <c r="LN39" i="26"/>
  <c r="LO38" i="26"/>
  <c r="LG38" i="26" s="1"/>
  <c r="LF38" i="26" s="1"/>
  <c r="LE38" i="26" s="1"/>
  <c r="LD38" i="26" s="1"/>
  <c r="LQ43" i="26"/>
  <c r="LP44" i="26"/>
  <c r="LK40" i="26" l="1"/>
  <c r="LJ41" i="26"/>
  <c r="LH47" i="26"/>
  <c r="LI46" i="26"/>
  <c r="LO39" i="26"/>
  <c r="LN40" i="26"/>
  <c r="LS50" i="26"/>
  <c r="LR51" i="26"/>
  <c r="LG39" i="26"/>
  <c r="LF39" i="26" s="1"/>
  <c r="LE39" i="26" s="1"/>
  <c r="LD39" i="26" s="1"/>
  <c r="LL42" i="26"/>
  <c r="LM41" i="26"/>
  <c r="LP45" i="26"/>
  <c r="LQ44" i="26"/>
  <c r="LL43" i="26" l="1"/>
  <c r="LM42" i="26"/>
  <c r="LQ45" i="26"/>
  <c r="LP46" i="26"/>
  <c r="LS51" i="26"/>
  <c r="LR52" i="26"/>
  <c r="LJ42" i="26"/>
  <c r="LK41" i="26"/>
  <c r="LN41" i="26"/>
  <c r="LO40" i="26"/>
  <c r="LG40" i="26" s="1"/>
  <c r="LF40" i="26" s="1"/>
  <c r="LE40" i="26" s="1"/>
  <c r="LD40" i="26" s="1"/>
  <c r="LH48" i="26"/>
  <c r="LI47" i="26"/>
  <c r="LH49" i="26" l="1"/>
  <c r="LI48" i="26"/>
  <c r="LS52" i="26"/>
  <c r="LR53" i="26"/>
  <c r="LS53" i="26" s="1"/>
  <c r="LS8" i="26" s="1"/>
  <c r="LS9" i="26" s="1"/>
  <c r="LO41" i="26"/>
  <c r="LG41" i="26" s="1"/>
  <c r="LF41" i="26" s="1"/>
  <c r="LE41" i="26" s="1"/>
  <c r="LD41" i="26" s="1"/>
  <c r="LN42" i="26"/>
  <c r="LK42" i="26"/>
  <c r="LJ43" i="26"/>
  <c r="LQ46" i="26"/>
  <c r="LP47" i="26"/>
  <c r="LL44" i="26"/>
  <c r="LM43" i="26"/>
  <c r="LK43" i="26" l="1"/>
  <c r="LJ44" i="26"/>
  <c r="LP48" i="26"/>
  <c r="LQ47" i="26"/>
  <c r="LN43" i="26"/>
  <c r="LO42" i="26"/>
  <c r="LG42" i="26" s="1"/>
  <c r="LF42" i="26" s="1"/>
  <c r="LE42" i="26" s="1"/>
  <c r="LD42" i="26" s="1"/>
  <c r="LL45" i="26"/>
  <c r="LM44" i="26"/>
  <c r="LH50" i="26"/>
  <c r="LI49" i="26"/>
  <c r="LQ48" i="26" l="1"/>
  <c r="LP49" i="26"/>
  <c r="LJ45" i="26"/>
  <c r="LK44" i="26"/>
  <c r="LH51" i="26"/>
  <c r="LI50" i="26"/>
  <c r="LL46" i="26"/>
  <c r="LM45" i="26"/>
  <c r="LN44" i="26"/>
  <c r="LO43" i="26"/>
  <c r="LG43" i="26"/>
  <c r="LF43" i="26" s="1"/>
  <c r="LE43" i="26" s="1"/>
  <c r="LD43" i="26" s="1"/>
  <c r="LI51" i="26" l="1"/>
  <c r="LH52" i="26"/>
  <c r="LK45" i="26"/>
  <c r="LJ46" i="26"/>
  <c r="LO44" i="26"/>
  <c r="LN45" i="26"/>
  <c r="LL47" i="26"/>
  <c r="LM46" i="26"/>
  <c r="LG44" i="26"/>
  <c r="LF44" i="26" s="1"/>
  <c r="LE44" i="26" s="1"/>
  <c r="LD44" i="26" s="1"/>
  <c r="LQ49" i="26"/>
  <c r="LP50" i="26"/>
  <c r="LM47" i="26" l="1"/>
  <c r="LL48" i="26"/>
  <c r="LJ47" i="26"/>
  <c r="LK46" i="26"/>
  <c r="LH53" i="26"/>
  <c r="LI53" i="26" s="1"/>
  <c r="LI52" i="26"/>
  <c r="LP51" i="26"/>
  <c r="LQ50" i="26"/>
  <c r="LN46" i="26"/>
  <c r="LO45" i="26"/>
  <c r="LG45" i="26"/>
  <c r="LF45" i="26" s="1"/>
  <c r="LE45" i="26" s="1"/>
  <c r="LD45" i="26" s="1"/>
  <c r="LN47" i="26" l="1"/>
  <c r="LO46" i="26"/>
  <c r="LI8" i="26"/>
  <c r="LI9" i="26" s="1"/>
  <c r="LL49" i="26"/>
  <c r="LM48" i="26"/>
  <c r="LQ51" i="26"/>
  <c r="LP52" i="26"/>
  <c r="LG46" i="26"/>
  <c r="LF46" i="26" s="1"/>
  <c r="LE46" i="26" s="1"/>
  <c r="LD46" i="26" s="1"/>
  <c r="LJ48" i="26"/>
  <c r="LK47" i="26"/>
  <c r="LK48" i="26" l="1"/>
  <c r="LJ49" i="26"/>
  <c r="LL50" i="26"/>
  <c r="LM49" i="26"/>
  <c r="LP53" i="26"/>
  <c r="LQ53" i="26" s="1"/>
  <c r="LQ8" i="26" s="1"/>
  <c r="LQ9" i="26" s="1"/>
  <c r="LQ52" i="26"/>
  <c r="LO47" i="26"/>
  <c r="LG47" i="26" s="1"/>
  <c r="LF47" i="26" s="1"/>
  <c r="LE47" i="26" s="1"/>
  <c r="LD47" i="26" s="1"/>
  <c r="LN48" i="26"/>
  <c r="LO48" i="26" l="1"/>
  <c r="LN49" i="26"/>
  <c r="LK49" i="26"/>
  <c r="LJ50" i="26"/>
  <c r="LL51" i="26"/>
  <c r="LM50" i="26"/>
  <c r="LG48" i="26"/>
  <c r="LF48" i="26" s="1"/>
  <c r="LE48" i="26" s="1"/>
  <c r="LD48" i="26" s="1"/>
  <c r="LL52" i="26" l="1"/>
  <c r="LM51" i="26"/>
  <c r="LJ51" i="26"/>
  <c r="LK50" i="26"/>
  <c r="LN50" i="26"/>
  <c r="LO49" i="26"/>
  <c r="LG49" i="26" s="1"/>
  <c r="LF49" i="26" s="1"/>
  <c r="LE49" i="26" s="1"/>
  <c r="LD49" i="26" s="1"/>
  <c r="LO50" i="26" l="1"/>
  <c r="LG50" i="26" s="1"/>
  <c r="LF50" i="26" s="1"/>
  <c r="LE50" i="26" s="1"/>
  <c r="LD50" i="26" s="1"/>
  <c r="LN51" i="26"/>
  <c r="LK51" i="26"/>
  <c r="LJ52" i="26"/>
  <c r="LL53" i="26"/>
  <c r="LM53" i="26" s="1"/>
  <c r="LM8" i="26" s="1"/>
  <c r="LM9" i="26" s="1"/>
  <c r="LM52" i="26"/>
  <c r="LJ53" i="26" l="1"/>
  <c r="LK53" i="26" s="1"/>
  <c r="LK52" i="26"/>
  <c r="LO51" i="26"/>
  <c r="LG51" i="26" s="1"/>
  <c r="LF51" i="26" s="1"/>
  <c r="LE51" i="26" s="1"/>
  <c r="LD51" i="26" s="1"/>
  <c r="LN52" i="26"/>
  <c r="LN53" i="26" l="1"/>
  <c r="LO53" i="26" s="1"/>
  <c r="LO8" i="26" s="1"/>
  <c r="LO9" i="26" s="1"/>
  <c r="LO52" i="26"/>
  <c r="LG52" i="26"/>
  <c r="LF52" i="26" s="1"/>
  <c r="LE52" i="26" s="1"/>
  <c r="LD52" i="26" s="1"/>
  <c r="LK8" i="26"/>
  <c r="LK9" i="26" s="1"/>
  <c r="LG53" i="26"/>
  <c r="LF53" i="26" l="1"/>
  <c r="LG8" i="26"/>
  <c r="LG9" i="26" s="1"/>
  <c r="LE53" i="26" l="1"/>
  <c r="LF8" i="26"/>
  <c r="LF9" i="26" s="1"/>
  <c r="LD53" i="26" l="1"/>
  <c r="LD8" i="26" s="1"/>
  <c r="LE8" i="26"/>
  <c r="LE9" i="26" s="1"/>
  <c r="LD7" i="26" l="1"/>
  <c r="LD9" i="26"/>
</calcChain>
</file>

<file path=xl/comments1.xml><?xml version="1.0" encoding="utf-8"?>
<comments xmlns="http://schemas.openxmlformats.org/spreadsheetml/2006/main">
  <authors>
    <author>teplo3</author>
  </authors>
  <commentList>
    <comment ref="F134" authorId="0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добавился в феврале 2023</t>
        </r>
      </text>
    </comment>
  </commentList>
</comments>
</file>

<file path=xl/comments2.xml><?xml version="1.0" encoding="utf-8"?>
<comments xmlns="http://schemas.openxmlformats.org/spreadsheetml/2006/main">
  <authors>
    <author>Verutina-PC</author>
  </authors>
  <commentList>
    <comment ref="AB110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бойлеры решено отнести на ГВС. А здесь в чистом виде объемы отопление</t>
        </r>
      </text>
    </comment>
  </commentList>
</comments>
</file>

<file path=xl/comments3.xml><?xml version="1.0" encoding="utf-8"?>
<comments xmlns="http://schemas.openxmlformats.org/spreadsheetml/2006/main">
  <authors>
    <author>EA_Vorobieva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</commentList>
</comments>
</file>

<file path=xl/comments4.xml><?xml version="1.0" encoding="utf-8"?>
<comments xmlns="http://schemas.openxmlformats.org/spreadsheetml/2006/main">
  <authors>
    <author>EA_Vorobieva</author>
    <author>teplo3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  <comment ref="T132" authorId="1" shapeId="0">
      <text>
        <r>
          <rPr>
            <b/>
            <sz val="11"/>
            <color indexed="81"/>
            <rFont val="Tahoma"/>
            <family val="2"/>
            <charset val="204"/>
          </rPr>
          <t>teplo3:</t>
        </r>
        <r>
          <rPr>
            <sz val="11"/>
            <color indexed="81"/>
            <rFont val="Tahoma"/>
            <family val="2"/>
            <charset val="204"/>
          </rPr>
          <t xml:space="preserve">
ОБЪЕМЫ СИДЯТ У Квадры. КВК оказывает Квадре услугу транспортировки</t>
        </r>
      </text>
    </comment>
    <comment ref="X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AE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T143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ОБЪЕМЫ СИДЯТ У Квадры. Новый курс  оказывает Курчатовсой гортеплосети  услугу транспортировки</t>
        </r>
      </text>
    </comment>
  </commentList>
</comments>
</file>

<file path=xl/comments5.xml><?xml version="1.0" encoding="utf-8"?>
<comments xmlns="http://schemas.openxmlformats.org/spreadsheetml/2006/main">
  <authors>
    <author>Verutina-PC</author>
  </authors>
  <commentList>
    <comment ref="LY5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решили проиндексировать, т.к. у троих организаций утверждены ИП, и всех в круговую, тем более у Квадры плановый рост Амортизации 112%</t>
        </r>
      </text>
    </comment>
  </commentList>
</comments>
</file>

<file path=xl/sharedStrings.xml><?xml version="1.0" encoding="utf-8"?>
<sst xmlns="http://schemas.openxmlformats.org/spreadsheetml/2006/main" count="3937" uniqueCount="1064">
  <si>
    <t>Наименование энергоснабжающей организации</t>
  </si>
  <si>
    <t>Наименование муниципального образования</t>
  </si>
  <si>
    <t>Вид  теплоносителя</t>
  </si>
  <si>
    <t>дата и номер постановления</t>
  </si>
  <si>
    <t>бюджетные портребители</t>
  </si>
  <si>
    <t>прочие потребители</t>
  </si>
  <si>
    <t>перепродавцы</t>
  </si>
  <si>
    <t>Большесолдатский район</t>
  </si>
  <si>
    <t>тепловая энергия в горячей воде</t>
  </si>
  <si>
    <t>Глушковский район</t>
  </si>
  <si>
    <t>ООО "Теткинское МУП ЖКХ"</t>
  </si>
  <si>
    <t>Горшеченский район</t>
  </si>
  <si>
    <t>Дмитриевский район</t>
  </si>
  <si>
    <t>Железногорский район</t>
  </si>
  <si>
    <t>Золотухинский район</t>
  </si>
  <si>
    <t>Касторенский район</t>
  </si>
  <si>
    <t>Конышевский район</t>
  </si>
  <si>
    <t>Кореневский район</t>
  </si>
  <si>
    <t>Курский район</t>
  </si>
  <si>
    <t>Курчатовский район</t>
  </si>
  <si>
    <t>МУП "Иванинское ЖКХ"</t>
  </si>
  <si>
    <t>Льговский район</t>
  </si>
  <si>
    <t>Медвенский район</t>
  </si>
  <si>
    <t>Обоянский район</t>
  </si>
  <si>
    <t>ООО "Обоянские Коммунальные Тепловые Сети"</t>
  </si>
  <si>
    <t>Октябрьский район</t>
  </si>
  <si>
    <t xml:space="preserve">ООО "Коммунальщик" п.Прямицыно (Центральная котельная) </t>
  </si>
  <si>
    <t>Поныровский район</t>
  </si>
  <si>
    <t>ООО "Теплосети п. Поныри"</t>
  </si>
  <si>
    <t>Пристенский район</t>
  </si>
  <si>
    <t>Рыльский район</t>
  </si>
  <si>
    <t>ФГБУ "Санаторий "Марьино"</t>
  </si>
  <si>
    <t>Советский район</t>
  </si>
  <si>
    <t>МУП "Кшенское"" пос. Кшенский</t>
  </si>
  <si>
    <t>Суджанский район</t>
  </si>
  <si>
    <t>МУП КЭТС г. Суджа</t>
  </si>
  <si>
    <t>Тимский район</t>
  </si>
  <si>
    <t>Фатежский район</t>
  </si>
  <si>
    <t>ООО "Фатежские КЭТС"</t>
  </si>
  <si>
    <t>Хомутовский район</t>
  </si>
  <si>
    <t>ООО "КТС с. Калиновка"</t>
  </si>
  <si>
    <t>Черемисиновский  район</t>
  </si>
  <si>
    <t>Щигровский район</t>
  </si>
  <si>
    <t>г.Железногорск</t>
  </si>
  <si>
    <t xml:space="preserve">ООО "ГОТЭК"-ЦПУ </t>
  </si>
  <si>
    <t>гвс с кол</t>
  </si>
  <si>
    <t>ООО "Комфорт"</t>
  </si>
  <si>
    <t>г.Курск</t>
  </si>
  <si>
    <t>АО "Теплоэнергосбытовая компания"</t>
  </si>
  <si>
    <t xml:space="preserve">ООО "Курские внешние коммунальные сети" </t>
  </si>
  <si>
    <t>ООО "Энерго-Сервис"</t>
  </si>
  <si>
    <t xml:space="preserve">ООО "Южная генерирующая компания" </t>
  </si>
  <si>
    <t>г.Курчатов</t>
  </si>
  <si>
    <t>город Железногорск</t>
  </si>
  <si>
    <t>ООО "Теплогенерирующая компания"</t>
  </si>
  <si>
    <t>пос. Магнитный</t>
  </si>
  <si>
    <t>город Курск</t>
  </si>
  <si>
    <t>п. Коренево</t>
  </si>
  <si>
    <t>город Рыльск</t>
  </si>
  <si>
    <t>Малогнеушевский сельсовет</t>
  </si>
  <si>
    <t>Свободинский сельсовет</t>
  </si>
  <si>
    <t>город Фатеж</t>
  </si>
  <si>
    <t>п. Иванино</t>
  </si>
  <si>
    <t>п. Поныри</t>
  </si>
  <si>
    <t>п. Хомутовка</t>
  </si>
  <si>
    <t>п. Кшенский</t>
  </si>
  <si>
    <t>город Суджа</t>
  </si>
  <si>
    <t>г. Льгов</t>
  </si>
  <si>
    <t>г. Обоянь</t>
  </si>
  <si>
    <t>Б.Солдатский сельсовет</t>
  </si>
  <si>
    <t>Любостанский сельсовет</t>
  </si>
  <si>
    <t>Нижнегридинский сельсовет</t>
  </si>
  <si>
    <t>Волоконский сельсовет</t>
  </si>
  <si>
    <t>п.Теткино</t>
  </si>
  <si>
    <t>Кульбакинский сельсовет</t>
  </si>
  <si>
    <t xml:space="preserve"> пос. Горшечное</t>
  </si>
  <si>
    <t>Среднеапоченский сельсовет</t>
  </si>
  <si>
    <t>Ясеновский сельсовет</t>
  </si>
  <si>
    <t>Куньевский сельсовет</t>
  </si>
  <si>
    <t>Солдатский сельсовет</t>
  </si>
  <si>
    <t>Нижнеборковский сельсовет</t>
  </si>
  <si>
    <t>г. Дмитриев</t>
  </si>
  <si>
    <t xml:space="preserve">МУП «Районное коммунальное хозяйство»  </t>
  </si>
  <si>
    <t>Студенокский с/с</t>
  </si>
  <si>
    <t>Разветьевский с/с</t>
  </si>
  <si>
    <t>Михайловский с/с</t>
  </si>
  <si>
    <t>Новоандросовское с/с</t>
  </si>
  <si>
    <t>п.Золотухино</t>
  </si>
  <si>
    <t>Солнечный сельсовет</t>
  </si>
  <si>
    <t>Будановский сельсовет</t>
  </si>
  <si>
    <t xml:space="preserve">п. Олымский   </t>
  </si>
  <si>
    <t>Лачиновский сельсовет</t>
  </si>
  <si>
    <t>п.Конышевка</t>
  </si>
  <si>
    <t>Клюквинский с/с</t>
  </si>
  <si>
    <t>Камышинский сельсовет</t>
  </si>
  <si>
    <t xml:space="preserve">МУП ЖКХ "Родник"                              </t>
  </si>
  <si>
    <t xml:space="preserve">МУП ЖКХ "Родник"                             </t>
  </si>
  <si>
    <t>Рышковский сельсовет</t>
  </si>
  <si>
    <t>Моковский сельсовет</t>
  </si>
  <si>
    <t xml:space="preserve"> пос. им. К. Либкнехта</t>
  </si>
  <si>
    <t>Селекционный сельсовет</t>
  </si>
  <si>
    <t>Густомойский сельсовет</t>
  </si>
  <si>
    <t>Иванчиковский сельсовет</t>
  </si>
  <si>
    <t xml:space="preserve"> п. Медвенка</t>
  </si>
  <si>
    <t>Гостомлянский сельсовет</t>
  </si>
  <si>
    <t>Панинский сельсовет</t>
  </si>
  <si>
    <t>Зоринский сельсовет</t>
  </si>
  <si>
    <t>Быкановский сельсовет</t>
  </si>
  <si>
    <t>п. Прямицыно</t>
  </si>
  <si>
    <t>Ольховатский сельсовет</t>
  </si>
  <si>
    <t>Возовский сельсовет</t>
  </si>
  <si>
    <t xml:space="preserve">ООО "Коммунальщик" п.Прямицыно </t>
  </si>
  <si>
    <t xml:space="preserve">п.Пристень </t>
  </si>
  <si>
    <t xml:space="preserve"> Бобрышевский сельсовет</t>
  </si>
  <si>
    <t>Кировский сельсовет</t>
  </si>
  <si>
    <t xml:space="preserve"> Волжановский сельсовет</t>
  </si>
  <si>
    <t>Советский сельсовет</t>
  </si>
  <si>
    <t>Мансуроовский сельсовет</t>
  </si>
  <si>
    <t>пос. Солнцево</t>
  </si>
  <si>
    <t>п. Тим</t>
  </si>
  <si>
    <t>Дубовицкий сельсовет</t>
  </si>
  <si>
    <t>Сальновский сельсовет</t>
  </si>
  <si>
    <t xml:space="preserve">п. Черемисиново </t>
  </si>
  <si>
    <t>Краснополянский сельсовет</t>
  </si>
  <si>
    <t>Охочевский сельсовет</t>
  </si>
  <si>
    <t>Озерковский сельсовет</t>
  </si>
  <si>
    <t>Защитинский сельсовет</t>
  </si>
  <si>
    <t xml:space="preserve"> Знаменский сельсовет</t>
  </si>
  <si>
    <t>Вишневский сельсовет</t>
  </si>
  <si>
    <t>Кривцовский сельсовет</t>
  </si>
  <si>
    <t>Никольский сельсовет</t>
  </si>
  <si>
    <t>Пригородненский сельсовет</t>
  </si>
  <si>
    <t xml:space="preserve"> Кобыльский сельсовет</t>
  </si>
  <si>
    <t>Калиновский сельсовет</t>
  </si>
  <si>
    <t>Наименование муниципального района</t>
  </si>
  <si>
    <t>АО «Концерн Росэнергоатом»  (филиал «Курская атомная станция»)</t>
  </si>
  <si>
    <t xml:space="preserve">ООО "СЭМЗ" (Свободинский электромеханический завод) </t>
  </si>
  <si>
    <t>ОАО "Курскрезинотехника"</t>
  </si>
  <si>
    <t>Полянский сельсовет</t>
  </si>
  <si>
    <t>населению</t>
  </si>
  <si>
    <t>МКУ "Управление ОДОМС"</t>
  </si>
  <si>
    <t xml:space="preserve">ГУПКО "Курскоблжилкомхоз" </t>
  </si>
  <si>
    <t>ГУПКО "Курскоблжилкомхоз"</t>
  </si>
  <si>
    <t xml:space="preserve">ГУПКО "Курскоблжилкомхоз"             </t>
  </si>
  <si>
    <t xml:space="preserve">ГУПКО "Курскоблжилкомхоз"                 </t>
  </si>
  <si>
    <t xml:space="preserve">ГУПКО "Курскоблжилкомхоз"  </t>
  </si>
  <si>
    <t xml:space="preserve"> ГУПКО "Курскоблжилкомхоз"</t>
  </si>
  <si>
    <t xml:space="preserve"> ГУПКО "Курскоблжилкомхоз" </t>
  </si>
  <si>
    <t>Щетинский с/с</t>
  </si>
  <si>
    <t xml:space="preserve">населению на цели отопления </t>
  </si>
  <si>
    <t>населению на цели гвс</t>
  </si>
  <si>
    <t>ПАО"Квадра" (филиал "Курская генерация")</t>
  </si>
  <si>
    <t xml:space="preserve">ФГБУ "ЦЖКУ" Минобороны России в/г № 47  п. Сахаровка </t>
  </si>
  <si>
    <t>ФГБУ "ЦЖКУ" Минобороны России в/г 26 д. Халино</t>
  </si>
  <si>
    <t xml:space="preserve">ФГБУ "ЦЖКУ" Минобороны России </t>
  </si>
  <si>
    <t>Катыринский сельсовет</t>
  </si>
  <si>
    <t>Артюховский сельсовет</t>
  </si>
  <si>
    <t>Дьяконовский сельсовет</t>
  </si>
  <si>
    <t>Залиновский сельсовет</t>
  </si>
  <si>
    <t>Черницынский сельсовет</t>
  </si>
  <si>
    <t>Большедолженковский сельсовет</t>
  </si>
  <si>
    <t>ООО "Коммунальщик" (Прямицыно)</t>
  </si>
  <si>
    <t>Курский завод "Маяк" - филиал АО "Нижегородское научно-производственное объединение имени М.В.Фрунзе"</t>
  </si>
  <si>
    <t>ВСЕГО</t>
  </si>
  <si>
    <t>собственное потребление</t>
  </si>
  <si>
    <t>передача тепловой энергии</t>
  </si>
  <si>
    <t xml:space="preserve">ООО "Жилсервис ЗЖБИ-3"
</t>
  </si>
  <si>
    <t>п.Глушково</t>
  </si>
  <si>
    <t>п.Касторное</t>
  </si>
  <si>
    <t>Солнцевский район</t>
  </si>
  <si>
    <t>г.Щигры</t>
  </si>
  <si>
    <t>всего с перепродавцами</t>
  </si>
  <si>
    <t>всего без перепродавцов</t>
  </si>
  <si>
    <t>всего с собственным потреблением</t>
  </si>
  <si>
    <t>всего по потребит с учетом переподавцов (без собствен потребления)</t>
  </si>
  <si>
    <t>всего по потребит без учета переподавцов (без собствен потребления)</t>
  </si>
  <si>
    <t>рост,%</t>
  </si>
  <si>
    <t>рост (на цели отоп+гвс)</t>
  </si>
  <si>
    <t>бюдж+проч</t>
  </si>
  <si>
    <t>г курск</t>
  </si>
  <si>
    <t>на отопл</t>
  </si>
  <si>
    <t>п. Новокасторное</t>
  </si>
  <si>
    <t>Крупецкий сельсовет</t>
  </si>
  <si>
    <t>Ворошневский с/с</t>
  </si>
  <si>
    <t>тепловая энергия в горячей воде/передача</t>
  </si>
  <si>
    <t xml:space="preserve">     </t>
  </si>
  <si>
    <t xml:space="preserve">ПАО "Квадра" (филиал "Курская генерация") </t>
  </si>
  <si>
    <t>ООО "ПРОМ-ЭНЕРГО-СЕРВИС"</t>
  </si>
  <si>
    <t>АО"Курская строительная компания "Новый курс"</t>
  </si>
  <si>
    <t>ООО "Агропроект"</t>
  </si>
  <si>
    <t xml:space="preserve">нвв исходя из объемов по периодам календарной разбивки для расчета средних </t>
  </si>
  <si>
    <t>Средевзвешенные тарифы для населения</t>
  </si>
  <si>
    <t>Итого население на отопление</t>
  </si>
  <si>
    <t>Итого население ГВС</t>
  </si>
  <si>
    <t>на цели отопления</t>
  </si>
  <si>
    <t>на цели ГВС</t>
  </si>
  <si>
    <t>без АС и Курчатова</t>
  </si>
  <si>
    <t>Средневзвешенный населению</t>
  </si>
  <si>
    <t>Средневзвеш ЭОТ по населению</t>
  </si>
  <si>
    <t>Средневзвешенное НВВ на весь объем населения по ЭОТу</t>
  </si>
  <si>
    <t>отопление +ГВС</t>
  </si>
  <si>
    <t>Всего население (отопление +ГВС)</t>
  </si>
  <si>
    <t>Средевзвешенный тариф для населения (отопление +ГВС)</t>
  </si>
  <si>
    <t>1 полуг</t>
  </si>
  <si>
    <t>2 полуг</t>
  </si>
  <si>
    <t>год</t>
  </si>
  <si>
    <t>итого полезный отпуск по потребителям</t>
  </si>
  <si>
    <t>эот</t>
  </si>
  <si>
    <t>ГОД</t>
  </si>
  <si>
    <t>потребителям</t>
  </si>
  <si>
    <t>отклонение</t>
  </si>
  <si>
    <t>средневзвеш ЭОтариф на весь объем</t>
  </si>
  <si>
    <t>1 полугодие</t>
  </si>
  <si>
    <t>2 полугодие</t>
  </si>
  <si>
    <t>Среднегодовой тариф  по установленным в разрезе групп</t>
  </si>
  <si>
    <t>в полугодовых</t>
  </si>
  <si>
    <t xml:space="preserve"> в годовых объемах в т.ч. ГВС</t>
  </si>
  <si>
    <t xml:space="preserve"> в годовых объемах населен  по цене отопления</t>
  </si>
  <si>
    <t>отопление и ГВС</t>
  </si>
  <si>
    <t>Отклонение</t>
  </si>
  <si>
    <t>в шаблоне 2019</t>
  </si>
  <si>
    <t>нвв по ЭОТу по весм группам потребителей</t>
  </si>
  <si>
    <t>НВВ ГОД ПО ПОТР</t>
  </si>
  <si>
    <t>ИНН</t>
  </si>
  <si>
    <t>ООО "СБМ"</t>
  </si>
  <si>
    <t>01.01.</t>
  </si>
  <si>
    <t>01.07.</t>
  </si>
  <si>
    <t>Год</t>
  </si>
  <si>
    <t>НВВ годовое по установленным тарифам</t>
  </si>
  <si>
    <t>НВВ  года по населению в годовых объемах</t>
  </si>
  <si>
    <t>Тарифы (руб./Гкал с НДС)</t>
  </si>
  <si>
    <t>4633037132</t>
  </si>
  <si>
    <t>МУП "Глушковское ЖКХ"</t>
  </si>
  <si>
    <t>НЕ ТРОГАТЬ!!!</t>
  </si>
  <si>
    <t>Район</t>
  </si>
  <si>
    <t>Код района</t>
  </si>
  <si>
    <t>Сельсовет</t>
  </si>
  <si>
    <t>Код сельсовета</t>
  </si>
  <si>
    <t>Организация</t>
  </si>
  <si>
    <t>ГОДОВОЙ ОБЪЕМ ТЭ ВСЕГО</t>
  </si>
  <si>
    <t>ГОДОВОЙ ОБЪЕМ ТЭ ЮРЛИЦ</t>
  </si>
  <si>
    <t>ОБЪЕМ ТЭ ЮРЛИЦ 1 полугодия</t>
  </si>
  <si>
    <t>ОБЪЕМ ТЭ ЮРЛИЦ 2 полугодия</t>
  </si>
  <si>
    <t>ГОДОВОЙ ОБЪЕМ ТЭ НАСЕЛЕНИЯ</t>
  </si>
  <si>
    <t>ГОДОВОЙ ОБЪЕМ ТЭ НА ЦЕЛИ ОТОПЛЕНИЯ НАСЕЛЕНИЯ</t>
  </si>
  <si>
    <t>ГОДОВОЙ ОБЪЕМ ТЭ НА ЦЕЛИ ГВС НАСЕЛЕНИЯ</t>
  </si>
  <si>
    <t>ВСЕГО ОБЪЕМ ТЭ НАСЕЛЕНИЯ 1 полугодия</t>
  </si>
  <si>
    <t>ВСЕГО ОБЪЕМ ТЭ НАСЕЛЕНИЯ 2 полугодия</t>
  </si>
  <si>
    <t>ОБЪЕМ ТЭ 
на ОТОПЛ. НАСЕЛЕНИЯ 
1 полугодия</t>
  </si>
  <si>
    <t>ОБЪЕМ ТЭ 
на ОТОПЛ. НАСЕЛЕНИЯ 
2 полугодия</t>
  </si>
  <si>
    <t>ОБЪЕМ ТЭ 
НА ГВС  НАСЕЛЕНИЯ 
1 полугодия</t>
  </si>
  <si>
    <t>ОБЪЕМ ТЭ 
НА ГВС  НАСЕЛЕНИЯ 
2 полугодия</t>
  </si>
  <si>
    <t>Гкал</t>
  </si>
  <si>
    <t>тыс.руб.</t>
  </si>
  <si>
    <t xml:space="preserve">МУП "Гортеплосеть"
г.Курск </t>
  </si>
  <si>
    <t>МУП "Гортеплосеть"
г.Курчатов</t>
  </si>
  <si>
    <t>МУП "Гортеплосеть"
г.Железногорск</t>
  </si>
  <si>
    <t>НЕ ТРОГАТЬ!!!!!</t>
  </si>
  <si>
    <t>на ОТОПОЛ</t>
  </si>
  <si>
    <t>на ГВС</t>
  </si>
  <si>
    <t>Ивановскиий сельсовет</t>
  </si>
  <si>
    <t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t>
  </si>
  <si>
    <t>Прочие</t>
  </si>
  <si>
    <t>Рост населения к эоту</t>
  </si>
  <si>
    <t xml:space="preserve">если не выделять субсидии </t>
  </si>
  <si>
    <t xml:space="preserve"> с 1 января</t>
  </si>
  <si>
    <t>с 1 июля</t>
  </si>
  <si>
    <t>ГОДОВЫЕ объемы ( Гкал)</t>
  </si>
  <si>
    <t xml:space="preserve">НВВ ИСХОДЯ ИЗ ГОДОВЫХ ОБЪЕМОВ для роста тарифов по потребителям </t>
  </si>
  <si>
    <t>ВЫПАДАЮЩИЕ (субсидии)  принятые при установлении тарифов без ндс</t>
  </si>
  <si>
    <t xml:space="preserve">НВВ в тарифах годовая </t>
  </si>
  <si>
    <t>НВВ Предложения предприятий</t>
  </si>
  <si>
    <t>АО "Курский комбинат хлебопродуктов"</t>
  </si>
  <si>
    <t>1 января 2021</t>
  </si>
  <si>
    <t>1 июля 2021</t>
  </si>
  <si>
    <t xml:space="preserve">АО "ГАЗСПЕЦРЕСУРС" 
</t>
  </si>
  <si>
    <t>АО "Михайловский ГОК им. А.В. Варичева"</t>
  </si>
  <si>
    <t>НВВ годовое по  ЭОТ  по периодам календарной разбивки объемы</t>
  </si>
  <si>
    <t xml:space="preserve">МУП "Теплосеть" </t>
  </si>
  <si>
    <t xml:space="preserve">ПАО "Квадра" (филиал "Курская генерация")  </t>
  </si>
  <si>
    <t>п. Дичня</t>
  </si>
  <si>
    <t>да</t>
  </si>
  <si>
    <t>1 ПОЛУГОДИЕ ОБЪЕМ ТЭ ВСЕГО</t>
  </si>
  <si>
    <t>2 ПОЛУГОДИЕ ОБЪЕМ ТЭ ВСЕГО</t>
  </si>
  <si>
    <t>ООО «НИАГАРА+»</t>
  </si>
  <si>
    <t>Товарка по переподавцам</t>
  </si>
  <si>
    <t>руб./Гкал</t>
  </si>
  <si>
    <t>нет</t>
  </si>
  <si>
    <t>АО "Концерн Росэнергоатом" (филиал "Курская атомная станция")</t>
  </si>
  <si>
    <t>МУП "Кшенское" поселка Кшенский</t>
  </si>
  <si>
    <t>ООО "Коммунальщик" п. Прямицино</t>
  </si>
  <si>
    <t>ООО "Комфорт" г. Железногорск</t>
  </si>
  <si>
    <t>ООО"Теплосети п.Поныри"</t>
  </si>
  <si>
    <t>ФГБУ "Санаторий Марьино"</t>
  </si>
  <si>
    <t>АО "ГАЗСПЕЦРЕСУРС"</t>
  </si>
  <si>
    <t>АО "ККХП"</t>
  </si>
  <si>
    <t>АО "Михайловский ГОК  им. А.В. Варичева"</t>
  </si>
  <si>
    <t>АО "ТЭСК"</t>
  </si>
  <si>
    <t>МУП "Гортеплосеть"</t>
  </si>
  <si>
    <t>МУП "Городские тепловые сети" МО  "город Курчатов"</t>
  </si>
  <si>
    <t>МУП КЭТС г.Суджа</t>
  </si>
  <si>
    <t>МУП ЖКХ "Родник"</t>
  </si>
  <si>
    <t>МУП "Теплосеть"</t>
  </si>
  <si>
    <t>ООО "ГОТЭК-ЦПУ"</t>
  </si>
  <si>
    <t>ООО "Курские Внешние Коммунальные сети"</t>
  </si>
  <si>
    <t>ООО "Свободинский электромеханический завод"</t>
  </si>
  <si>
    <t>ООО "Хомутовские КТС"</t>
  </si>
  <si>
    <t>ООО "Южная генерирующая компания"</t>
  </si>
  <si>
    <t>ПАО "Квадра" (филиал "Курская генерация")</t>
  </si>
  <si>
    <t>Филиал ФГБУ "ЦЖКУ" Минобороны России по ЗВО</t>
  </si>
  <si>
    <t>ООО "Жилсервис ЗЖБИ-3"</t>
  </si>
  <si>
    <t>Белгородский территориальный участок Юго-Восточной дирекции по тепловодоснабжению - структурного подразделения Центральной дирекции по тепловодоснабжению - филиала ОАО "РЖД"</t>
  </si>
  <si>
    <t>МКУ "Управление обеспечения деятельности органов местного самоуправления"</t>
  </si>
  <si>
    <t>МУП "Гортеплосеть" города Железногорска</t>
  </si>
  <si>
    <t>АО "Курская строительная компания "Новый курс"</t>
  </si>
  <si>
    <t>МУП "Районное коммунальное хозяйство"</t>
  </si>
  <si>
    <t>Плательщик НДС</t>
  </si>
  <si>
    <t>Калькуляция затрат организаций теплоснабжения по региону Курская область</t>
  </si>
  <si>
    <t>ЗАТРАТЫ НА 2022</t>
  </si>
  <si>
    <t>ЭНЕРГОРЕСУРСЫ</t>
  </si>
  <si>
    <t>ОПЕРАЦИОННЫЕ</t>
  </si>
  <si>
    <t>НЕПОДКОНТРОЛЬНЫЕ</t>
  </si>
  <si>
    <t>Дельты</t>
  </si>
  <si>
    <t>ПРИБЫЛЬ</t>
  </si>
  <si>
    <r>
      <rPr>
        <b/>
        <sz val="20"/>
        <rFont val="Times New Roman"/>
        <family val="1"/>
        <charset val="204"/>
      </rPr>
      <t>2022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С НДС</t>
    </r>
  </si>
  <si>
    <r>
      <rPr>
        <b/>
        <sz val="14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ИТОГО</t>
    </r>
  </si>
  <si>
    <r>
      <rPr>
        <b/>
        <sz val="16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ЭНЕРГОРЕСУРСЫ</t>
    </r>
  </si>
  <si>
    <r>
      <rPr>
        <b/>
        <sz val="18"/>
        <color theme="1"/>
        <rFont val="Times New Roman"/>
        <family val="1"/>
        <charset val="204"/>
      </rPr>
      <t xml:space="preserve">2022 </t>
    </r>
    <r>
      <rPr>
        <b/>
        <sz val="11"/>
        <color theme="1"/>
        <rFont val="Times New Roman"/>
        <family val="1"/>
        <charset val="204"/>
      </rPr>
      <t>ЭНЕРГОРЕСУРСЫ</t>
    </r>
  </si>
  <si>
    <t>2022 ОПЕРАЦИОННЫЕ</t>
  </si>
  <si>
    <t>ТОПЛИВО</t>
  </si>
  <si>
    <t>ЭНЕРГИЯ</t>
  </si>
  <si>
    <t>Тех вода, водоотведение, теплоноситель</t>
  </si>
  <si>
    <t>ЭР</t>
  </si>
  <si>
    <t>ОР</t>
  </si>
  <si>
    <t>НР</t>
  </si>
  <si>
    <t>П</t>
  </si>
  <si>
    <t>А</t>
  </si>
  <si>
    <t>индекс</t>
  </si>
  <si>
    <t>№ п/п</t>
  </si>
  <si>
    <t>Субъект баланса</t>
  </si>
  <si>
    <t>Стоимость натурального топлива с учётом транспортировки (перевозки) (топливо на технологические цели)</t>
  </si>
  <si>
    <t>Газ природный</t>
  </si>
  <si>
    <t>Уголь</t>
  </si>
  <si>
    <t>Энергия</t>
  </si>
  <si>
    <t>Прочие виды топлива</t>
  </si>
  <si>
    <t>ВСЕГО Операционные расходы</t>
  </si>
  <si>
    <t>в том числе 
ФОТ</t>
  </si>
  <si>
    <t>Прочие операционные</t>
  </si>
  <si>
    <t>Неподконтрольные расходы</t>
  </si>
  <si>
    <t>ЕСН</t>
  </si>
  <si>
    <t>Амортизация</t>
  </si>
  <si>
    <t>Прочие неподконтрольные расходы</t>
  </si>
  <si>
    <t>Корректировка НВВ за прошлые периоды</t>
  </si>
  <si>
    <t>Прибыль</t>
  </si>
  <si>
    <t>Газ лимитный</t>
  </si>
  <si>
    <t xml:space="preserve">Энергия, в том числе </t>
  </si>
  <si>
    <t xml:space="preserve">энергия (покупная энергия) на технологические цели </t>
  </si>
  <si>
    <t xml:space="preserve">затраты на покупную тепловую энергию </t>
  </si>
  <si>
    <t>С коллекторов, всего</t>
  </si>
  <si>
    <t>от станций с мощностью производства &gt;= 25 МВт</t>
  </si>
  <si>
    <t>объём ТЭ</t>
  </si>
  <si>
    <t>цена ТЭ</t>
  </si>
  <si>
    <t>Из тепловой сети, всего</t>
  </si>
  <si>
    <t>от котельных (некомбинированная выработка)</t>
  </si>
  <si>
    <t>в том числе покупка потерь из тепловой сети</t>
  </si>
  <si>
    <t>от станций с мощностью производства &lt; 25 МВт</t>
  </si>
  <si>
    <t>затраты на оплату услуг по передаче тепловой энергии</t>
  </si>
  <si>
    <t>затраты на покупную электрическую энергию, по уровням напряжения:</t>
  </si>
  <si>
    <t>объём энергии</t>
  </si>
  <si>
    <t>объём заявленной мощности</t>
  </si>
  <si>
    <t>энергия НН (0,4 кВ и ниже)</t>
  </si>
  <si>
    <t>тариф на энергию</t>
  </si>
  <si>
    <t>заявленная мощность по НН (0,4 кВ и ниже)</t>
  </si>
  <si>
    <t>тариф на заявленную мощность</t>
  </si>
  <si>
    <t>годовой объём мощности</t>
  </si>
  <si>
    <t>энергия СН 2 (1-20 кВ)</t>
  </si>
  <si>
    <t>заявленная мощность по СН 2 (1-20 кВ)</t>
  </si>
  <si>
    <t>энергия СН 1 (35 кВ)</t>
  </si>
  <si>
    <t>заявленная мощность по СН 1 (35 кВ)</t>
  </si>
  <si>
    <t>энергия ВН (110 кВ и выше)</t>
  </si>
  <si>
    <t>заявленная мощность по ВН (110 кВ и выше)</t>
  </si>
  <si>
    <t xml:space="preserve">энергия на хозяйственные нужды </t>
  </si>
  <si>
    <t xml:space="preserve">тепловая энергия </t>
  </si>
  <si>
    <t xml:space="preserve">электрическая энергия </t>
  </si>
  <si>
    <t xml:space="preserve">Затраты на оплату труда </t>
  </si>
  <si>
    <t>оплата труда основных производственных рабочих</t>
  </si>
  <si>
    <t>оплата труда ремонтного персонала</t>
  </si>
  <si>
    <t>оплата труда цехового персонала</t>
  </si>
  <si>
    <t>оплата труда АУП</t>
  </si>
  <si>
    <t>оплата труда прочего персонала, относимого на регулируемый вид деятельности</t>
  </si>
  <si>
    <t xml:space="preserve">Отчисления на социальные нужды, в том числе </t>
  </si>
  <si>
    <t>отчисления на соц. нужды от заработной платы основных производственных рабочих</t>
  </si>
  <si>
    <t>отчисления на соц. нужды от заработной платы ремонтного персонала</t>
  </si>
  <si>
    <t>отчисления на соц. нужды от заработной платы цехового персонала</t>
  </si>
  <si>
    <t>отчисления на соц. нужды от заработной платы АУП</t>
  </si>
  <si>
    <t>отчисления на соц. нужды от заработной платы прочего персонала</t>
  </si>
  <si>
    <t>Холодная вода</t>
  </si>
  <si>
    <t>Цена</t>
  </si>
  <si>
    <t>Объём</t>
  </si>
  <si>
    <t>Водоотведение</t>
  </si>
  <si>
    <t>Теплоноситель</t>
  </si>
  <si>
    <t>Расходы, связанные с созданием нормативных запасов топлива</t>
  </si>
  <si>
    <t>Расходы на приобретение сырья и материалов</t>
  </si>
  <si>
    <t>Реагенты, фильтрующие и ионообменные материалы для водоподготовки</t>
  </si>
  <si>
    <t>ГСМ</t>
  </si>
  <si>
    <t>На текущий и капитальный ремонт</t>
  </si>
  <si>
    <t>На текущее содержание и техническое обслуживание</t>
  </si>
  <si>
    <t>Специальная одежда</t>
  </si>
  <si>
    <t>Хозяйственный инвентарь и другие вспомогательные материалы</t>
  </si>
  <si>
    <t>Прочие расходы</t>
  </si>
  <si>
    <t>Ремонт основных средств, выполняемый подрядным способом</t>
  </si>
  <si>
    <t>Расходы на оплату работ и услуг производственного характера, выполняемых по договорам со сторонними организациями</t>
  </si>
  <si>
    <t>транспортные услуги</t>
  </si>
  <si>
    <t>работы по техническому регламенту</t>
  </si>
  <si>
    <t>прочие услуги вспомогательных производств</t>
  </si>
  <si>
    <t>иные работы и услуги производственного характера</t>
  </si>
  <si>
    <t>Расходы на оплату иных работ и услуг, выполняемых по договорам с организациями, включая:</t>
  </si>
  <si>
    <t>услуги связи</t>
  </si>
  <si>
    <t xml:space="preserve">услуги вневедомственной охраны </t>
  </si>
  <si>
    <t xml:space="preserve">коммунальные услуги </t>
  </si>
  <si>
    <t>расходы на консультационные услуги</t>
  </si>
  <si>
    <t>расходы на юридические услуги</t>
  </si>
  <si>
    <t>расходы на информационные услуги</t>
  </si>
  <si>
    <t>расходы на аудиторские услуги</t>
  </si>
  <si>
    <t>услуги по стратегическому управлению организацией</t>
  </si>
  <si>
    <t>расходы по подготовке и освоению производства (пуско-наладочные работы)</t>
  </si>
  <si>
    <t>целевые средства на НИОКР</t>
  </si>
  <si>
    <t>средства на необязательное (дополнительное) страхование</t>
  </si>
  <si>
    <t>иные работы и услуги</t>
  </si>
  <si>
    <t>Аренда имущества</t>
  </si>
  <si>
    <t>Аренда объектов в государственной собственности</t>
  </si>
  <si>
    <t>Аренда объектов в муниципальной собственности</t>
  </si>
  <si>
    <t>Прочее</t>
  </si>
  <si>
    <t>Расходы на служебные командировки</t>
  </si>
  <si>
    <t>Расходы на обучение персонала</t>
  </si>
  <si>
    <t>Расходы на вывод из эксплуатации (в том числе на консервацию) и вывод из консервации</t>
  </si>
  <si>
    <t>Услуги банков</t>
  </si>
  <si>
    <t>Прочие операционные расходы</t>
  </si>
  <si>
    <t>Общехозяйственные расходы</t>
  </si>
  <si>
    <t>Иные расходы</t>
  </si>
  <si>
    <t>Расходы на оплату услуг, оказываемых организациями, осуществляющими регулируемые виды деятельности</t>
  </si>
  <si>
    <t>Арендная плата</t>
  </si>
  <si>
    <t>аренда производственных объектов</t>
  </si>
  <si>
    <t>аренда непроизводственных объектов</t>
  </si>
  <si>
    <t>Концессионная плата</t>
  </si>
  <si>
    <t>Лизинговый платеж</t>
  </si>
  <si>
    <t>лизинг производственных объектов</t>
  </si>
  <si>
    <t>лизинг непроизводственных объектов (без перехода права собственности на предмет лизинга к лизингополучателю)</t>
  </si>
  <si>
    <t>лизинг непроизводственных объектов  (с переходом права собственности на предмет лизинга к лизингополучателю)</t>
  </si>
  <si>
    <t>Расходы на уплату налогов, сборов и других обязательных платежей, в том числе:</t>
  </si>
  <si>
    <t>плата за выбросы и сбросы загрязняющих веществ в окружающую среду, размещение отходов и другие виды негативного воздействия на окружающую среду в пределах установленных нормативов и (или) лимитов</t>
  </si>
  <si>
    <t>расходы на обязательное страхование</t>
  </si>
  <si>
    <t>иные расходы</t>
  </si>
  <si>
    <t>уплата налогов, всего</t>
  </si>
  <si>
    <t>налог на имущество организаций</t>
  </si>
  <si>
    <t>земельный налог</t>
  </si>
  <si>
    <t>транспортный налог</t>
  </si>
  <si>
    <t>водный налог</t>
  </si>
  <si>
    <t>прочие налоги</t>
  </si>
  <si>
    <t>Расходы по сомнительным долгам</t>
  </si>
  <si>
    <t>Амортизация основных средств и нематериальных активов</t>
  </si>
  <si>
    <t>Амортизация производственного оборудования</t>
  </si>
  <si>
    <t>Амортизация иных основных средств и нематериальных активов</t>
  </si>
  <si>
    <t>Расходы на выплаты по договорам займа и кредитным договорам, включая проценты по ним</t>
  </si>
  <si>
    <t>Налог на прибыль</t>
  </si>
  <si>
    <t>Итого расходы</t>
  </si>
  <si>
    <t>Недополученные доходы / Выпадающие расходы</t>
  </si>
  <si>
    <t>По результатам досудебного рассмотрения споров</t>
  </si>
  <si>
    <t>По результатам рассмотрения разногласий</t>
  </si>
  <si>
    <t>Экономически обоснованные расходы, не учтённые органом регулирования при установлении тарифов на товары (работы, услуги) в прошлом периоде</t>
  </si>
  <si>
    <t>Экономически обоснованные расходы, понесённые за отчётные периоды:</t>
  </si>
  <si>
    <t>расходы, связанные с незапланированным ростом цен на продукцию</t>
  </si>
  <si>
    <t>расходы, связанные с обслуживанием заёмных средств, привлекаемых для покрытия недостатка средств</t>
  </si>
  <si>
    <t>в т.ч. покрытие недостатка средств, вызванного осуществлением расчётов за коммунальную услугу по отоплению равномерно в течение календарного года</t>
  </si>
  <si>
    <t>Выпадающие доходы/экономия средств от подключения объектов заявителей, подключаемая нагрузка которых не превышает 0,1 Гкал/ч (справочно)</t>
  </si>
  <si>
    <t>Другие</t>
  </si>
  <si>
    <t>Избыток средств, полученный за отчётные периоды регулирования</t>
  </si>
  <si>
    <t xml:space="preserve">Перекрёстное субсидирование, в том числе </t>
  </si>
  <si>
    <t>Перекрёстка между видами деятельности (электроэнергия и тепловая энергия)</t>
  </si>
  <si>
    <t>Перекрёстка между группами потребителей</t>
  </si>
  <si>
    <t>Расчётная предпринимательская прибыль</t>
  </si>
  <si>
    <t>Справочно: расчётная предпринимательская прибыль</t>
  </si>
  <si>
    <t>Нормативная прибыль / капитальные вложения / инвестиции</t>
  </si>
  <si>
    <t>Средства на возврат займов и кредитов, привлекаемых на реализацию ИП регулируемой организации, в размере, определяемом исходя из срока их возврата, предусмотренного договорами займа и кредитными договорами, в том числе расходы на привлечение и погашение таких займов и кредитов, а также проценты по таким займам и кредитам</t>
  </si>
  <si>
    <t>Расходы на капитальные вложения (инвестиции)</t>
  </si>
  <si>
    <t>Экономически обоснованные расходы на выплаты, предусмотренные коллективными договорами, не учитываемые при определении налоговой базы налога на прибыль (расходов, относимых на прибыль после налогообложения), в соответствии с НК РФ</t>
  </si>
  <si>
    <t>Справочно: Ставка налога на прибыль</t>
  </si>
  <si>
    <t>Норма доходности</t>
  </si>
  <si>
    <t>Справочно: Нормативный уровень прибыли</t>
  </si>
  <si>
    <t>Справочно: Расчёт источников финансирования капитальных вложений</t>
  </si>
  <si>
    <t>Объём капитальных вложений</t>
  </si>
  <si>
    <t>на производство электрической энергии</t>
  </si>
  <si>
    <t>на производство тепловой энергии</t>
  </si>
  <si>
    <t>на производство теплоносителя</t>
  </si>
  <si>
    <t>на передачу тепловой энергии</t>
  </si>
  <si>
    <t>прочее</t>
  </si>
  <si>
    <t>Финансирование капитальных вложений</t>
  </si>
  <si>
    <t>Амортизационных отчислений на полное восстановление основных фондов (100%)</t>
  </si>
  <si>
    <t>в т.ч за счёт переоценки основных средств и нематериальных активов</t>
  </si>
  <si>
    <t>Неиспользованных средств на начало года</t>
  </si>
  <si>
    <t>Федеральный бюджет</t>
  </si>
  <si>
    <t>Местный бюджет</t>
  </si>
  <si>
    <t>Региональный (республиканский, краевой, областной) бюджет</t>
  </si>
  <si>
    <t>Займы и кредиты</t>
  </si>
  <si>
    <t>Средства, полученные от реализации ценных бумаг</t>
  </si>
  <si>
    <t>Плата за подключение</t>
  </si>
  <si>
    <t>Метод индексации / Метод доходности инвестированного капитала / Метод сравнения аналогов</t>
  </si>
  <si>
    <t>Экономия операционных расходов</t>
  </si>
  <si>
    <t>Прирост экономии</t>
  </si>
  <si>
    <t>Суммарная экономия неподконтрольных расходов</t>
  </si>
  <si>
    <t>Экономия от снижения потребления ТЭ</t>
  </si>
  <si>
    <t>Экономия от снижения потребления ЭЭ</t>
  </si>
  <si>
    <t>Экономия от снижения потребления топлива</t>
  </si>
  <si>
    <t>Экономия от снижения потребления ХВС</t>
  </si>
  <si>
    <t>Экономия от снижения потребления ВО</t>
  </si>
  <si>
    <t>Экономия от снижения потребления ТН</t>
  </si>
  <si>
    <t>Экономия от снижения потребления ГВС</t>
  </si>
  <si>
    <t>Метод индексации</t>
  </si>
  <si>
    <t>Индекс эффективности расходов</t>
  </si>
  <si>
    <t>Индекс потребительских цен</t>
  </si>
  <si>
    <t>Индекс количества активов</t>
  </si>
  <si>
    <t>Результаты деятельности до перехода к регулированию цен (тарифов) на основе долгосрочных параметров регулирования, всего в том числе:</t>
  </si>
  <si>
    <t xml:space="preserve">экономически обоснованные расходы, понесенные в периоды регулирования, предшествовавшие переходу к регулированию цен (тарифов) на основе долгосрочных параметров регулирования </t>
  </si>
  <si>
    <t xml:space="preserve">доходы регулируемой организации, необоснованно полученные в периоды регулирования, предшествовавшие переходу к регулированию цен (тарифов) на основе долгосрочных параметров регулирования </t>
  </si>
  <si>
    <t>экономия от снижения потребления энергетических ресурсов, холодной воды и теплоносителя, достигнутая до перехода к регулированию цен (тарифов) на основе долгосрочных параметров регулирования</t>
  </si>
  <si>
    <t>Корректировка с целью учёта отклонения фактических значений параметров расчёта тарифов от значений, учтённых при установлении тарифов</t>
  </si>
  <si>
    <t>Корректировка с учётом надежности и качества реализуемых товаров, подлежащая учёту в НВВ</t>
  </si>
  <si>
    <t>Корректировка НВВ в связи с изменением (неисполнением) инвестиционной программы</t>
  </si>
  <si>
    <t>Корректировка, подлежащая учёту в НВВ и учитывающая отклонение фактических показателей энергосбережения и повышения энергетической эффективности от установленных плановых (расчётных) показателей и сроков реализации</t>
  </si>
  <si>
    <t>Суммарная корректировка НВВ</t>
  </si>
  <si>
    <t>Метод доходности инвестированного капитала</t>
  </si>
  <si>
    <t>Возврат капитала</t>
  </si>
  <si>
    <t>Полная величина инвестированного капитала</t>
  </si>
  <si>
    <t>Срок возврата инвестированного капитала</t>
  </si>
  <si>
    <t>Доход на инвестированный капитал</t>
  </si>
  <si>
    <t>Первоначальный размер инвестированного капитала</t>
  </si>
  <si>
    <t>Доходность первоначального размера инвестированного капитала</t>
  </si>
  <si>
    <t>База инвестированного капитала</t>
  </si>
  <si>
    <t>Чистый оборотный капитал</t>
  </si>
  <si>
    <t>Норматив чистого оборотного капитала</t>
  </si>
  <si>
    <t>Норма доходности нового капитала</t>
  </si>
  <si>
    <t>Норма доходности старого капитала</t>
  </si>
  <si>
    <t>Метод сравнения аналогов</t>
  </si>
  <si>
    <t>Базовый уровень расходов, связанных с осуществлением регулируемой деятельности</t>
  </si>
  <si>
    <t>Корректировка НВВ с учётом отклонения фактических значений ИПЦ от значений, учтённых при установлении тарифов</t>
  </si>
  <si>
    <t>Операционные расходы</t>
  </si>
  <si>
    <t>Расходы на приобретение (производство) энергетических ресурсов</t>
  </si>
  <si>
    <t>Необходимая валовая выручка без НДС</t>
  </si>
  <si>
    <t>Необходимая валовая выручка с НДС</t>
  </si>
  <si>
    <t>Товарная продукция на реализацию потребителям без учёта НДС</t>
  </si>
  <si>
    <t>Товарная продукция на реализацию потребителям с учётом НДС</t>
  </si>
  <si>
    <t>Полезный отпуск продукции всего:
[БТр!п.3] - транспортировка
[БПр!п.3 - БПр!п.3.1.2 - БПр!п.3.6 + БПр!п.5.2] - производство</t>
  </si>
  <si>
    <t>Полезный отпуск продукции на реализацию потребителям:
[БТр!п.3.2:3.5] - транспортировка
[БПр!п.3.2:3.5 + БПр!п.5.2.2 + БПр!п.5.2.3] - производство</t>
  </si>
  <si>
    <t>Коэффициент (доля) на реализацию потребителям</t>
  </si>
  <si>
    <t>Полезный отпуск продукции на реализацию потребителям без учёта перепродажи:
[БТр!п.3.3:3.5] - транспортировка
[БПр!п.3.2:3.4 + БПр!п.5.2.3] - производство</t>
  </si>
  <si>
    <t>Рентабельность</t>
  </si>
  <si>
    <t>Избыток средств / недополученный доход в текущем периоде регулирования</t>
  </si>
  <si>
    <t>Товарная продукция на реализацию потребителям без учёта НДС, исходя из утверждённых тарифов</t>
  </si>
  <si>
    <t>Полезный отпуск продукции на реализацию потребителям</t>
  </si>
  <si>
    <t>Организации-перепродавцы / энергоснабжающие организации</t>
  </si>
  <si>
    <t>средневзвешенный тариф</t>
  </si>
  <si>
    <t>объём</t>
  </si>
  <si>
    <t>Бюджетные потребители</t>
  </si>
  <si>
    <t>Население</t>
  </si>
  <si>
    <t>Дополнительные показатели</t>
  </si>
  <si>
    <t>Производство</t>
  </si>
  <si>
    <t>Стоимость основных средств, относимых на источники производства ТЭ</t>
  </si>
  <si>
    <t>Износ основных средств</t>
  </si>
  <si>
    <t>Передача</t>
  </si>
  <si>
    <t>Стоимость основных средств, относимых на передачу ТЭ</t>
  </si>
  <si>
    <t>Протяженность сетей (в двухтрубном исчислении)</t>
  </si>
  <si>
    <t>Протяженность сетей, подлежащих замене (износ 100%)</t>
  </si>
  <si>
    <t>Сбыт</t>
  </si>
  <si>
    <t>Полезный отпуск наиболее крупному единичному потребителю</t>
  </si>
  <si>
    <t>Численность обслуживаемого населения</t>
  </si>
  <si>
    <t>Количество абонентов</t>
  </si>
  <si>
    <t>тыс. Гкал</t>
  </si>
  <si>
    <t>тыс.кВт*ч</t>
  </si>
  <si>
    <t>МВт</t>
  </si>
  <si>
    <t>руб./кВт*ч</t>
  </si>
  <si>
    <t>руб./кВт*мес</t>
  </si>
  <si>
    <t>руб./куб.м</t>
  </si>
  <si>
    <t>тыс.куб.м</t>
  </si>
  <si>
    <t>%</t>
  </si>
  <si>
    <t>лет</t>
  </si>
  <si>
    <t>руб./ед.</t>
  </si>
  <si>
    <t>км</t>
  </si>
  <si>
    <t>чел.</t>
  </si>
  <si>
    <t>тыс.ед.</t>
  </si>
  <si>
    <t>4</t>
  </si>
  <si>
    <t>4.NGL</t>
  </si>
  <si>
    <t>4.COA</t>
  </si>
  <si>
    <t>4.ENR</t>
  </si>
  <si>
    <t>4.OTH</t>
  </si>
  <si>
    <t>5</t>
  </si>
  <si>
    <t>5.1</t>
  </si>
  <si>
    <t>5.1.1</t>
  </si>
  <si>
    <t>5.1.1.1</t>
  </si>
  <si>
    <t>5.1.1.1.1</t>
  </si>
  <si>
    <t>5.1.1.1.1.0.1</t>
  </si>
  <si>
    <t>5.1.1.1.1.0.2</t>
  </si>
  <si>
    <t>5.1.1.3</t>
  </si>
  <si>
    <t>5.1.1.3.1</t>
  </si>
  <si>
    <t>5.1.1.3.1.0.1</t>
  </si>
  <si>
    <t>5.1.1.3.1.0.2</t>
  </si>
  <si>
    <t>5.1.1.3.3</t>
  </si>
  <si>
    <t>5.1.1.3.3.0.1</t>
  </si>
  <si>
    <t>5.1.1.3.3.0.2</t>
  </si>
  <si>
    <t>5.1.1.4</t>
  </si>
  <si>
    <t>5.1.1.4.1</t>
  </si>
  <si>
    <t>5.1.1.4.2</t>
  </si>
  <si>
    <t>5.1.1.4.3</t>
  </si>
  <si>
    <t>5.1.2</t>
  </si>
  <si>
    <t>5.1.3</t>
  </si>
  <si>
    <t>5.1.3.0.1</t>
  </si>
  <si>
    <t>5.1.3.0.2</t>
  </si>
  <si>
    <t>5.1.3.1.1</t>
  </si>
  <si>
    <t>5.1.3.1.1.1</t>
  </si>
  <si>
    <t>5.1.3.1.1.2</t>
  </si>
  <si>
    <t>5.1.3.1.2</t>
  </si>
  <si>
    <t>5.1.3.1.2.1</t>
  </si>
  <si>
    <t>5.1.3.1.2.2</t>
  </si>
  <si>
    <t>5.1.3.2.1</t>
  </si>
  <si>
    <t>5.1.3.2.1.1</t>
  </si>
  <si>
    <t>5.1.3.2.1.2</t>
  </si>
  <si>
    <t>5.1.3.2.2</t>
  </si>
  <si>
    <t>5.1.3.2.2.1</t>
  </si>
  <si>
    <t>5.1.3.2.2.2</t>
  </si>
  <si>
    <t>5.1.3.3.1</t>
  </si>
  <si>
    <t>5.1.3.3.1.1</t>
  </si>
  <si>
    <t>5.1.3.3.1.2</t>
  </si>
  <si>
    <t>5.1.3.3.2</t>
  </si>
  <si>
    <t>5.1.3.3.2.1</t>
  </si>
  <si>
    <t>5.1.3.3.2.2</t>
  </si>
  <si>
    <t>5.1.3.4.1</t>
  </si>
  <si>
    <t>5.1.3.4.1.1</t>
  </si>
  <si>
    <t>5.1.3.4.1.2</t>
  </si>
  <si>
    <t>5.1.3.4.2</t>
  </si>
  <si>
    <t>5.1.3.4.2.1</t>
  </si>
  <si>
    <t>5.1.3.4.2.2</t>
  </si>
  <si>
    <t>5.2</t>
  </si>
  <si>
    <t>5.2.1</t>
  </si>
  <si>
    <t>5.2.2</t>
  </si>
  <si>
    <t>5.2.2.0.1</t>
  </si>
  <si>
    <t>5.2.2.0.2</t>
  </si>
  <si>
    <t>5.2.2.2.1</t>
  </si>
  <si>
    <t>5.2.2.2.1.1</t>
  </si>
  <si>
    <t>5.2.2.2.1.2</t>
  </si>
  <si>
    <t>5.2.2.4.2</t>
  </si>
  <si>
    <t>5.2.2.4.2.1</t>
  </si>
  <si>
    <t>5.2.2.4.2.2</t>
  </si>
  <si>
    <t>6</t>
  </si>
  <si>
    <t>6.1</t>
  </si>
  <si>
    <t>6.2</t>
  </si>
  <si>
    <t>6.3</t>
  </si>
  <si>
    <t>6.4</t>
  </si>
  <si>
    <t>6.5</t>
  </si>
  <si>
    <t>7</t>
  </si>
  <si>
    <t>7.1</t>
  </si>
  <si>
    <t>7.2</t>
  </si>
  <si>
    <t>7.3</t>
  </si>
  <si>
    <t>7.4</t>
  </si>
  <si>
    <t>7.5</t>
  </si>
  <si>
    <t>8</t>
  </si>
  <si>
    <t>8.1</t>
  </si>
  <si>
    <t>8.2</t>
  </si>
  <si>
    <t>9</t>
  </si>
  <si>
    <t>9.1</t>
  </si>
  <si>
    <t>9.2</t>
  </si>
  <si>
    <t>10</t>
  </si>
  <si>
    <t>11</t>
  </si>
  <si>
    <t>12</t>
  </si>
  <si>
    <t>12.1</t>
  </si>
  <si>
    <t>12.2</t>
  </si>
  <si>
    <t>12.3</t>
  </si>
  <si>
    <t>12.4</t>
  </si>
  <si>
    <t>12.5</t>
  </si>
  <si>
    <t>12.6</t>
  </si>
  <si>
    <t>12.7</t>
  </si>
  <si>
    <t>13</t>
  </si>
  <si>
    <t>14</t>
  </si>
  <si>
    <t>14.1</t>
  </si>
  <si>
    <t>14.2</t>
  </si>
  <si>
    <t>14.3</t>
  </si>
  <si>
    <t>14.4</t>
  </si>
  <si>
    <t>15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</si>
  <si>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</si>
  <si>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</si>
  <si>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</si>
  <si>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</si>
  <si>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</si>
  <si>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</si>
  <si>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</si>
  <si>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</si>
  <si>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</si>
  <si>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</si>
  <si>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</si>
  <si>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</si>
  <si>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RENT</t>
  </si>
  <si>
    <t>RENT.1</t>
  </si>
  <si>
    <t>RENT.2</t>
  </si>
  <si>
    <t>RENT.3</t>
  </si>
  <si>
    <t>16</t>
  </si>
  <si>
    <t>17</t>
  </si>
  <si>
    <t>18</t>
  </si>
  <si>
    <t>19</t>
  </si>
  <si>
    <t>20</t>
  </si>
  <si>
    <t>20.1</t>
  </si>
  <si>
    <t>20.2</t>
  </si>
  <si>
    <t>21</t>
  </si>
  <si>
    <t>22</t>
  </si>
  <si>
    <t>22.1</t>
  </si>
  <si>
    <t>22.2</t>
  </si>
  <si>
    <t>23</t>
  </si>
  <si>
    <t>24</t>
  </si>
  <si>
    <t>24.1</t>
  </si>
  <si>
    <t>24.2</t>
  </si>
  <si>
    <t>24.3</t>
  </si>
  <si>
    <t>25</t>
  </si>
  <si>
    <t>25.1</t>
  </si>
  <si>
    <t>25.2</t>
  </si>
  <si>
    <t>25.3</t>
  </si>
  <si>
    <t>25.4</t>
  </si>
  <si>
    <t>25.4.1</t>
  </si>
  <si>
    <t>25.4.2</t>
  </si>
  <si>
    <t>25.4.3</t>
  </si>
  <si>
    <t>25.4.4</t>
  </si>
  <si>
    <t>25.4.5</t>
  </si>
  <si>
    <t>26</t>
  </si>
  <si>
    <t>27</t>
  </si>
  <si>
    <t>27.1</t>
  </si>
  <si>
    <t>27.2</t>
  </si>
  <si>
    <t>28</t>
  </si>
  <si>
    <t>29</t>
  </si>
  <si>
    <t>30</t>
  </si>
  <si>
    <t>31</t>
  </si>
  <si>
    <t>32</t>
  </si>
  <si>
    <t>32.1</t>
  </si>
  <si>
    <t>32.2</t>
  </si>
  <si>
    <t>32.3</t>
  </si>
  <si>
    <t>32.4</t>
  </si>
  <si>
    <t>32.4.1</t>
  </si>
  <si>
    <t>32.4.2</t>
  </si>
  <si>
    <t>32.4.2.1</t>
  </si>
  <si>
    <t>32.5</t>
  </si>
  <si>
    <t>32.6</t>
  </si>
  <si>
    <t>33</t>
  </si>
  <si>
    <t>34</t>
  </si>
  <si>
    <t>34.1</t>
  </si>
  <si>
    <t>34.2</t>
  </si>
  <si>
    <t>35</t>
  </si>
  <si>
    <t>35.1</t>
  </si>
  <si>
    <t>35.1.1</t>
  </si>
  <si>
    <t>35.2</t>
  </si>
  <si>
    <t>35.2.1</t>
  </si>
  <si>
    <t>35.2.2</t>
  </si>
  <si>
    <t>35.2.3</t>
  </si>
  <si>
    <t>35.2.4</t>
  </si>
  <si>
    <t>35.2.5</t>
  </si>
  <si>
    <t>35.2.6</t>
  </si>
  <si>
    <t>35.2.7</t>
  </si>
  <si>
    <t>35.3</t>
  </si>
  <si>
    <t>35.3.1</t>
  </si>
  <si>
    <t>35.3.2</t>
  </si>
  <si>
    <t>35.3.3</t>
  </si>
  <si>
    <t>35.3.4</t>
  </si>
  <si>
    <t>35.3.5</t>
  </si>
  <si>
    <t>35.4</t>
  </si>
  <si>
    <t>35.4.1</t>
  </si>
  <si>
    <t>35.4.1.1</t>
  </si>
  <si>
    <t>35.4.2</t>
  </si>
  <si>
    <t>35.4.3</t>
  </si>
  <si>
    <t>35.4.4</t>
  </si>
  <si>
    <t>35.4.5</t>
  </si>
  <si>
    <t>35.4.6</t>
  </si>
  <si>
    <t>35.4.7</t>
  </si>
  <si>
    <t>35.4.8</t>
  </si>
  <si>
    <t>35.4.9</t>
  </si>
  <si>
    <t>35.4.10</t>
  </si>
  <si>
    <t>Э.1.1</t>
  </si>
  <si>
    <t>Э.1.1.1</t>
  </si>
  <si>
    <t>Э.1.2</t>
  </si>
  <si>
    <t>Э.1.3</t>
  </si>
  <si>
    <t>Э.1.3.1</t>
  </si>
  <si>
    <t>Э.1.4</t>
  </si>
  <si>
    <t>Э.1.4.1</t>
  </si>
  <si>
    <t>Э.1.5</t>
  </si>
  <si>
    <t>Э.1.5.1</t>
  </si>
  <si>
    <t>Э.1.6</t>
  </si>
  <si>
    <t>Э.1.6.1</t>
  </si>
  <si>
    <t>Э.1.7</t>
  </si>
  <si>
    <t>Э.1.7.1</t>
  </si>
  <si>
    <t>Э.1.8</t>
  </si>
  <si>
    <t>Э.1.8.1</t>
  </si>
  <si>
    <t>Э.1.9</t>
  </si>
  <si>
    <t>Э.1.9.1</t>
  </si>
  <si>
    <t>I.1.1</t>
  </si>
  <si>
    <t>I.1.2</t>
  </si>
  <si>
    <t>I.1.3</t>
  </si>
  <si>
    <t>I.2</t>
  </si>
  <si>
    <t>I.2.1</t>
  </si>
  <si>
    <t>I.2.2</t>
  </si>
  <si>
    <t>I.2.3</t>
  </si>
  <si>
    <t>I.3</t>
  </si>
  <si>
    <t>I.4</t>
  </si>
  <si>
    <t>I.5</t>
  </si>
  <si>
    <t>I.6</t>
  </si>
  <si>
    <t>I.7</t>
  </si>
  <si>
    <t>R.1.1</t>
  </si>
  <si>
    <t>R.1.2</t>
  </si>
  <si>
    <t>R.1.3</t>
  </si>
  <si>
    <t>R.1.2.1</t>
  </si>
  <si>
    <t>R.1.2.2</t>
  </si>
  <si>
    <t>R.1.3.1</t>
  </si>
  <si>
    <t>R.1.3.2</t>
  </si>
  <si>
    <t>R.1.3.3</t>
  </si>
  <si>
    <t>R.1.3.4</t>
  </si>
  <si>
    <t>R.1.3.4.1</t>
  </si>
  <si>
    <t>R.1.3.5</t>
  </si>
  <si>
    <t>R.1.3.5.1</t>
  </si>
  <si>
    <t>R.1.3.5.2</t>
  </si>
  <si>
    <t>R.1.4</t>
  </si>
  <si>
    <t>R.1.5</t>
  </si>
  <si>
    <t>A.1.1</t>
  </si>
  <si>
    <t>A.1.2</t>
  </si>
  <si>
    <t>A.1</t>
  </si>
  <si>
    <t>A.3</t>
  </si>
  <si>
    <t>S.1</t>
  </si>
  <si>
    <t>S.2</t>
  </si>
  <si>
    <t>S.3</t>
  </si>
  <si>
    <t>S.4</t>
  </si>
  <si>
    <t>UI.TOTAL</t>
  </si>
  <si>
    <t>UI.EC</t>
  </si>
  <si>
    <t>UI.COEF</t>
  </si>
  <si>
    <t>UI.PURE.EC</t>
  </si>
  <si>
    <t>PROFITABILITY</t>
  </si>
  <si>
    <t>D</t>
  </si>
  <si>
    <t>D.0.1</t>
  </si>
  <si>
    <t>D.0.2</t>
  </si>
  <si>
    <t>D.1</t>
  </si>
  <si>
    <t>D.1.1</t>
  </si>
  <si>
    <t>D.1.2</t>
  </si>
  <si>
    <t>D.2</t>
  </si>
  <si>
    <t>D.2.1</t>
  </si>
  <si>
    <t>D.2.2</t>
  </si>
  <si>
    <t>D.3</t>
  </si>
  <si>
    <t>D.3.1</t>
  </si>
  <si>
    <t>D.3.2</t>
  </si>
  <si>
    <t>D.4</t>
  </si>
  <si>
    <t>D.4.1</t>
  </si>
  <si>
    <t>D.4.2</t>
  </si>
  <si>
    <t>Не определено</t>
  </si>
  <si>
    <t>Всего по региону</t>
  </si>
  <si>
    <t>рост к 2021, %</t>
  </si>
  <si>
    <r>
      <rPr>
        <b/>
        <sz val="20"/>
        <color rgb="FFFF0000"/>
        <rFont val="Times New Roman"/>
        <family val="1"/>
        <charset val="204"/>
      </rPr>
      <t>2021</t>
    </r>
    <r>
      <rPr>
        <b/>
        <sz val="8"/>
        <color rgb="FFFF0000"/>
        <rFont val="Times New Roman"/>
        <family val="1"/>
        <charset val="204"/>
      </rPr>
      <t xml:space="preserve">
</t>
    </r>
    <r>
      <rPr>
        <b/>
        <sz val="14"/>
        <color rgb="FFFF0000"/>
        <rFont val="Times New Roman"/>
        <family val="1"/>
        <charset val="204"/>
      </rPr>
      <t>С НДС</t>
    </r>
  </si>
  <si>
    <r>
      <rPr>
        <b/>
        <sz val="20"/>
        <rFont val="Times New Roman"/>
        <family val="1"/>
        <charset val="204"/>
      </rPr>
      <t>2021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ИТОГО
без НДС</t>
    </r>
  </si>
  <si>
    <t>из тарифной выручки с НДС</t>
  </si>
  <si>
    <t>перепродо</t>
  </si>
  <si>
    <t>собст</t>
  </si>
  <si>
    <t>выбросить</t>
  </si>
  <si>
    <t>курска выбросить</t>
  </si>
  <si>
    <t>выбпрост перед</t>
  </si>
  <si>
    <t>Постановление КТЦ от 08.11.2018 №19 (в ред. пост. от 12.11.2019 №37, от 27.11.2020 №40, от 02.11.2021 №47)</t>
  </si>
  <si>
    <t>Постановление КТЦ от 23.11.2018 №28 (в ред. пост. от 29.10.2019 №27, 16.11.2020 №28, от 02.11.2021 №46)</t>
  </si>
  <si>
    <t>Постановление КТЦ от 07.12.2018 №40 (в ред. пост. от 06.11.2019 №32, 16.11.2020 №32, от 19.10.2021 №28)</t>
  </si>
  <si>
    <t xml:space="preserve">Постановление КТЦ от 02.11.2021 № 48 </t>
  </si>
  <si>
    <t>МУП "Хомутовское ЖКХ"</t>
  </si>
  <si>
    <t>Постановление КТЦ от 19.10.2021 № 34</t>
  </si>
  <si>
    <t>Постановление КТЦ от 12.11.2019 №35 (в ред.пост. от 19.10.2021 № 25 )</t>
  </si>
  <si>
    <t>Постановление КТЦ от от 01.10.2019  № 20 (в редакции постановлений КТЦ от 27.11.2020 № 38, от 02.11.2021 № 41)</t>
  </si>
  <si>
    <t>Постановление КТЦ от 11.12.2020 № 42 (в редакции от 02.11.2021 № 42)</t>
  </si>
  <si>
    <t>Постановление КТЦ от 03.12.2019 № 53 (в редакии постановлений КТЦ от 16.11.2020 № 18, от 19.10.2021 № 29)</t>
  </si>
  <si>
    <t>Постановление КТЦ от 30.11.2018 №35 (в редакции постановлений КТЦ от 06.11.2019 № 34, от 16.11.2020 № 24, от 16.11.2021 №___)</t>
  </si>
  <si>
    <t xml:space="preserve">Постановление КТЦ от 15.11.2018 №24 (в редакции постановления КТЦ
от  29.10.2019 № 24, от 16.11.2020 № 16, от 19.10.2021 № 26)
</t>
  </si>
  <si>
    <t xml:space="preserve">Постановление КТЦ от 08.11.2018 №22   (в редакции постановления КТЦ  от 29.10.2019 № 23, от 16.11.2020 №19, от 19.10.2021 № 27) 
</t>
  </si>
  <si>
    <t>Постановление КТЦ от 23.11.2018 №30 ( в редакции от 29.10.2019 № 25, от 16.12.2020 № 60, от 02.11.2021 № 44)</t>
  </si>
  <si>
    <t>Постановление КТЦ от 02.11.2021 № 45</t>
  </si>
  <si>
    <t>ООО" НИАГАРА +"</t>
  </si>
  <si>
    <t>Постановление КТЦ от 14.12.2018 № 48 (в редакции от 17.12.2019 № 73, от 11.12.2020 № 45, от 16.11.2021 № 50)</t>
  </si>
  <si>
    <t xml:space="preserve">Постановление КТЦ от 16.11.2021 № 54 </t>
  </si>
  <si>
    <t>Постановление КТЦ от 14.12.2018 №49 (в редакции постановления КТЦ от 10.12.2019 № 56, от 16.11.2020 № 26, от 16.11.2021 № 57))</t>
  </si>
  <si>
    <t>Постановление КТЦ от 07.12.2018 № 41 (в ред. пост. от 26.11.2019 № 48, от 16.11.2020 № 25, от 16.11.2021 № 51)</t>
  </si>
  <si>
    <t xml:space="preserve">Постановление КТЦ от 20.12.2018 № 66 (в редакции постановлений от 06.11.2019 
№ 33, от 16.11.2020 № 17, от 29.11.2021 № 66) </t>
  </si>
  <si>
    <t>Постановление КТЦ  от 17.12.2018 № 58 (в редакции постановлений КТЦ от 10.12.2019 № 58, от 27.11.2020 № 39, от 29.11.2021 № 67)</t>
  </si>
  <si>
    <t>Постановление КТЦ от 30.11.2018 №37 (в ред. от 19.11.2019 №40, от 16.11.2020 №27, от 29.11.2021 №65)</t>
  </si>
  <si>
    <t>Постановление КТЦ от 17.12.2018 №57 (в редакции постановления КТЦ от 10.12.2019 № 59, от 16.11.2020 № 31, от 29.11.2021 № 61)</t>
  </si>
  <si>
    <t>Постановление КТЦ от 29.10.2019 №28 (в ред пост от 19.12.2019 № 77, от 16.12.2020 № 65, от 29.11.2021 № 68)</t>
  </si>
  <si>
    <t>Постановление КТЦ от 20.12.2018 № 65 (в ред пост от 17.12.2019 № 70, от 11.12.2020 № 49, от 29.11.2021 № 69)</t>
  </si>
  <si>
    <t>Постановление КТЦ от 14.12.2018 № 54 (в редакции от 19.11.2019 № 41, от 11.12.2020 № 44, от 29.11.2021 № 63)</t>
  </si>
  <si>
    <t>Постановление КТЦ от 07.12.2018 № 43 (в ред. от 10.12.2019 № 55, от 27.11.2020 № 35, от 29.11.2021 № 64)</t>
  </si>
  <si>
    <t>Постановление КТЦ от 14.12.2018 №53 в редакции от 17.12.2019  № 72, от 16.12.2020 № 63, от 26.10.2021  № 35, от 16.11.2021  № 55</t>
  </si>
  <si>
    <t>Постановление КТЦ от 23.11.2018 №29 
(в редакцииях от 26.11.2019  №47, от 11.12.2020 №52, от 06.09.2021  № 22, от 02.11.2021  № 40)</t>
  </si>
  <si>
    <t>Постановление КТЦ от 20.12.2018 №68  (в редакциях постановления КТЦ
от 17.12.2019 № 71, от 11.12.2020 № 50, от  29.11.2021   № 59)</t>
  </si>
  <si>
    <t>Постановление КТЦ от 19.10.20201 № 32</t>
  </si>
  <si>
    <t>Постановление КТЦ от  29.11.2021  № 60</t>
  </si>
  <si>
    <t>Постановление КТЦ от 29.11.2021  № 60</t>
  </si>
  <si>
    <t>Постановление КТЦ от 30.11.2018 (в редакции постановлений от 19.11.2019 №42, от 27.11.2020 №41, от 02.11.2021 № 39)</t>
  </si>
  <si>
    <t>Постановление КТЦ от 20.12.2018 №64 (в редакции пост. от 19.12.2019 № 78, от 16.12.2020 № 66, от 14.12.2021 № 72)</t>
  </si>
  <si>
    <t>Постановление КТЦ от 16.12.2020 № 58 (в редакции от 14.12.2021 № 14)</t>
  </si>
  <si>
    <t>Постановление КТЦ от 10.12.2019 № 60 (в редакции от 16.12.2020 № 57, от 14.12.2021 № 73)</t>
  </si>
  <si>
    <t>Постановление КТЦ от 23.11.2018 №32 (в редакции постановлений КТЦ от 26.11.2019 № 49, от 11.12.2020 № 43, от 14.12.2021 № 77)</t>
  </si>
  <si>
    <t>от 08.11.2018 №21 (в редакции от 12.11.2019 № 39,  16.11.2020 № 30, от 14.12.2021 № 76)</t>
  </si>
  <si>
    <t>Лобазовский сельсовет</t>
  </si>
  <si>
    <t>Постановление КТЦ от 08.11.2018 №21 (в редакции от 12.11.2019 № 39, от  16.11.2020 № 30, от 14.12.2021 № 76)</t>
  </si>
  <si>
    <t>Постановление КТЦ от 08.11.2018 №21 (в редакции от 12.11.2019 № 39, от 14.12.2021 № 76)</t>
  </si>
  <si>
    <t>Постановление КТЦ от 14.12.2021 № 75</t>
  </si>
  <si>
    <t>Постановление КТЦ от 20.12.2018 (в ред. пост. от 19.12.2019 № 75, от 16.12.2020 № 62, от 20.12.2021 № 80)</t>
  </si>
  <si>
    <t>Постановление КТЦ от 18.12.2018 №62 (в редакции постановления КТЦ от 17.12.2019 № 74, от 16.12.2020 № 64, от 20.12.2021 № 79)</t>
  </si>
  <si>
    <t>Постановление КТЦ от 17.12.2018 №60(в редакции постановлений КТЦ от 17.12.2019 № 69, 16.11.2020  № 14, от 14.12.2021 № 78))</t>
  </si>
  <si>
    <t>бюджетные потребители</t>
  </si>
  <si>
    <t>Постановление КТЦ от 17.12.2018 № 59 (в редакции от 01.11.2019 № 31, от 11.12.2020 № 46, от 29.11.2021 № 62)</t>
  </si>
  <si>
    <t>Постановление КТЦ от 14.12.2018 №55 (в редакции постановления КТЦ от 10.12.2019 № 57, от 16.11.2020 № 15, от 16.11.2021 №58)</t>
  </si>
  <si>
    <t>Заолешенский сельсовет</t>
  </si>
  <si>
    <t>Гончаровский сельсовет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</si>
  <si>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2023</t>
    </r>
    <r>
      <rPr>
        <sz val="20"/>
        <rFont val="Times New Roman"/>
        <family val="1"/>
        <charset val="204"/>
      </rPr>
      <t xml:space="preserve"> год </t>
    </r>
  </si>
  <si>
    <t>ПО СОСТОЯНИЮ НА 30.11.2022</t>
  </si>
  <si>
    <t>НА 2023 ГОД С ВВЕДЕНИЕМ С 01.12.2022</t>
  </si>
  <si>
    <r>
      <t xml:space="preserve">ОБЪЕМЫ, ГКАЛ  </t>
    </r>
    <r>
      <rPr>
        <b/>
        <sz val="11"/>
        <color rgb="FFC00000"/>
        <rFont val="Times New Roman"/>
        <family val="1"/>
        <charset val="204"/>
      </rPr>
      <t xml:space="preserve">(В ПОЛУГОДОВОЙ РАЗБИВКЕ </t>
    </r>
    <r>
      <rPr>
        <b/>
        <sz val="11"/>
        <rFont val="Times New Roman"/>
        <family val="1"/>
        <charset val="204"/>
      </rPr>
      <t>)</t>
    </r>
  </si>
  <si>
    <t>1 полугодие 2022</t>
  </si>
  <si>
    <t>2 полугодие 2022</t>
  </si>
  <si>
    <t xml:space="preserve">ОБЪЕМЫ, ГКАЛ </t>
  </si>
  <si>
    <t>ПОЛЕЗНЫЙ ОТПУСК НА 2022</t>
  </si>
  <si>
    <t xml:space="preserve">НАСЕЛНИЕ </t>
  </si>
  <si>
    <t>БЮДЖЕТ И ПРОЧИЕ</t>
  </si>
  <si>
    <t>В ЦЕНАХ ПО СОСТОЯНИЮ НА 30.11.2022</t>
  </si>
  <si>
    <t>В ЦЕНАХ НА 2023 ГОД С ВВЕДЕНИЕМ С 01.12.2022</t>
  </si>
  <si>
    <t>МУП  "Теплосервис"</t>
  </si>
  <si>
    <t xml:space="preserve">АО "Электроагрегат" </t>
  </si>
  <si>
    <t xml:space="preserve">Постановление КТЦ от 16.11.2022 № 43
</t>
  </si>
  <si>
    <t>Постановление КТЦ от 14.12.2021 № 75 ( в редакции постановления КТЦ от 18.11.2022 № 54)</t>
  </si>
  <si>
    <t>Постановление КТЦ от 16.11.2021 №58 (в редакции постановления КТЦ от 16.11.2022 № 45)</t>
  </si>
  <si>
    <t>Постановление КТЦ от 16.12.2020 № 58 (в редакции постановлений КТЦ от 14.12.2021 № 74, от 18.11.2022 № 53)</t>
  </si>
  <si>
    <t xml:space="preserve">Постановление КТЦ от 15.11.2018 №24 (в редакции постановлений КТЦ
от  29.10.2019 № 24, от 16.11.2020 № 16, от 19.10.2021 № 26, от 18.11.2022 № 55)
</t>
  </si>
  <si>
    <t>Постановление КТЦ от 11.12.2020 № 42 (в редакции от 02.11.2021 № 42, от 16.11.2022 № 46)</t>
  </si>
  <si>
    <t xml:space="preserve"> "Теткинское МУП ЖКХ"</t>
  </si>
  <si>
    <t>Постановление КТЦ от 20.12.2018 № 65 (в ред пост от 17.12.2019 № 70, от 11.12.2020 № 49, от 29.11.2021 № 69, 23.11.2022 № 73)</t>
  </si>
  <si>
    <t>Постановление КТЦ от 16.11.2021 № 54 (в редакции постановления КТЦ от 18.11.2022 № 65)</t>
  </si>
  <si>
    <t>Постановление КТЦ от 30.11.2018 №35 (в редакции постановлений КТЦ от 06.11.2019 № 34, от 16.11.2020 № 24, от 16.11.2021 № 47)</t>
  </si>
  <si>
    <t>Постановление КТЦ от 10.12.2019 № 60 (в редакции постановлений от 16.12.2020 № 57, от 14.12.2021 № 73, от 18.11.2022 № 66)</t>
  </si>
  <si>
    <t>Постановление КТЦ от 30.11.2018 №37 (в ред.постановлений от 19.11.2019 №40, от 16.11.2020 №27, от 29.11.2021 №65, от 18.11.2022 № 64)</t>
  </si>
  <si>
    <t>Постановление КТЦ от 03.12.2019 № 53 (в редакии постановлений КТЦ от 16.11.2020 № 18, от 19.10.2021 № 29, от 16.11.2022 № 48)</t>
  </si>
  <si>
    <t>Постановление КТЦ от 25.11.2022 № 77</t>
  </si>
  <si>
    <t>Постановление КТЦ от 08.11.2018 №19 (в ред. пост. от 12.11.2019 № 37, от 27.11.2020 № 40, от 02.11.2021 № 47, от 18.11.2022 № 57)</t>
  </si>
  <si>
    <t>Постановление КТЦ от 30.11.2018 (в редакции постановлений от 19.11.2019 №42, от 27.11.2020 №41, от 02.11.2021 № 39, 18.11.2022 № 56)</t>
  </si>
  <si>
    <t>Постановление КТЦ от 20.12.2018 (в ред. пост. от 19.12.2019 № 75, от 16.12.2020 № 62, от 20.12.2021 № 80, от 25.11.2022 № 78)</t>
  </si>
  <si>
    <t>Постановление КТЦ от 23.11.2018 № 28 (в ред. пост. от 29.10.2019 № 27, 16.11.2020 № 28, от 02.11.2021 № 46, от 16.11.2022 № 51)</t>
  </si>
  <si>
    <t>Постановление КТЦ от 13.09.2022 № 23 (в ред. пост. от 16.11.2022 № 52)</t>
  </si>
  <si>
    <t>Постановление КТЦ от 07.12.2018 № 41 (в ред. пост. от 26.11.2019 № 48, от 16.11.2020 № 25, от 16.11.2021 № 51, от 23.11.2022 №72)</t>
  </si>
  <si>
    <t>Постановление КТЦ от 18.12.2018 №62 (в редакции постановления КТЦ от 17.12.2019 № 74, от 16.12.2020 № 64, от 20.12.2021 № 79, от 25.11.2022 №75 )</t>
  </si>
  <si>
    <t>Постановление КТЦ от 18.12.2018 №62 (в редакции постановления КТЦ от 17.12.2019 № 74, от 16.12.2020 № 64, от 20.12.2021 № 79, от 25.11.2022 №75)</t>
  </si>
  <si>
    <t>Постановление КТЦ от 18.12.2018 №62 (в редакции постановления КТЦ от 17.12.2019 № 74, от 16.12.2020 № 64, от 20.12.2021 № 79,  от 25.11.2022 №75)</t>
  </si>
  <si>
    <t>Постановление КТЦ от 19.10.20201 № 32 (в редакции постановлений комитета по тарифам и ценам Курской области от 18.11.2022 № 61)</t>
  </si>
  <si>
    <t>Постановление КТЦ от 08.11.2018 №21 (в редакции от 12.11.2019 № 39, от  16.11.2020 № 30, от 14.12.2021 № 76, от 16.11.2022 № 49)</t>
  </si>
  <si>
    <t>Постановление КТЦ от 07.12.2018 № 43 (в ред. от 10.12.2019 № 55, от 27.11.2020 № 35, от 29.11.2021 № 64, от 23.11.2022 № 69)</t>
  </si>
  <si>
    <t>Постановление КТЦ от 17.12.2018 № 59 (в редакции от 01.11.2019 № 31, от 11.12.2020 № 46, от 29.11.2021 № 62, 50 от 16.11.2022)</t>
  </si>
  <si>
    <t>Постановление КТЦ от 17.12.2018 №57 (в редакции постановления КТЦ от 10.12.2019 № 59, от 16.11.2020 № 31, от 29.11.2021 № 61, от 18.11.2022 № 60, от 29.11.2021 № 61)</t>
  </si>
  <si>
    <t>Постановление КТЦ от 14.12.2018 №53 в редакции от 17.12.2019  № 72, от 16.12.2020 № 63, от 26.10.2021  № 35, от 16.11.2021  № 55, от 25.11.2022 № 79</t>
  </si>
  <si>
    <t>ГУПКО С НДС</t>
  </si>
  <si>
    <t xml:space="preserve">Постановление КТЦ от 08.11.2018 №22   (в редакции постановления КТЦ  от 29.10.2019 № 23, от 16.11.2020 №19, от 19.10.2021 № 27, от 16.11.2022 № 41) 
</t>
  </si>
  <si>
    <t>Постановление КТЦ от 20.12.2018 №64 (в редакции пост. от 19.12.2019 № 78, от 16.12.2020 № 66, от 14.12.2021 № 72, от 25.11.2022 № 76)</t>
  </si>
  <si>
    <t>Постановление КТЦ от 17.12.2018 №60(в редакции постановлений КТЦ от 17.12.2019 № 69, 16.11.2020  № 14, от 14.12.2021 № 78, от 18.11.2022 № 63)</t>
  </si>
  <si>
    <t>Постановление КТЦ от 14.12.2018 № 54 (в редакции от 19.11.2019 № 41, от 11.12.2020 № 44, от 29.11.2021 № 63, от 23.11.2022  № 70)</t>
  </si>
  <si>
    <t>Постановление КТЦ от 23.11.2022 № 71</t>
  </si>
  <si>
    <t>Постановление КТЦ от 16.11.2022 № 40</t>
  </si>
  <si>
    <t>Постановление КТЦ от 18.11.2022 № 62</t>
  </si>
  <si>
    <t>Постановление КТЦ от 19.10.2021 № 34 ( в редакции постановлений КТЦ от 16.11.2022 № 42)</t>
  </si>
  <si>
    <t>Постановление КТЦ от 20.12.2018 №68  (в редакциях постановления КТЦ
от 17.12.2019 № 71, от 11.12.2020 № 50, от  29.11.2021   № 59, от 18.11.2022 № 59)</t>
  </si>
  <si>
    <t>Постановление КТЦ от 23.11.2018 №29 
(в редакцииях от 26.11.2019  №47, от 11.12.2020 №52, от 06.09.2021  № 22, от 02.11.2021  № 40, от 23.11.2022 № 67)</t>
  </si>
  <si>
    <t>Постановление КТЦ от  29.11.2021  № 60 (в редакции от 23.11.2022 № 68)</t>
  </si>
  <si>
    <t>Постановление КТЦ от 14.12.2018 № 48 (в редакции от 17.12.2019 № 73, от 11.12.2020 № 45, от 16.11.2021 № 50, от 16.11.2022 № 39 )</t>
  </si>
  <si>
    <t>Постановление КТЦ от 23.11.2018 №30 ( в редакции от 29.10.2019 № 25, от 16.12.2020 № 60, от 02.11.2021 № 44, от 16.11.2022 № 38)</t>
  </si>
  <si>
    <t>Постановление КТЦ  от 17.12.2018 № 58 (в редакции постановлений КТЦ от 10.12.2019 № 58, от 27.11.2020 № 39, от 29.11.2021 № 67, ОТ 18.11.2022 № 58 )</t>
  </si>
  <si>
    <t>Постановление КТЦ от 14.12.2018 №49 (в редакции постановления КТЦ от 10.12.2019 № 56, от 16.11.2020 № 26, от 16.11.2021 № 57, от от 16.11.2022 № 36 )</t>
  </si>
  <si>
    <t>Постановление КТЦ от 17.12.2018 №57 (в редакции постановления КТЦ от 10.12.2019 № 59, от 16.11.2020 № 31, от 29.11.2021 № 61, от  18.11.2022  № 60)</t>
  </si>
  <si>
    <t>Панинский сельсовет (Высоконские дворы)</t>
  </si>
  <si>
    <t>Верхнелюбажский сельсовет</t>
  </si>
  <si>
    <t xml:space="preserve">потери </t>
  </si>
  <si>
    <t>Курчатов покупка</t>
  </si>
  <si>
    <t>собсв нужды</t>
  </si>
  <si>
    <t>потери</t>
  </si>
  <si>
    <t>Полезный отпуск</t>
  </si>
  <si>
    <t>ООО "Энергосервисная компания ЖБК-1"</t>
  </si>
  <si>
    <t>Постановление КТЦ от 09.02.2023 № 3</t>
  </si>
  <si>
    <t>Постановление КТЦ от 06.07.2023 № 20</t>
  </si>
  <si>
    <t>ООО  "Теткинское МУП ЖКХ"</t>
  </si>
  <si>
    <t>Постановление КТЦ от 03.10.2023 № 29</t>
  </si>
  <si>
    <t xml:space="preserve">МКУ «ОДА поселка Кшенский» </t>
  </si>
  <si>
    <t>Постановление КТЦ от 12.10.2023 №31</t>
  </si>
  <si>
    <r>
      <t xml:space="preserve">НВВ в тарифах годовая  
</t>
    </r>
    <r>
      <rPr>
        <b/>
        <sz val="11"/>
        <color rgb="FFFF0000"/>
        <rFont val="Times New Roman"/>
        <family val="1"/>
        <charset val="204"/>
      </rPr>
      <t>(без НДС)</t>
    </r>
  </si>
  <si>
    <t>ПО СОСТОЯНИЮ НА 01.07.2024</t>
  </si>
  <si>
    <t>ПО СОСТОЯНИЮ НА 01.01.2024</t>
  </si>
  <si>
    <t>1 января 2024</t>
  </si>
  <si>
    <t>1 июля 2024</t>
  </si>
  <si>
    <t>В ЦЕНАХ ПО СОСТОЯНИЮ НА 01.01.2024</t>
  </si>
  <si>
    <t>В ЦЕНАХ ПО СОСТОЯНИЮ НА 01.07.2024</t>
  </si>
  <si>
    <t>ПОЛЕЗНЫЙ ОТПУСК НА 2024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</si>
  <si>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2024</t>
    </r>
    <r>
      <rPr>
        <sz val="20"/>
        <rFont val="Times New Roman"/>
        <family val="1"/>
        <charset val="204"/>
      </rPr>
      <t xml:space="preserve"> год </t>
    </r>
  </si>
  <si>
    <t xml:space="preserve">НВВ исходя из объемов по периодам календарной разбивки для расчета средних </t>
  </si>
  <si>
    <t xml:space="preserve">Постановление КТЦ от 26.10.2023 № 44
</t>
  </si>
  <si>
    <t>Постановление КТЦ от 11.12.2020 № 42 (в редакции от 02.11.2021 № 42, от 16.11.2022 № 46, от 26.10.2023 № 43)</t>
  </si>
  <si>
    <t xml:space="preserve">Постановление КТЦ от 26.10.2023 № 45
</t>
  </si>
  <si>
    <t>Постановление КТЦ от 30.11.2023 № 79</t>
  </si>
  <si>
    <t>Постановление КТЦ от 25.11.2022 № 77 (в редакции от 30.11.2023 № 80)</t>
  </si>
  <si>
    <t>Постановление КТЦ от 23.11.2023 № 68</t>
  </si>
  <si>
    <t>Постановление КТЦ от 30.11.2023 № 77</t>
  </si>
  <si>
    <t xml:space="preserve">Постановление КТЦ от 16.11.2022 № 43 (в редакции постановлений КТЦ от 06.07.2023 № 20, от 16.11.2023 № 58)
</t>
  </si>
  <si>
    <t>Постановление КТЦ от 16.12.2020 № 58 (в редакции постановлений КТЦ от 14.12.2021 № 74, от 18.11.2022 № 53, от 16.11.2023 № 60)</t>
  </si>
  <si>
    <t>Постановление КТЦ от 14.12.2021 № 75 ( в редакции постановления КТЦ от 18.11.2022 № 54, от 16.11.2023 № 59)</t>
  </si>
  <si>
    <t>Постановление КТЦ от 30.11.2023 № 76</t>
  </si>
  <si>
    <t>Постановление КТЦ от 14.03.2023 № 7 (в ред. пост. от 23.11.2023 № 72)</t>
  </si>
  <si>
    <t>Постановление КТЦ от 16.11.2023 № 66</t>
  </si>
  <si>
    <t>Постановление КТЦ от 05.12.2023 № 85</t>
  </si>
  <si>
    <t>Постановление КТЦ от 26.10.2023 № 48</t>
  </si>
  <si>
    <t>Постановление КТЦ от 13.09.2022 № 23 (в ред. пост. от 16.11.2022 № 52, от 26.10.2023 № 47)</t>
  </si>
  <si>
    <t>Постановление КТЦ от 16.11.2023 № 67</t>
  </si>
  <si>
    <t>Постановление КТЦ от 19.10.20201 № 32 (в редакции постановлений комитета по тарифам и ценам Курской области от 16.11.2023 № 64)</t>
  </si>
  <si>
    <t>Постановление КТЦ от 16.11.2023 № 65</t>
  </si>
  <si>
    <t>Постановление КТЦ от 28.11.2023 № 74</t>
  </si>
  <si>
    <t>Постановление КТЦ от 16.11.2023 № 53</t>
  </si>
  <si>
    <t>Постановление КТЦ от 18.11.2022 № 62 (в редакции от 16.11.2023 № 54)</t>
  </si>
  <si>
    <t xml:space="preserve">НАСЕЛЕНИЕ </t>
  </si>
  <si>
    <t>Постановление КТЦ от 23.11.2023 № 71</t>
  </si>
  <si>
    <t>Постановление КТЦ от 16.11.2022 № 40 (в редакции от 16.11.2023 № 56)</t>
  </si>
  <si>
    <t>Постановление КТЦ от 19.10.2021 № 34 ( в редакции постановлений КТЦ от 16.11.2022 № 42, от 16.11.2023 № 55)</t>
  </si>
  <si>
    <t>Постановление КТЦ от 23.11.2022 № 71 (в редакции от 16.11.2023 № 57)</t>
  </si>
  <si>
    <t>Постановление КТЦ от от 30.11.2023 № 78</t>
  </si>
  <si>
    <t>Постановление КТЦ от 05.12.2023 № 83</t>
  </si>
  <si>
    <t xml:space="preserve">Постановление КТЦ от 26.10.2023 № 42
</t>
  </si>
  <si>
    <t>Постановление КТЦ от 23.11.2023 №69</t>
  </si>
  <si>
    <t>Постановление КТЦ от 16.11.2021 №58 (в редакции постановления КТЦ от 16.11.2022 № 45, от 26.10.2023 № 39)</t>
  </si>
  <si>
    <t>АО"Квадра" (филиал "Курская генерация")</t>
  </si>
  <si>
    <t xml:space="preserve">АО "Квадра" (филиал "Курская генерация") </t>
  </si>
  <si>
    <t xml:space="preserve">АО "Квадра" (филиал "Курская генерация")  </t>
  </si>
  <si>
    <t>Постановление КТЦ от 18.12.2018 №62 (в редакции постановления КТЦ от 17.12.2019 № 74, от 16.12.2020 № 64, от 20.12.2021 № 79, от 25.11.2022 №75, от 30.03.2023 № 10, от 05.12.2023 № 84 )</t>
  </si>
  <si>
    <t>Постановление КТЦ от от 05.12.2023 № 82</t>
  </si>
  <si>
    <t>АО "Теплоэнергосбытовая компания" (АО "ТЭСК")</t>
  </si>
  <si>
    <t xml:space="preserve">Постановление КТЦ от 07.11.2023 № 50 </t>
  </si>
  <si>
    <t xml:space="preserve">Постановление КТЦ от 29.11.2021 № 60 (в ред от 3.11.2022 № 68, от 16.11.2023 № 61) </t>
  </si>
  <si>
    <t>Постановление КТЦ от 26.10.2023 № 41</t>
  </si>
  <si>
    <t xml:space="preserve">Индивидуальный предприниматель 
Рустем Мансур Исмаилович 
</t>
  </si>
  <si>
    <t>Постановление КТЦ от 12.10.2023 № 34</t>
  </si>
  <si>
    <r>
      <t xml:space="preserve">НВВ Предложения предприятия
</t>
    </r>
    <r>
      <rPr>
        <b/>
        <sz val="11"/>
        <color rgb="FFFF0000"/>
        <rFont val="Times New Roman"/>
        <family val="1"/>
        <charset val="204"/>
      </rPr>
      <t>(без НДС)</t>
    </r>
  </si>
  <si>
    <t>Бюджет</t>
  </si>
  <si>
    <t>Иванино</t>
  </si>
  <si>
    <t>ЭОТ 
1 полугодия 2024</t>
  </si>
  <si>
    <t>ЭОТ 
2 полугодия 2024</t>
  </si>
  <si>
    <t>СРЕДНЕВЗВЕШЕННЫЙ ТАРИФ НАСЕЛЕНИЯ
1 полуг 2024</t>
  </si>
  <si>
    <t>СРЕДНЕВЗВЕШЕННЫЙ ТАРИФ НАСЕЛЕНИЯ
2 полуг 2024</t>
  </si>
  <si>
    <t>Студенокский сельсовет</t>
  </si>
  <si>
    <t>Разветьевский сельсовет</t>
  </si>
  <si>
    <t>Михайловский сельсовет</t>
  </si>
  <si>
    <t>Новоандросовское сельсовет</t>
  </si>
  <si>
    <t>Клюквинский сельсовет</t>
  </si>
  <si>
    <t>Щетинский сельсовет</t>
  </si>
  <si>
    <t>Ворошневский сельсовет</t>
  </si>
  <si>
    <t>Тариф населения на ГВС
 1 полуг 2024</t>
  </si>
  <si>
    <t>Тариф населения на ГВС
 2 полуг 2024</t>
  </si>
  <si>
    <t>Тариф населения на ОТОПЛЕНИЕ
 1 полуг 2024</t>
  </si>
  <si>
    <t>Тариф населения на ОТОПЛЕНИЕ
 2 полуг 2024</t>
  </si>
  <si>
    <t>4631005223</t>
  </si>
  <si>
    <t>4603005599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</si>
  <si>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rFont val="Times New Roman"/>
        <family val="1"/>
        <charset val="204"/>
      </rPr>
      <t>2024</t>
    </r>
    <r>
      <rPr>
        <sz val="20"/>
        <rFont val="Times New Roman"/>
        <family val="1"/>
        <charset val="204"/>
      </rPr>
      <t xml:space="preserve"> год </t>
    </r>
  </si>
  <si>
    <t>Постановление КТЦ от 23.11.2018 №29 
(в редакцииях от 26.11.2019  №47, от 11.12.2020 №52, от 06.09.2021  № 22, от 02.11.2021  № 40, от 23.11.2022 № 67, от 05.12.2023 № 81)</t>
  </si>
  <si>
    <t>Постановление КТЦ от 14.12.2018 №49 (в редакции постановления КТЦ от 10.12.2019 № 56, от 16.11.2020 № 26, от 16.11.2021 № 57, от от 16.11.2022 № 36, от 16.11.2023 № 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</si>
</sst>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3" formatCode="_-* #,##0.00\ _₽_-;\-* #,##0.00\ _₽_-;_-* &quot;-&quot;??\ _₽_-;_-@_-"/>
    <numFmt numFmtId="164" formatCode="#,##0.00&quot;р.&quot;;\-#,##0.00&quot;р.&quot;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_-* #,##0_-;\-* #,##0_-;_-* &quot;-&quot;_-;_-@_-"/>
    <numFmt numFmtId="169" formatCode="_-* #,##0.00_-;\-* #,##0.00_-;_-* &quot;-&quot;??_-;_-@_-"/>
    <numFmt numFmtId="170" formatCode="#,##0.00_ ;\-#,##0.00\ "/>
    <numFmt numFmtId="171" formatCode="_-* #,##0.000_р_._-;\-* #,##0.000_р_._-;_-* &quot;-&quot;??_р_._-;_-@_-"/>
    <numFmt numFmtId="172" formatCode="0.0"/>
    <numFmt numFmtId="173" formatCode="0.000"/>
    <numFmt numFmtId="174" formatCode="#,##0.00_ ;[Red]\-#,##0.00\ "/>
    <numFmt numFmtId="175" formatCode="_-* #,##0.00[$€-1]_-;\-* #,##0.00[$€-1]_-;_-* &quot;-&quot;??[$€-1]_-"/>
    <numFmt numFmtId="176" formatCode="0.0%"/>
    <numFmt numFmtId="177" formatCode="0.0%_);\(0.0%\)"/>
    <numFmt numFmtId="178" formatCode="#,##0;\(#,##0\)"/>
    <numFmt numFmtId="179" formatCode="_-* #,##0.00\ _$_-;\-* #,##0.00\ _$_-;_-* &quot;-&quot;??\ _$_-;_-@_-"/>
    <numFmt numFmtId="180" formatCode="#.##0\.00"/>
    <numFmt numFmtId="181" formatCode="#\.00"/>
    <numFmt numFmtId="182" formatCode="\$#\.00"/>
    <numFmt numFmtId="183" formatCode="#\."/>
    <numFmt numFmtId="184" formatCode="General_)"/>
    <numFmt numFmtId="185" formatCode="_-* #,##0&quot;đ.&quot;_-;\-* #,##0&quot;đ.&quot;_-;_-* &quot;-&quot;&quot;đ.&quot;_-;_-@_-"/>
    <numFmt numFmtId="186" formatCode="_-* #,##0.00&quot;đ.&quot;_-;\-* #,##0.00&quot;đ.&quot;_-;_-* &quot;-&quot;??&quot;đ.&quot;_-;_-@_-"/>
    <numFmt numFmtId="187" formatCode="&quot;$&quot;#,##0_);[Red]\(&quot;$&quot;#,##0\)"/>
    <numFmt numFmtId="188" formatCode="\$#,##0\ ;\(\$#,##0\)"/>
    <numFmt numFmtId="189" formatCode="#,##0.000[$р.-419];\-#,##0.000[$р.-419]"/>
    <numFmt numFmtId="190" formatCode="_-* #,##0.0\ _$_-;\-* #,##0.0\ _$_-;_-* &quot;-&quot;??\ _$_-;_-@_-"/>
    <numFmt numFmtId="191" formatCode="#,##0.0_);\(#,##0.0\)"/>
    <numFmt numFmtId="192" formatCode="#,##0_ ;[Red]\-#,##0\ "/>
    <numFmt numFmtId="193" formatCode="#,##0_);[Blue]\(#,##0\)"/>
    <numFmt numFmtId="194" formatCode="#,##0__\ \ \ \ "/>
    <numFmt numFmtId="195" formatCode="_-&quot;£&quot;* #,##0_-;\-&quot;£&quot;* #,##0_-;_-&quot;£&quot;* &quot;-&quot;_-;_-@_-"/>
    <numFmt numFmtId="196" formatCode="_-&quot;£&quot;* #,##0.00_-;\-&quot;£&quot;* #,##0.00_-;_-&quot;£&quot;* &quot;-&quot;??_-;_-@_-"/>
    <numFmt numFmtId="197" formatCode="#,##0.00&quot;т.р.&quot;;\-#,##0.00&quot;т.р.&quot;"/>
    <numFmt numFmtId="198" formatCode="#,##0.0;[Red]#,##0.0"/>
    <numFmt numFmtId="199" formatCode="_-* #,##0_đ_._-;\-* #,##0_đ_._-;_-* &quot;-&quot;_đ_._-;_-@_-"/>
    <numFmt numFmtId="200" formatCode="_-* #,##0.00_đ_._-;\-* #,##0.00_đ_._-;_-* &quot;-&quot;??_đ_._-;_-@_-"/>
    <numFmt numFmtId="201" formatCode="\(#,##0.0\)"/>
    <numFmt numFmtId="202" formatCode="#,##0\ &quot;?.&quot;;\-#,##0\ &quot;?.&quot;"/>
    <numFmt numFmtId="203" formatCode="#,##0______;;&quot;------------      &quot;"/>
    <numFmt numFmtId="204" formatCode="#,##0.000_ ;\-#,##0.000\ "/>
    <numFmt numFmtId="205" formatCode="#,##0.000"/>
    <numFmt numFmtId="206" formatCode="_-* #,##0\ _р_._-;\-* #,##0\ _р_._-;_-* &quot;-&quot;\ _р_._-;_-@_-"/>
    <numFmt numFmtId="207" formatCode="_-* #,##0.00\ _р_._-;\-* #,##0.00\ _р_._-;_-* &quot;-&quot;??\ _р_._-;_-@_-"/>
    <numFmt numFmtId="208" formatCode="_-* #,##0\ _$_-;\-* #,##0\ _$_-;_-* &quot;-&quot;\ _$_-;_-@_-"/>
    <numFmt numFmtId="209" formatCode="#,##0.0"/>
    <numFmt numFmtId="210" formatCode="%#\.00"/>
    <numFmt numFmtId="211" formatCode="0.0000"/>
    <numFmt numFmtId="212" formatCode="0_)"/>
    <numFmt numFmtId="213" formatCode="_-* #,##0.0_р_._-;\-* #,##0.0_р_._-;_-* &quot;-&quot;??_р_._-;_-@_-"/>
    <numFmt numFmtId="214" formatCode="_-* #,##0.000_р_._-;\-* #,##0.000_р_._-;_-* &quot;-&quot;???_р_._-;_-@_-"/>
    <numFmt numFmtId="215" formatCode="0.00000"/>
    <numFmt numFmtId="216" formatCode="_-* #,##0_р_._-;\-* #,##0_р_._-;_-* &quot;-&quot;??_р_._-;_-@_-"/>
    <numFmt numFmtId="217" formatCode="_-* #,##0.0000_р_._-;\-* #,##0.0000_р_._-;_-* &quot;-&quot;??_р_._-;_-@_-"/>
    <numFmt numFmtId="218" formatCode="_-* #,##0.0000_р_._-;\-* #,##0.0000_р_._-;_-* &quot;-&quot;????_р_._-;_-@_-"/>
    <numFmt numFmtId="219" formatCode="_-* #,##0.00000_р_._-;\-* #,##0.00000_р_._-;_-* &quot;-&quot;??_р_._-;_-@_-"/>
    <numFmt numFmtId="220" formatCode="_-* #,##0.0000000_р_._-;\-* #,##0.0000000_р_._-;_-* &quot;-&quot;??_р_._-;_-@_-"/>
    <numFmt numFmtId="221" formatCode="_-* #,##0.0000\ _₽_-;\-* #,##0.0000\ _₽_-;_-* &quot;-&quot;????\ _₽_-;_-@_-"/>
    <numFmt numFmtId="222" formatCode="_-* #,##0.000\ _₽_-;\-* #,##0.000\ _₽_-;_-* &quot;-&quot;???\ _₽_-;_-@_-"/>
    <numFmt numFmtId="223" formatCode="0.0000000"/>
    <numFmt numFmtId="224" formatCode="0.000000"/>
  </numFmts>
  <fonts count="2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10"/>
      <name val="Helv"/>
      <charset val="204"/>
    </font>
    <font>
      <sz val="8"/>
      <name val="Arial"/>
      <family val="2"/>
      <charset val="204"/>
    </font>
    <font>
      <sz val="8"/>
      <color indexed="12"/>
      <name val="Arial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sz val="10"/>
      <name val="Arial Cyr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sz val="9"/>
      <color indexed="56"/>
      <name val="Frutiger 45 Light"/>
      <family val="2"/>
    </font>
    <font>
      <sz val="10"/>
      <name val="Times New Roman"/>
      <family val="1"/>
    </font>
    <font>
      <b/>
      <sz val="11"/>
      <color indexed="52"/>
      <name val="Calibri"/>
      <family val="2"/>
      <charset val="204"/>
    </font>
    <font>
      <sz val="10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0"/>
      <color indexed="57"/>
      <name val="Wingdings"/>
      <charset val="2"/>
    </font>
    <font>
      <sz val="8"/>
      <name val="Palatino"/>
      <family val="1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Arial Cyr"/>
      <charset val="204"/>
    </font>
    <font>
      <sz val="12"/>
      <name val="Tms Rmn"/>
      <charset val="204"/>
    </font>
    <font>
      <u/>
      <sz val="8"/>
      <color indexed="12"/>
      <name val="Arial Cyr"/>
      <charset val="204"/>
    </font>
    <font>
      <i/>
      <sz val="11"/>
      <color indexed="23"/>
      <name val="Calibri"/>
      <family val="2"/>
      <charset val="204"/>
    </font>
    <font>
      <sz val="18"/>
      <name val="Arial"/>
      <family val="2"/>
      <charset val="204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10"/>
      <name val="Courier"/>
      <family val="1"/>
      <charset val="204"/>
    </font>
    <font>
      <u/>
      <sz val="10"/>
      <color indexed="36"/>
      <name val="Arial Cyr"/>
      <charset val="204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0"/>
      <color indexed="1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8"/>
      <color indexed="13"/>
      <name val="Arial"/>
      <family val="2"/>
    </font>
    <font>
      <b/>
      <sz val="8"/>
      <name val="Arial Cyr"/>
      <charset val="204"/>
    </font>
    <font>
      <u/>
      <sz val="10"/>
      <color indexed="12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b/>
      <i/>
      <sz val="11"/>
      <color indexed="12"/>
      <name val="Arial Cyr"/>
      <family val="2"/>
      <charset val="204"/>
    </font>
    <font>
      <sz val="11"/>
      <color indexed="62"/>
      <name val="Calibri"/>
      <family val="2"/>
      <charset val="204"/>
    </font>
    <font>
      <sz val="8"/>
      <color indexed="12"/>
      <name val="Palatino"/>
      <family val="1"/>
    </font>
    <font>
      <sz val="11"/>
      <color indexed="52"/>
      <name val="Calibri"/>
      <family val="2"/>
      <charset val="204"/>
    </font>
    <font>
      <sz val="12"/>
      <name val="Gill Sans"/>
    </font>
    <font>
      <i/>
      <sz val="10"/>
      <name val="PragmaticaC"/>
      <charset val="204"/>
    </font>
    <font>
      <sz val="11"/>
      <color indexed="60"/>
      <name val="Calibri"/>
      <family val="2"/>
      <charset val="204"/>
    </font>
    <font>
      <sz val="12"/>
      <name val="Arial"/>
      <family val="2"/>
      <charset val="204"/>
    </font>
    <font>
      <sz val="14"/>
      <name val="NewtonC"/>
      <charset val="204"/>
    </font>
    <font>
      <sz val="8"/>
      <name val="Helv"/>
      <charset val="204"/>
    </font>
    <font>
      <sz val="10"/>
      <name val="Palatino"/>
      <family val="1"/>
    </font>
    <font>
      <sz val="9"/>
      <name val="Tahoma"/>
      <family val="2"/>
      <charset val="204"/>
    </font>
    <font>
      <b/>
      <sz val="11"/>
      <color indexed="63"/>
      <name val="Calibri"/>
      <family val="2"/>
      <charset val="204"/>
    </font>
    <font>
      <sz val="10"/>
      <color indexed="16"/>
      <name val="Helvetica-Black"/>
    </font>
    <font>
      <sz val="22"/>
      <name val="UBSHeadline"/>
      <family val="1"/>
    </font>
    <font>
      <u/>
      <sz val="10"/>
      <name val="Arial"/>
      <family val="2"/>
      <charset val="204"/>
    </font>
    <font>
      <sz val="8"/>
      <name val="Helv"/>
    </font>
    <font>
      <i/>
      <sz val="12"/>
      <name val="Tms Rmn"/>
      <charset val="204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sz val="8"/>
      <name val="Arial Cyr"/>
      <family val="2"/>
      <charset val="204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color indexed="9"/>
      <name val="Arial Cyr"/>
      <charset val="204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18"/>
      <color indexed="56"/>
      <name val="Cambria"/>
      <family val="2"/>
      <charset val="204"/>
    </font>
    <font>
      <sz val="11"/>
      <name val="Tahoma"/>
      <family val="2"/>
      <charset val="204"/>
    </font>
    <font>
      <b/>
      <sz val="11"/>
      <color indexed="8"/>
      <name val="Calibri"/>
      <family val="2"/>
      <charset val="204"/>
    </font>
    <font>
      <b/>
      <sz val="8"/>
      <name val="Palatino"/>
      <family val="1"/>
    </font>
    <font>
      <u/>
      <sz val="8"/>
      <color indexed="8"/>
      <name val="Arial"/>
      <family val="2"/>
    </font>
    <font>
      <sz val="11"/>
      <color indexed="10"/>
      <name val="Calibri"/>
      <family val="2"/>
      <charset val="204"/>
    </font>
    <font>
      <b/>
      <i/>
      <sz val="8"/>
      <name val="Helv"/>
    </font>
    <font>
      <b/>
      <sz val="8"/>
      <name val="Arial Cyr"/>
      <family val="2"/>
      <charset val="204"/>
    </font>
    <font>
      <u/>
      <sz val="9"/>
      <color indexed="32"/>
      <name val="Tahoma"/>
      <family val="2"/>
      <charset val="204"/>
    </font>
    <font>
      <u/>
      <sz val="9"/>
      <color indexed="12"/>
      <name val="Tahoma"/>
      <family val="2"/>
      <charset val="204"/>
    </font>
    <font>
      <u/>
      <sz val="9"/>
      <color indexed="18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u/>
      <sz val="10"/>
      <color indexed="12"/>
      <name val="Times New Roman Cyr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Tahoma"/>
      <family val="2"/>
      <charset val="204"/>
    </font>
    <font>
      <b/>
      <sz val="14"/>
      <name val="Arial Cyr"/>
      <family val="2"/>
      <charset val="204"/>
    </font>
    <font>
      <b/>
      <sz val="14"/>
      <name val="Arial"/>
      <family val="2"/>
      <charset val="204"/>
    </font>
    <font>
      <b/>
      <sz val="10"/>
      <name val="Arial Cyr"/>
      <charset val="204"/>
    </font>
    <font>
      <sz val="10"/>
      <color indexed="9"/>
      <name val="Arial Cyr"/>
      <family val="2"/>
      <charset val="204"/>
    </font>
    <font>
      <sz val="12"/>
      <name val="Arial Cyr"/>
      <family val="2"/>
      <charset val="204"/>
    </font>
    <font>
      <sz val="10"/>
      <color indexed="64"/>
      <name val="Arial"/>
      <family val="2"/>
      <charset val="204"/>
    </font>
    <font>
      <sz val="8"/>
      <name val="Arial"/>
      <family val="2"/>
    </font>
    <font>
      <b/>
      <i/>
      <sz val="10"/>
      <color indexed="10"/>
      <name val="Arial Cyr"/>
      <family val="2"/>
      <charset val="204"/>
    </font>
    <font>
      <b/>
      <sz val="11"/>
      <name val="Arial Cyr"/>
      <family val="2"/>
      <charset val="204"/>
    </font>
    <font>
      <sz val="11"/>
      <name val="Times New Roman CYR"/>
      <family val="1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4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u/>
      <sz val="9"/>
      <color rgb="FF0000FF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i/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i/>
      <sz val="11"/>
      <color rgb="FF0000CC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i/>
      <sz val="11"/>
      <color rgb="FFC00000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1"/>
      <color rgb="FF0000CC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color rgb="FFC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i/>
      <sz val="10"/>
      <color rgb="FFC00000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2"/>
      <color indexed="18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color indexed="18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CC"/>
      <name val="Times New Roman"/>
      <family val="1"/>
      <charset val="204"/>
    </font>
    <font>
      <sz val="12"/>
      <color indexed="18"/>
      <name val="Times New Roman"/>
      <family val="1"/>
      <charset val="204"/>
    </font>
    <font>
      <sz val="12"/>
      <color rgb="FF0000CC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sz val="14"/>
      <color rgb="FF0000CC"/>
      <name val="Times New Roman"/>
      <family val="1"/>
      <charset val="204"/>
    </font>
    <font>
      <b/>
      <sz val="14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6600"/>
      <name val="Times New Roman"/>
      <family val="1"/>
      <charset val="204"/>
    </font>
    <font>
      <b/>
      <sz val="11"/>
      <color rgb="FF006600"/>
      <name val="Times New Roman"/>
      <family val="1"/>
      <charset val="204"/>
    </font>
    <font>
      <sz val="11"/>
      <color rgb="FF3F3FFF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indexed="81"/>
      <name val="Tahoma"/>
      <family val="2"/>
      <charset val="204"/>
    </font>
    <font>
      <sz val="11"/>
      <color indexed="81"/>
      <name val="Tahoma"/>
      <family val="2"/>
      <charset val="204"/>
    </font>
    <font>
      <b/>
      <sz val="22"/>
      <color rgb="FFFF0000"/>
      <name val="Calibri"/>
      <family val="2"/>
      <charset val="204"/>
      <scheme val="minor"/>
    </font>
  </fonts>
  <fills count="9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lightUp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8FFF8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5FF05"/>
        <bgColor indexed="64"/>
      </patternFill>
    </fill>
    <fill>
      <patternFill patternType="solid">
        <fgColor rgb="FFC2A3FF"/>
        <bgColor indexed="64"/>
      </patternFill>
    </fill>
    <fill>
      <patternFill patternType="solid">
        <fgColor rgb="FFDECD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6FFC9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theme="6" tint="0.39997558519241921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22"/>
      </top>
      <bottom/>
      <diagonal/>
    </border>
    <border>
      <left style="medium">
        <color indexed="64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thick">
        <color indexed="58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/>
      <top style="thin">
        <color indexed="22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medium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/>
      <top style="thin">
        <color indexed="22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/>
      <top style="thin">
        <color indexed="22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/>
      <bottom style="hair">
        <color auto="1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22"/>
      </right>
      <top style="hair">
        <color auto="1"/>
      </top>
      <bottom style="hair">
        <color auto="1"/>
      </bottom>
      <diagonal/>
    </border>
    <border>
      <left style="thick">
        <color indexed="58"/>
      </left>
      <right style="thick">
        <color indexed="58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448">
    <xf numFmtId="0" fontId="0" fillId="0" borderId="0"/>
    <xf numFmtId="0" fontId="11" fillId="0" borderId="0"/>
    <xf numFmtId="175" fontId="11" fillId="0" borderId="0"/>
    <xf numFmtId="0" fontId="12" fillId="0" borderId="0"/>
    <xf numFmtId="0" fontId="10" fillId="0" borderId="0"/>
    <xf numFmtId="176" fontId="13" fillId="0" borderId="0">
      <alignment vertical="top"/>
    </xf>
    <xf numFmtId="176" fontId="14" fillId="0" borderId="0">
      <alignment vertical="top"/>
    </xf>
    <xf numFmtId="177" fontId="14" fillId="2" borderId="0">
      <alignment vertical="top"/>
    </xf>
    <xf numFmtId="176" fontId="14" fillId="3" borderId="0">
      <alignment vertical="top"/>
    </xf>
    <xf numFmtId="40" fontId="15" fillId="0" borderId="0" applyFont="0" applyFill="0" applyBorder="0" applyAlignment="0" applyProtection="0"/>
    <xf numFmtId="0" fontId="16" fillId="0" borderId="0"/>
    <xf numFmtId="0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0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7" fillId="0" borderId="0"/>
    <xf numFmtId="0" fontId="11" fillId="0" borderId="0"/>
    <xf numFmtId="175" fontId="11" fillId="0" borderId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" fillId="0" borderId="0"/>
    <xf numFmtId="0" fontId="12" fillId="0" borderId="0"/>
    <xf numFmtId="175" fontId="12" fillId="0" borderId="0"/>
    <xf numFmtId="179" fontId="1" fillId="0" borderId="0" applyFont="0" applyFill="0" applyBorder="0" applyAlignment="0" applyProtection="0"/>
    <xf numFmtId="180" fontId="18" fillId="0" borderId="0">
      <protection locked="0"/>
    </xf>
    <xf numFmtId="181" fontId="18" fillId="0" borderId="0">
      <protection locked="0"/>
    </xf>
    <xf numFmtId="180" fontId="18" fillId="0" borderId="0">
      <protection locked="0"/>
    </xf>
    <xf numFmtId="180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2" fontId="18" fillId="0" borderId="0">
      <protection locked="0"/>
    </xf>
    <xf numFmtId="182" fontId="18" fillId="0" borderId="0">
      <protection locked="0"/>
    </xf>
    <xf numFmtId="183" fontId="18" fillId="0" borderId="2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8" fillId="0" borderId="2">
      <protection locked="0"/>
    </xf>
    <xf numFmtId="183" fontId="18" fillId="0" borderId="2">
      <protection locked="0"/>
    </xf>
    <xf numFmtId="0" fontId="20" fillId="5" borderId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7" fillId="0" borderId="0"/>
    <xf numFmtId="184" fontId="24" fillId="0" borderId="3">
      <protection locked="0"/>
    </xf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5" fillId="7" borderId="0" applyNumberFormat="0" applyBorder="0" applyAlignment="0" applyProtection="0"/>
    <xf numFmtId="10" fontId="26" fillId="0" borderId="0" applyNumberFormat="0" applyFill="0" applyBorder="0" applyAlignment="0"/>
    <xf numFmtId="0" fontId="27" fillId="0" borderId="0"/>
    <xf numFmtId="0" fontId="28" fillId="24" borderId="4" applyNumberFormat="0" applyAlignment="0" applyProtection="0"/>
    <xf numFmtId="0" fontId="29" fillId="0" borderId="4" applyNumberFormat="0" applyAlignment="0">
      <protection locked="0"/>
    </xf>
    <xf numFmtId="0" fontId="30" fillId="25" borderId="5" applyNumberFormat="0" applyAlignment="0" applyProtection="0"/>
    <xf numFmtId="0" fontId="31" fillId="0" borderId="6">
      <alignment horizontal="left" vertical="center"/>
    </xf>
    <xf numFmtId="165" fontId="1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167" fontId="10" fillId="0" borderId="0" applyFont="0" applyFill="0" applyBorder="0" applyAlignment="0" applyProtection="0"/>
    <xf numFmtId="3" fontId="33" fillId="0" borderId="0" applyFont="0" applyFill="0" applyBorder="0" applyAlignment="0" applyProtection="0"/>
    <xf numFmtId="184" fontId="34" fillId="26" borderId="3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>
      <alignment horizontal="right"/>
    </xf>
    <xf numFmtId="166" fontId="1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4" fontId="35" fillId="0" borderId="0">
      <alignment vertical="top"/>
    </xf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32" fillId="0" borderId="7" applyNumberFormat="0" applyFont="0" applyFill="0" applyAlignment="0" applyProtection="0"/>
    <xf numFmtId="0" fontId="36" fillId="0" borderId="0" applyNumberFormat="0" applyFill="0" applyBorder="0" applyAlignment="0" applyProtection="0"/>
    <xf numFmtId="38" fontId="37" fillId="0" borderId="0">
      <alignment vertical="top"/>
    </xf>
    <xf numFmtId="38" fontId="37" fillId="0" borderId="0">
      <alignment vertical="top"/>
    </xf>
    <xf numFmtId="38" fontId="37" fillId="0" borderId="0">
      <alignment vertical="top"/>
    </xf>
    <xf numFmtId="175" fontId="35" fillId="0" borderId="0" applyFont="0" applyFill="0" applyBorder="0" applyAlignment="0" applyProtection="0"/>
    <xf numFmtId="175" fontId="35" fillId="0" borderId="0" applyFont="0" applyFill="0" applyBorder="0" applyAlignment="0" applyProtection="0"/>
    <xf numFmtId="37" fontId="10" fillId="0" borderId="0"/>
    <xf numFmtId="0" fontId="21" fillId="0" borderId="0"/>
    <xf numFmtId="0" fontId="38" fillId="0" borderId="0" applyNumberFormat="0" applyFill="0" applyBorder="0" applyAlignment="0" applyProtection="0"/>
    <xf numFmtId="172" fontId="39" fillId="0" borderId="0" applyFill="0" applyBorder="0" applyAlignment="0" applyProtection="0"/>
    <xf numFmtId="172" fontId="13" fillId="0" borderId="0" applyFill="0" applyBorder="0" applyAlignment="0" applyProtection="0"/>
    <xf numFmtId="172" fontId="40" fillId="0" borderId="0" applyFill="0" applyBorder="0" applyAlignment="0" applyProtection="0"/>
    <xf numFmtId="172" fontId="41" fillId="0" borderId="0" applyFill="0" applyBorder="0" applyAlignment="0" applyProtection="0"/>
    <xf numFmtId="172" fontId="42" fillId="0" borderId="0" applyFill="0" applyBorder="0" applyAlignment="0" applyProtection="0"/>
    <xf numFmtId="172" fontId="43" fillId="0" borderId="0" applyFill="0" applyBorder="0" applyAlignment="0" applyProtection="0"/>
    <xf numFmtId="172" fontId="44" fillId="0" borderId="0" applyFill="0" applyBorder="0" applyAlignment="0" applyProtection="0"/>
    <xf numFmtId="2" fontId="33" fillId="0" borderId="0" applyFont="0" applyFill="0" applyBorder="0" applyAlignment="0" applyProtection="0"/>
    <xf numFmtId="0" fontId="45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Fill="0" applyBorder="0" applyProtection="0">
      <alignment horizontal="left"/>
    </xf>
    <xf numFmtId="0" fontId="48" fillId="8" borderId="0" applyNumberFormat="0" applyBorder="0" applyAlignment="0" applyProtection="0"/>
    <xf numFmtId="176" fontId="49" fillId="3" borderId="6" applyNumberFormat="0" applyFont="0" applyBorder="0" applyAlignment="0" applyProtection="0"/>
    <xf numFmtId="0" fontId="32" fillId="0" borderId="0" applyFont="0" applyFill="0" applyBorder="0" applyAlignment="0" applyProtection="0">
      <alignment horizontal="right"/>
    </xf>
    <xf numFmtId="191" fontId="50" fillId="3" borderId="0" applyNumberFormat="0" applyFont="0" applyAlignment="0"/>
    <xf numFmtId="0" fontId="51" fillId="0" borderId="0" applyProtection="0">
      <alignment horizontal="right"/>
    </xf>
    <xf numFmtId="0" fontId="29" fillId="24" borderId="4" applyNumberFormat="0" applyAlignment="0"/>
    <xf numFmtId="0" fontId="52" fillId="0" borderId="0">
      <alignment vertical="top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2" fontId="56" fillId="27" borderId="0" applyAlignment="0">
      <alignment horizontal="right"/>
      <protection locked="0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184" fontId="59" fillId="0" borderId="0"/>
    <xf numFmtId="0" fontId="10" fillId="0" borderId="0"/>
    <xf numFmtId="0" fontId="60" fillId="0" borderId="0" applyNumberFormat="0" applyFill="0" applyBorder="0" applyAlignment="0" applyProtection="0">
      <alignment vertical="top"/>
      <protection locked="0"/>
    </xf>
    <xf numFmtId="192" fontId="61" fillId="0" borderId="6">
      <alignment horizontal="center" vertical="center" wrapText="1"/>
    </xf>
    <xf numFmtId="0" fontId="62" fillId="11" borderId="4" applyNumberFormat="0" applyAlignment="0" applyProtection="0"/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38" fontId="14" fillId="0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0" borderId="0">
      <alignment vertical="top"/>
    </xf>
    <xf numFmtId="38" fontId="14" fillId="0" borderId="0">
      <alignment vertical="top"/>
    </xf>
    <xf numFmtId="193" fontId="14" fillId="3" borderId="0">
      <alignment vertical="top"/>
    </xf>
    <xf numFmtId="38" fontId="14" fillId="0" borderId="0">
      <alignment vertical="top"/>
    </xf>
    <xf numFmtId="0" fontId="64" fillId="0" borderId="11" applyNumberFormat="0" applyFill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94" fontId="66" fillId="0" borderId="6">
      <alignment horizontal="right"/>
      <protection locked="0"/>
    </xf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ill="0" applyBorder="0" applyProtection="0">
      <alignment vertical="center"/>
    </xf>
    <xf numFmtId="0" fontId="32" fillId="0" borderId="0" applyFont="0" applyFill="0" applyBorder="0" applyAlignment="0" applyProtection="0">
      <alignment horizontal="right"/>
    </xf>
    <xf numFmtId="3" fontId="1" fillId="0" borderId="12" applyFont="0" applyBorder="0">
      <alignment horizontal="center" vertical="center"/>
    </xf>
    <xf numFmtId="0" fontId="67" fillId="28" borderId="0" applyNumberFormat="0" applyBorder="0" applyAlignment="0" applyProtection="0"/>
    <xf numFmtId="0" fontId="20" fillId="0" borderId="13"/>
    <xf numFmtId="0" fontId="68" fillId="0" borderId="0" applyNumberFormat="0" applyFill="0" applyBorder="0" applyAlignment="0" applyProtection="0"/>
    <xf numFmtId="197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>
      <alignment horizontal="right"/>
    </xf>
    <xf numFmtId="0" fontId="1" fillId="0" borderId="0"/>
    <xf numFmtId="0" fontId="70" fillId="0" borderId="0"/>
    <xf numFmtId="0" fontId="32" fillId="0" borderId="0" applyFill="0" applyBorder="0" applyProtection="0">
      <alignment vertical="center"/>
    </xf>
    <xf numFmtId="0" fontId="71" fillId="0" borderId="0"/>
    <xf numFmtId="0" fontId="10" fillId="0" borderId="0"/>
    <xf numFmtId="0" fontId="11" fillId="0" borderId="0"/>
    <xf numFmtId="0" fontId="72" fillId="29" borderId="14" applyNumberFormat="0" applyFont="0" applyAlignment="0" applyProtection="0"/>
    <xf numFmtId="198" fontId="1" fillId="0" borderId="0" applyFont="0" applyAlignment="0">
      <alignment horizontal="center"/>
    </xf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49" fillId="0" borderId="0"/>
    <xf numFmtId="201" fontId="49" fillId="0" borderId="0" applyFont="0" applyFill="0" applyBorder="0" applyAlignment="0" applyProtection="0"/>
    <xf numFmtId="202" fontId="49" fillId="0" borderId="0" applyFont="0" applyFill="0" applyBorder="0" applyAlignment="0" applyProtection="0"/>
    <xf numFmtId="0" fontId="73" fillId="24" borderId="15" applyNumberFormat="0" applyAlignment="0" applyProtection="0"/>
    <xf numFmtId="1" fontId="74" fillId="0" borderId="0" applyProtection="0">
      <alignment horizontal="right" vertical="center"/>
    </xf>
    <xf numFmtId="49" fontId="75" fillId="0" borderId="16" applyFill="0" applyProtection="0">
      <alignment vertical="center"/>
    </xf>
    <xf numFmtId="9" fontId="10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37" fontId="76" fillId="4" borderId="17"/>
    <xf numFmtId="37" fontId="76" fillId="4" borderId="17"/>
    <xf numFmtId="0" fontId="77" fillId="0" borderId="0" applyNumberFormat="0">
      <alignment horizontal="left"/>
    </xf>
    <xf numFmtId="203" fontId="78" fillId="0" borderId="18" applyBorder="0">
      <alignment horizontal="right"/>
      <protection locked="0"/>
    </xf>
    <xf numFmtId="49" fontId="79" fillId="0" borderId="6" applyNumberFormat="0">
      <alignment horizontal="left" vertical="center"/>
    </xf>
    <xf numFmtId="0" fontId="80" fillId="0" borderId="19">
      <alignment vertical="center"/>
    </xf>
    <xf numFmtId="4" fontId="81" fillId="4" borderId="15" applyNumberFormat="0" applyProtection="0">
      <alignment vertical="center"/>
    </xf>
    <xf numFmtId="4" fontId="82" fillId="4" borderId="15" applyNumberFormat="0" applyProtection="0">
      <alignment vertical="center"/>
    </xf>
    <xf numFmtId="4" fontId="81" fillId="4" borderId="15" applyNumberFormat="0" applyProtection="0">
      <alignment horizontal="left" vertical="center" indent="1"/>
    </xf>
    <xf numFmtId="4" fontId="81" fillId="4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1" fillId="31" borderId="15" applyNumberFormat="0" applyProtection="0">
      <alignment horizontal="right" vertical="center"/>
    </xf>
    <xf numFmtId="4" fontId="81" fillId="32" borderId="15" applyNumberFormat="0" applyProtection="0">
      <alignment horizontal="right" vertical="center"/>
    </xf>
    <xf numFmtId="4" fontId="81" fillId="33" borderId="15" applyNumberFormat="0" applyProtection="0">
      <alignment horizontal="right" vertical="center"/>
    </xf>
    <xf numFmtId="4" fontId="81" fillId="34" borderId="15" applyNumberFormat="0" applyProtection="0">
      <alignment horizontal="right" vertical="center"/>
    </xf>
    <xf numFmtId="4" fontId="81" fillId="35" borderId="15" applyNumberFormat="0" applyProtection="0">
      <alignment horizontal="right" vertical="center"/>
    </xf>
    <xf numFmtId="4" fontId="81" fillId="36" borderId="15" applyNumberFormat="0" applyProtection="0">
      <alignment horizontal="right" vertical="center"/>
    </xf>
    <xf numFmtId="4" fontId="81" fillId="37" borderId="15" applyNumberFormat="0" applyProtection="0">
      <alignment horizontal="right" vertical="center"/>
    </xf>
    <xf numFmtId="4" fontId="81" fillId="38" borderId="15" applyNumberFormat="0" applyProtection="0">
      <alignment horizontal="right" vertical="center"/>
    </xf>
    <xf numFmtId="4" fontId="81" fillId="39" borderId="15" applyNumberFormat="0" applyProtection="0">
      <alignment horizontal="right" vertical="center"/>
    </xf>
    <xf numFmtId="4" fontId="83" fillId="40" borderId="15" applyNumberFormat="0" applyProtection="0">
      <alignment horizontal="left" vertical="center" indent="1"/>
    </xf>
    <xf numFmtId="4" fontId="81" fillId="41" borderId="20" applyNumberFormat="0" applyProtection="0">
      <alignment horizontal="left" vertical="center" indent="1"/>
    </xf>
    <xf numFmtId="4" fontId="84" fillId="42" borderId="0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5" fillId="41" borderId="15" applyNumberFormat="0" applyProtection="0">
      <alignment horizontal="left" vertical="center" indent="1"/>
    </xf>
    <xf numFmtId="4" fontId="85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4" fontId="81" fillId="45" borderId="15" applyNumberFormat="0" applyProtection="0">
      <alignment vertical="center"/>
    </xf>
    <xf numFmtId="4" fontId="82" fillId="45" borderId="15" applyNumberFormat="0" applyProtection="0">
      <alignment vertical="center"/>
    </xf>
    <xf numFmtId="4" fontId="81" fillId="45" borderId="15" applyNumberFormat="0" applyProtection="0">
      <alignment horizontal="left" vertical="center" indent="1"/>
    </xf>
    <xf numFmtId="4" fontId="81" fillId="45" borderId="15" applyNumberFormat="0" applyProtection="0">
      <alignment horizontal="left" vertical="center" indent="1"/>
    </xf>
    <xf numFmtId="4" fontId="81" fillId="41" borderId="15" applyNumberFormat="0" applyProtection="0">
      <alignment horizontal="right" vertical="center"/>
    </xf>
    <xf numFmtId="4" fontId="82" fillId="41" borderId="15" applyNumberFormat="0" applyProtection="0">
      <alignment horizontal="right" vertical="center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86" fillId="0" borderId="0"/>
    <xf numFmtId="4" fontId="87" fillId="41" borderId="15" applyNumberFormat="0" applyProtection="0">
      <alignment horizontal="right" vertical="center"/>
    </xf>
    <xf numFmtId="0" fontId="88" fillId="0" borderId="0">
      <alignment horizontal="left" vertical="center" wrapText="1"/>
    </xf>
    <xf numFmtId="0" fontId="10" fillId="0" borderId="0"/>
    <xf numFmtId="0" fontId="11" fillId="0" borderId="0"/>
    <xf numFmtId="0" fontId="89" fillId="0" borderId="0" applyBorder="0" applyProtection="0">
      <alignment vertical="center"/>
    </xf>
    <xf numFmtId="0" fontId="89" fillId="0" borderId="16" applyBorder="0" applyProtection="0">
      <alignment horizontal="right" vertical="center"/>
    </xf>
    <xf numFmtId="0" fontId="90" fillId="46" borderId="0" applyBorder="0" applyProtection="0">
      <alignment horizontal="centerContinuous" vertical="center"/>
    </xf>
    <xf numFmtId="0" fontId="90" fillId="47" borderId="16" applyBorder="0" applyProtection="0">
      <alignment horizontal="centerContinuous" vertical="center"/>
    </xf>
    <xf numFmtId="0" fontId="91" fillId="0" borderId="0"/>
    <xf numFmtId="38" fontId="92" fillId="48" borderId="0">
      <alignment horizontal="right" vertical="top"/>
    </xf>
    <xf numFmtId="38" fontId="92" fillId="48" borderId="0">
      <alignment horizontal="right" vertical="top"/>
    </xf>
    <xf numFmtId="38" fontId="92" fillId="48" borderId="0">
      <alignment horizontal="right" vertical="top"/>
    </xf>
    <xf numFmtId="0" fontId="71" fillId="0" borderId="0"/>
    <xf numFmtId="0" fontId="93" fillId="0" borderId="0" applyFill="0" applyBorder="0" applyProtection="0">
      <alignment horizontal="left"/>
    </xf>
    <xf numFmtId="0" fontId="47" fillId="0" borderId="21" applyFill="0" applyBorder="0" applyProtection="0">
      <alignment horizontal="left" vertical="top"/>
    </xf>
    <xf numFmtId="0" fontId="94" fillId="0" borderId="0">
      <alignment horizontal="centerContinuous"/>
    </xf>
    <xf numFmtId="0" fontId="95" fillId="0" borderId="21" applyFill="0" applyBorder="0" applyProtection="0"/>
    <xf numFmtId="0" fontId="95" fillId="0" borderId="0"/>
    <xf numFmtId="0" fontId="96" fillId="0" borderId="0" applyFill="0" applyBorder="0" applyProtection="0"/>
    <xf numFmtId="0" fontId="97" fillId="0" borderId="0"/>
    <xf numFmtId="0" fontId="98" fillId="0" borderId="0" applyNumberFormat="0" applyFill="0" applyBorder="0" applyAlignment="0" applyProtection="0"/>
    <xf numFmtId="49" fontId="99" fillId="44" borderId="22" applyNumberFormat="0">
      <alignment horizontal="center"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1" fillId="0" borderId="7" applyFill="0" applyBorder="0" applyProtection="0">
      <alignment vertical="center"/>
    </xf>
    <xf numFmtId="0" fontId="102" fillId="0" borderId="0">
      <alignment horizontal="fill"/>
    </xf>
    <xf numFmtId="0" fontId="49" fillId="0" borderId="0"/>
    <xf numFmtId="0" fontId="103" fillId="0" borderId="0" applyNumberFormat="0" applyFill="0" applyBorder="0" applyAlignment="0" applyProtection="0"/>
    <xf numFmtId="0" fontId="104" fillId="0" borderId="16" applyBorder="0" applyProtection="0">
      <alignment horizontal="right"/>
    </xf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184" fontId="24" fillId="0" borderId="3">
      <protection locked="0"/>
    </xf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3" fontId="105" fillId="0" borderId="0">
      <alignment horizontal="center" vertical="center" textRotation="90" wrapText="1"/>
    </xf>
    <xf numFmtId="204" fontId="24" fillId="0" borderId="6">
      <alignment vertical="top" wrapText="1"/>
    </xf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49" fontId="108" fillId="0" borderId="0" applyNumberFormat="0" applyFill="0" applyBorder="0" applyAlignment="0" applyProtection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174" fontId="111" fillId="0" borderId="6">
      <alignment vertical="top" wrapText="1"/>
    </xf>
    <xf numFmtId="4" fontId="112" fillId="0" borderId="6">
      <alignment horizontal="left" vertical="center"/>
    </xf>
    <xf numFmtId="4" fontId="112" fillId="0" borderId="6"/>
    <xf numFmtId="4" fontId="112" fillId="49" borderId="6"/>
    <xf numFmtId="4" fontId="112" fillId="50" borderId="6"/>
    <xf numFmtId="4" fontId="113" fillId="51" borderId="6"/>
    <xf numFmtId="4" fontId="114" fillId="2" borderId="6"/>
    <xf numFmtId="4" fontId="115" fillId="0" borderId="6">
      <alignment horizontal="center" wrapText="1"/>
    </xf>
    <xf numFmtId="174" fontId="112" fillId="0" borderId="6"/>
    <xf numFmtId="174" fontId="111" fillId="0" borderId="6">
      <alignment horizontal="center" vertical="center" wrapText="1"/>
    </xf>
    <xf numFmtId="174" fontId="111" fillId="0" borderId="6">
      <alignment vertical="top" wrapText="1"/>
    </xf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6" fillId="0" borderId="0" applyBorder="0">
      <alignment horizontal="center" vertical="center" wrapText="1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24" applyBorder="0">
      <alignment horizontal="center" vertical="center" wrapText="1"/>
    </xf>
    <xf numFmtId="184" fontId="34" fillId="26" borderId="3"/>
    <xf numFmtId="4" fontId="72" fillId="4" borderId="6" applyBorder="0">
      <alignment horizontal="right"/>
    </xf>
    <xf numFmtId="49" fontId="120" fillId="0" borderId="0" applyBorder="0">
      <alignment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3" fontId="34" fillId="0" borderId="6" applyBorder="0">
      <alignment vertical="center"/>
    </xf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1" fillId="0" borderId="0">
      <alignment wrapText="1"/>
    </xf>
    <xf numFmtId="0" fontId="118" fillId="0" borderId="0">
      <alignment horizontal="center" vertical="top" wrapText="1"/>
    </xf>
    <xf numFmtId="0" fontId="121" fillId="0" borderId="0">
      <alignment horizontal="centerContinuous" vertical="center" wrapText="1"/>
    </xf>
    <xf numFmtId="0" fontId="121" fillId="0" borderId="0">
      <alignment horizontal="centerContinuous" vertical="center" wrapText="1"/>
    </xf>
    <xf numFmtId="175" fontId="118" fillId="0" borderId="0">
      <alignment horizontal="center" vertical="top"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205" fontId="122" fillId="3" borderId="6">
      <alignment wrapText="1"/>
    </xf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4" fontId="123" fillId="0" borderId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49" fontId="105" fillId="0" borderId="6">
      <alignment horizontal="right" vertical="top" wrapText="1"/>
    </xf>
    <xf numFmtId="172" fontId="124" fillId="0" borderId="0">
      <alignment horizontal="right" vertical="top" wrapText="1"/>
    </xf>
    <xf numFmtId="49" fontId="72" fillId="0" borderId="0" applyBorder="0">
      <alignment vertical="top"/>
    </xf>
    <xf numFmtId="0" fontId="125" fillId="0" borderId="0"/>
    <xf numFmtId="0" fontId="10" fillId="0" borderId="0"/>
    <xf numFmtId="0" fontId="133" fillId="0" borderId="0"/>
    <xf numFmtId="0" fontId="125" fillId="0" borderId="0"/>
    <xf numFmtId="0" fontId="133" fillId="0" borderId="0"/>
    <xf numFmtId="0" fontId="21" fillId="0" borderId="0"/>
    <xf numFmtId="0" fontId="126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0" fontId="21" fillId="0" borderId="0"/>
    <xf numFmtId="0" fontId="10" fillId="0" borderId="0"/>
    <xf numFmtId="0" fontId="10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2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49" fontId="72" fillId="0" borderId="0" applyBorder="0">
      <alignment vertical="top"/>
    </xf>
    <xf numFmtId="0" fontId="13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3" fillId="0" borderId="0"/>
    <xf numFmtId="49" fontId="72" fillId="0" borderId="0" applyBorder="0">
      <alignment vertical="top"/>
    </xf>
    <xf numFmtId="0" fontId="134" fillId="0" borderId="0"/>
    <xf numFmtId="0" fontId="134" fillId="0" borderId="0"/>
    <xf numFmtId="0" fontId="133" fillId="0" borderId="0"/>
    <xf numFmtId="0" fontId="133" fillId="0" borderId="0"/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1" fontId="127" fillId="0" borderId="6">
      <alignment horizontal="left" vertical="center"/>
    </xf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174" fontId="128" fillId="0" borderId="6">
      <alignment vertical="top"/>
    </xf>
    <xf numFmtId="172" fontId="129" fillId="4" borderId="17" applyNumberFormat="0" applyBorder="0" applyAlignment="0">
      <alignment vertical="center"/>
      <protection locked="0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49" fontId="113" fillId="0" borderId="1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30" fillId="0" borderId="6"/>
    <xf numFmtId="0" fontId="1" fillId="0" borderId="6" applyNumberFormat="0" applyFont="0" applyFill="0" applyAlignment="0" applyProtection="0"/>
    <xf numFmtId="3" fontId="131" fillId="52" borderId="1">
      <alignment horizontal="justify" vertical="center"/>
    </xf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5" fontId="11" fillId="0" borderId="0"/>
    <xf numFmtId="49" fontId="135" fillId="53" borderId="25" applyBorder="0" applyProtection="0">
      <alignment horizontal="left" vertical="center"/>
    </xf>
    <xf numFmtId="49" fontId="124" fillId="0" borderId="0"/>
    <xf numFmtId="49" fontId="132" fillId="0" borderId="0">
      <alignment vertical="top"/>
    </xf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206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08" fontId="1" fillId="0" borderId="0" applyFont="0" applyFill="0" applyBorder="0" applyAlignment="0" applyProtection="0"/>
    <xf numFmtId="4" fontId="72" fillId="3" borderId="0" applyBorder="0">
      <alignment horizontal="right"/>
    </xf>
    <xf numFmtId="4" fontId="72" fillId="3" borderId="0" applyBorder="0">
      <alignment horizontal="right"/>
    </xf>
    <xf numFmtId="4" fontId="72" fillId="3" borderId="0" applyFont="0" applyBorder="0">
      <alignment horizontal="right"/>
    </xf>
    <xf numFmtId="4" fontId="72" fillId="3" borderId="0" applyBorder="0">
      <alignment horizontal="right"/>
    </xf>
    <xf numFmtId="4" fontId="72" fillId="54" borderId="26" applyBorder="0">
      <alignment horizontal="right"/>
    </xf>
    <xf numFmtId="4" fontId="72" fillId="54" borderId="26" applyBorder="0">
      <alignment horizontal="right"/>
    </xf>
    <xf numFmtId="4" fontId="72" fillId="3" borderId="6" applyFont="0" applyBorder="0">
      <alignment horizontal="right"/>
    </xf>
    <xf numFmtId="4" fontId="72" fillId="3" borderId="6" applyFont="0" applyBorder="0">
      <alignment horizontal="right"/>
    </xf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170" fontId="24" fillId="0" borderId="1">
      <alignment vertical="top" wrapText="1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3" fontId="1" fillId="0" borderId="0" applyFont="0" applyBorder="0">
      <alignment horizontal="center"/>
    </xf>
    <xf numFmtId="210" fontId="18" fillId="0" borderId="0">
      <protection locked="0"/>
    </xf>
    <xf numFmtId="210" fontId="18" fillId="0" borderId="0">
      <protection locked="0"/>
    </xf>
    <xf numFmtId="49" fontId="111" fillId="0" borderId="6">
      <alignment horizontal="center" vertical="center" wrapText="1"/>
    </xf>
    <xf numFmtId="0" fontId="24" fillId="0" borderId="6" applyBorder="0">
      <alignment horizontal="center" vertical="center" wrapText="1"/>
    </xf>
    <xf numFmtId="49" fontId="111" fillId="0" borderId="6">
      <alignment horizontal="center" vertical="center" wrapText="1"/>
    </xf>
    <xf numFmtId="49" fontId="88" fillId="0" borderId="6" applyNumberFormat="0" applyFill="0" applyAlignment="0" applyProtection="0"/>
    <xf numFmtId="205" fontId="1" fillId="0" borderId="0"/>
    <xf numFmtId="0" fontId="10" fillId="0" borderId="0"/>
    <xf numFmtId="167" fontId="133" fillId="0" borderId="0" applyFont="0" applyFill="0" applyBorder="0" applyAlignment="0" applyProtection="0"/>
    <xf numFmtId="0" fontId="11" fillId="0" borderId="0"/>
    <xf numFmtId="166" fontId="1" fillId="0" borderId="0" applyFont="0" applyFill="0" applyBorder="0" applyAlignment="0" applyProtection="0"/>
    <xf numFmtId="0" fontId="133" fillId="0" borderId="0"/>
    <xf numFmtId="212" fontId="59" fillId="0" borderId="0"/>
    <xf numFmtId="0" fontId="133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33" fillId="0" borderId="0" applyFont="0" applyFill="0" applyBorder="0" applyAlignment="0" applyProtection="0"/>
    <xf numFmtId="49" fontId="72" fillId="0" borderId="0" applyBorder="0">
      <alignment vertical="top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43" fontId="133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2135">
    <xf numFmtId="0" fontId="0" fillId="0" borderId="0" xfId="0"/>
    <xf numFmtId="2" fontId="2" fillId="0" borderId="6" xfId="2028" applyNumberFormat="1" applyFont="1" applyFill="1" applyBorder="1" applyAlignment="1">
      <alignment horizontal="center" vertical="center" wrapText="1"/>
    </xf>
    <xf numFmtId="0" fontId="2" fillId="0" borderId="0" xfId="2028" applyFont="1" applyFill="1"/>
    <xf numFmtId="167" fontId="6" fillId="0" borderId="0" xfId="2363" applyFont="1" applyFill="1" applyAlignment="1">
      <alignment vertical="center"/>
    </xf>
    <xf numFmtId="167" fontId="2" fillId="0" borderId="0" xfId="2363" applyFont="1" applyFill="1"/>
    <xf numFmtId="2" fontId="2" fillId="0" borderId="6" xfId="2363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2028" applyFont="1" applyFill="1" applyAlignment="1"/>
    <xf numFmtId="167" fontId="8" fillId="0" borderId="0" xfId="2363" applyFont="1" applyFill="1"/>
    <xf numFmtId="2" fontId="8" fillId="0" borderId="0" xfId="0" applyNumberFormat="1" applyFont="1" applyFill="1"/>
    <xf numFmtId="2" fontId="8" fillId="0" borderId="6" xfId="0" applyNumberFormat="1" applyFont="1" applyFill="1" applyBorder="1" applyAlignment="1">
      <alignment horizontal="right"/>
    </xf>
    <xf numFmtId="0" fontId="8" fillId="0" borderId="6" xfId="0" applyFont="1" applyFill="1" applyBorder="1" applyAlignment="1"/>
    <xf numFmtId="0" fontId="8" fillId="55" borderId="6" xfId="0" applyFont="1" applyFill="1" applyBorder="1" applyAlignment="1"/>
    <xf numFmtId="0" fontId="8" fillId="55" borderId="0" xfId="0" applyFont="1" applyFill="1"/>
    <xf numFmtId="0" fontId="136" fillId="0" borderId="0" xfId="0" applyFont="1"/>
    <xf numFmtId="0" fontId="8" fillId="0" borderId="6" xfId="0" applyFont="1" applyFill="1" applyBorder="1"/>
    <xf numFmtId="0" fontId="8" fillId="0" borderId="6" xfId="0" applyFont="1" applyFill="1" applyBorder="1" applyAlignment="1">
      <alignment vertical="center"/>
    </xf>
    <xf numFmtId="167" fontId="8" fillId="0" borderId="6" xfId="2363" applyFont="1" applyFill="1" applyBorder="1"/>
    <xf numFmtId="0" fontId="8" fillId="55" borderId="6" xfId="0" applyFont="1" applyFill="1" applyBorder="1"/>
    <xf numFmtId="2" fontId="139" fillId="0" borderId="0" xfId="0" applyNumberFormat="1" applyFont="1" applyFill="1"/>
    <xf numFmtId="0" fontId="139" fillId="0" borderId="0" xfId="0" applyFont="1" applyFill="1"/>
    <xf numFmtId="2" fontId="139" fillId="0" borderId="0" xfId="2363" applyNumberFormat="1" applyFont="1" applyFill="1"/>
    <xf numFmtId="0" fontId="2" fillId="0" borderId="32" xfId="2028" applyFont="1" applyFill="1" applyBorder="1" applyAlignment="1">
      <alignment vertical="center" wrapText="1"/>
    </xf>
    <xf numFmtId="2" fontId="8" fillId="0" borderId="6" xfId="0" applyNumberFormat="1" applyFont="1" applyFill="1" applyBorder="1"/>
    <xf numFmtId="213" fontId="4" fillId="0" borderId="0" xfId="2363" applyNumberFormat="1" applyFont="1" applyFill="1"/>
    <xf numFmtId="167" fontId="8" fillId="0" borderId="0" xfId="0" applyNumberFormat="1" applyFont="1" applyFill="1"/>
    <xf numFmtId="2" fontId="142" fillId="0" borderId="6" xfId="0" applyNumberFormat="1" applyFont="1" applyFill="1" applyBorder="1"/>
    <xf numFmtId="0" fontId="8" fillId="0" borderId="0" xfId="0" applyFont="1" applyFill="1" applyBorder="1"/>
    <xf numFmtId="0" fontId="139" fillId="0" borderId="0" xfId="0" applyFont="1" applyFill="1" applyBorder="1"/>
    <xf numFmtId="2" fontId="8" fillId="55" borderId="6" xfId="0" applyNumberFormat="1" applyFont="1" applyFill="1" applyBorder="1"/>
    <xf numFmtId="173" fontId="8" fillId="0" borderId="0" xfId="0" applyNumberFormat="1" applyFont="1" applyFill="1"/>
    <xf numFmtId="173" fontId="8" fillId="0" borderId="0" xfId="2363" applyNumberFormat="1" applyFont="1" applyFill="1"/>
    <xf numFmtId="0" fontId="139" fillId="0" borderId="0" xfId="0" applyFont="1" applyFill="1" applyAlignment="1">
      <alignment vertical="center"/>
    </xf>
    <xf numFmtId="0" fontId="139" fillId="0" borderId="0" xfId="0" applyFont="1" applyFill="1" applyAlignment="1">
      <alignment horizontal="center" vertical="center"/>
    </xf>
    <xf numFmtId="167" fontId="8" fillId="0" borderId="0" xfId="2363" applyNumberFormat="1" applyFont="1" applyFill="1"/>
    <xf numFmtId="173" fontId="8" fillId="0" borderId="6" xfId="0" applyNumberFormat="1" applyFont="1" applyFill="1" applyBorder="1"/>
    <xf numFmtId="2" fontId="8" fillId="0" borderId="6" xfId="2363" applyNumberFormat="1" applyFont="1" applyFill="1" applyBorder="1" applyAlignment="1">
      <alignment horizontal="right"/>
    </xf>
    <xf numFmtId="2" fontId="8" fillId="0" borderId="6" xfId="0" applyNumberFormat="1" applyFont="1" applyFill="1" applyBorder="1" applyAlignment="1">
      <alignment horizontal="right" wrapText="1"/>
    </xf>
    <xf numFmtId="2" fontId="8" fillId="0" borderId="6" xfId="0" applyNumberFormat="1" applyFont="1" applyFill="1" applyBorder="1" applyAlignment="1">
      <alignment horizontal="right" vertical="center"/>
    </xf>
    <xf numFmtId="173" fontId="8" fillId="0" borderId="0" xfId="0" applyNumberFormat="1" applyFont="1" applyFill="1" applyBorder="1"/>
    <xf numFmtId="2" fontId="8" fillId="0" borderId="0" xfId="0" applyNumberFormat="1" applyFont="1" applyFill="1" applyBorder="1"/>
    <xf numFmtId="214" fontId="8" fillId="0" borderId="0" xfId="0" applyNumberFormat="1" applyFont="1" applyFill="1"/>
    <xf numFmtId="0" fontId="8" fillId="60" borderId="0" xfId="0" applyFont="1" applyFill="1"/>
    <xf numFmtId="2" fontId="8" fillId="60" borderId="0" xfId="0" applyNumberFormat="1" applyFont="1" applyFill="1"/>
    <xf numFmtId="173" fontId="8" fillId="55" borderId="6" xfId="0" applyNumberFormat="1" applyFont="1" applyFill="1" applyBorder="1" applyAlignment="1"/>
    <xf numFmtId="2" fontId="139" fillId="58" borderId="0" xfId="2363" applyNumberFormat="1" applyFont="1" applyFill="1"/>
    <xf numFmtId="0" fontId="151" fillId="0" borderId="0" xfId="0" applyFont="1"/>
    <xf numFmtId="0" fontId="0" fillId="0" borderId="0" xfId="0" applyAlignment="1">
      <alignment horizontal="center" vertical="center" wrapText="1"/>
    </xf>
    <xf numFmtId="2" fontId="157" fillId="0" borderId="44" xfId="0" applyNumberFormat="1" applyFont="1" applyBorder="1"/>
    <xf numFmtId="2" fontId="158" fillId="0" borderId="44" xfId="0" applyNumberFormat="1" applyFont="1" applyBorder="1"/>
    <xf numFmtId="0" fontId="159" fillId="0" borderId="0" xfId="0" applyFont="1"/>
    <xf numFmtId="0" fontId="160" fillId="0" borderId="0" xfId="0" applyFont="1"/>
    <xf numFmtId="0" fontId="161" fillId="56" borderId="38" xfId="0" applyFont="1" applyFill="1" applyBorder="1" applyAlignment="1">
      <alignment horizontal="center" vertical="center" wrapText="1"/>
    </xf>
    <xf numFmtId="0" fontId="162" fillId="60" borderId="38" xfId="0" applyFont="1" applyFill="1" applyBorder="1" applyAlignment="1">
      <alignment horizontal="center" vertical="center" wrapText="1"/>
    </xf>
    <xf numFmtId="0" fontId="162" fillId="65" borderId="24" xfId="0" applyFont="1" applyFill="1" applyBorder="1" applyAlignment="1">
      <alignment horizontal="center" vertical="center" wrapText="1"/>
    </xf>
    <xf numFmtId="0" fontId="162" fillId="65" borderId="40" xfId="0" applyFont="1" applyFill="1" applyBorder="1" applyAlignment="1">
      <alignment horizontal="center" vertical="center" wrapText="1"/>
    </xf>
    <xf numFmtId="0" fontId="162" fillId="66" borderId="40" xfId="0" applyFont="1" applyFill="1" applyBorder="1" applyAlignment="1">
      <alignment horizontal="center" vertical="center" wrapText="1"/>
    </xf>
    <xf numFmtId="0" fontId="162" fillId="67" borderId="41" xfId="0" applyFont="1" applyFill="1" applyBorder="1" applyAlignment="1">
      <alignment horizontal="center" vertical="center" wrapText="1"/>
    </xf>
    <xf numFmtId="0" fontId="162" fillId="67" borderId="38" xfId="0" applyFont="1" applyFill="1" applyBorder="1" applyAlignment="1">
      <alignment horizontal="center" vertical="center" wrapText="1"/>
    </xf>
    <xf numFmtId="0" fontId="162" fillId="67" borderId="40" xfId="0" applyFont="1" applyFill="1" applyBorder="1" applyAlignment="1">
      <alignment horizontal="center" vertical="center" wrapText="1"/>
    </xf>
    <xf numFmtId="0" fontId="163" fillId="57" borderId="42" xfId="0" applyFont="1" applyFill="1" applyBorder="1" applyAlignment="1">
      <alignment horizontal="center" vertical="center" wrapText="1"/>
    </xf>
    <xf numFmtId="0" fontId="163" fillId="57" borderId="38" xfId="0" applyFont="1" applyFill="1" applyBorder="1" applyAlignment="1">
      <alignment horizontal="center" vertical="center" wrapText="1"/>
    </xf>
    <xf numFmtId="0" fontId="161" fillId="65" borderId="42" xfId="0" applyFont="1" applyFill="1" applyBorder="1" applyAlignment="1">
      <alignment horizontal="center" vertical="center" wrapText="1"/>
    </xf>
    <xf numFmtId="0" fontId="161" fillId="65" borderId="43" xfId="0" applyFont="1" applyFill="1" applyBorder="1" applyAlignment="1">
      <alignment horizontal="center" vertical="center" wrapText="1"/>
    </xf>
    <xf numFmtId="0" fontId="161" fillId="57" borderId="43" xfId="0" applyFont="1" applyFill="1" applyBorder="1" applyAlignment="1">
      <alignment horizontal="center" vertical="center" wrapText="1"/>
    </xf>
    <xf numFmtId="0" fontId="164" fillId="0" borderId="29" xfId="0" applyFont="1" applyFill="1" applyBorder="1"/>
    <xf numFmtId="0" fontId="159" fillId="0" borderId="6" xfId="0" applyFont="1" applyFill="1" applyBorder="1"/>
    <xf numFmtId="2" fontId="158" fillId="0" borderId="45" xfId="0" applyNumberFormat="1" applyFont="1" applyFill="1" applyBorder="1"/>
    <xf numFmtId="2" fontId="158" fillId="0" borderId="34" xfId="0" applyNumberFormat="1" applyFont="1" applyFill="1" applyBorder="1"/>
    <xf numFmtId="2" fontId="158" fillId="0" borderId="44" xfId="0" applyNumberFormat="1" applyFont="1" applyFill="1" applyBorder="1"/>
    <xf numFmtId="2" fontId="159" fillId="0" borderId="45" xfId="0" applyNumberFormat="1" applyFont="1" applyFill="1" applyBorder="1"/>
    <xf numFmtId="2" fontId="159" fillId="0" borderId="34" xfId="0" applyNumberFormat="1" applyFont="1" applyFill="1" applyBorder="1"/>
    <xf numFmtId="2" fontId="159" fillId="0" borderId="44" xfId="0" applyNumberFormat="1" applyFont="1" applyFill="1" applyBorder="1"/>
    <xf numFmtId="2" fontId="160" fillId="0" borderId="34" xfId="0" applyNumberFormat="1" applyFont="1" applyFill="1" applyBorder="1"/>
    <xf numFmtId="2" fontId="160" fillId="0" borderId="28" xfId="0" applyNumberFormat="1" applyFont="1" applyFill="1" applyBorder="1"/>
    <xf numFmtId="0" fontId="0" fillId="0" borderId="0" xfId="0" applyFill="1"/>
    <xf numFmtId="0" fontId="165" fillId="0" borderId="0" xfId="0" applyFont="1" applyFill="1"/>
    <xf numFmtId="2" fontId="0" fillId="0" borderId="0" xfId="0" applyNumberFormat="1" applyFill="1"/>
    <xf numFmtId="0" fontId="150" fillId="0" borderId="0" xfId="0" applyFont="1" applyFill="1"/>
    <xf numFmtId="0" fontId="147" fillId="0" borderId="0" xfId="0" applyFont="1" applyFill="1"/>
    <xf numFmtId="2" fontId="167" fillId="0" borderId="0" xfId="0" applyNumberFormat="1" applyFont="1"/>
    <xf numFmtId="0" fontId="159" fillId="0" borderId="0" xfId="0" applyFont="1" applyFill="1"/>
    <xf numFmtId="0" fontId="160" fillId="0" borderId="0" xfId="0" applyFont="1" applyFill="1"/>
    <xf numFmtId="0" fontId="169" fillId="0" borderId="0" xfId="0" applyFont="1"/>
    <xf numFmtId="0" fontId="162" fillId="0" borderId="39" xfId="0" applyFont="1" applyFill="1" applyBorder="1" applyAlignment="1">
      <alignment horizontal="center" vertical="center" wrapText="1"/>
    </xf>
    <xf numFmtId="0" fontId="159" fillId="63" borderId="6" xfId="0" applyFont="1" applyFill="1" applyBorder="1"/>
    <xf numFmtId="2" fontId="159" fillId="0" borderId="25" xfId="0" applyNumberFormat="1" applyFont="1" applyFill="1" applyBorder="1"/>
    <xf numFmtId="2" fontId="159" fillId="0" borderId="0" xfId="0" applyNumberFormat="1" applyFont="1" applyFill="1"/>
    <xf numFmtId="0" fontId="168" fillId="0" borderId="0" xfId="0" applyFont="1" applyFill="1"/>
    <xf numFmtId="0" fontId="159" fillId="0" borderId="29" xfId="0" applyFont="1" applyFill="1" applyBorder="1"/>
    <xf numFmtId="0" fontId="161" fillId="0" borderId="49" xfId="0" applyFont="1" applyFill="1" applyBorder="1" applyAlignment="1">
      <alignment horizontal="center" vertical="center" wrapText="1"/>
    </xf>
    <xf numFmtId="0" fontId="160" fillId="0" borderId="50" xfId="0" applyFont="1" applyFill="1" applyBorder="1"/>
    <xf numFmtId="0" fontId="159" fillId="0" borderId="27" xfId="0" applyFont="1" applyFill="1" applyBorder="1"/>
    <xf numFmtId="0" fontId="162" fillId="63" borderId="24" xfId="0" applyFont="1" applyFill="1" applyBorder="1" applyAlignment="1">
      <alignment horizontal="center" vertical="center" wrapText="1"/>
    </xf>
    <xf numFmtId="0" fontId="162" fillId="0" borderId="51" xfId="0" applyFont="1" applyFill="1" applyBorder="1" applyAlignment="1">
      <alignment horizontal="center" vertical="center" wrapText="1"/>
    </xf>
    <xf numFmtId="2" fontId="166" fillId="55" borderId="38" xfId="0" applyNumberFormat="1" applyFont="1" applyFill="1" applyBorder="1"/>
    <xf numFmtId="0" fontId="136" fillId="0" borderId="0" xfId="0" applyFont="1" applyFill="1"/>
    <xf numFmtId="211" fontId="8" fillId="55" borderId="0" xfId="0" applyNumberFormat="1" applyFont="1" applyFill="1"/>
    <xf numFmtId="0" fontId="139" fillId="67" borderId="0" xfId="0" applyFont="1" applyFill="1" applyAlignment="1">
      <alignment vertical="center"/>
    </xf>
    <xf numFmtId="173" fontId="8" fillId="55" borderId="6" xfId="0" applyNumberFormat="1" applyFont="1" applyFill="1" applyBorder="1"/>
    <xf numFmtId="0" fontId="172" fillId="0" borderId="0" xfId="0" applyFont="1" applyFill="1"/>
    <xf numFmtId="0" fontId="144" fillId="55" borderId="0" xfId="0" applyFont="1" applyFill="1"/>
    <xf numFmtId="167" fontId="137" fillId="55" borderId="0" xfId="0" applyNumberFormat="1" applyFont="1" applyFill="1"/>
    <xf numFmtId="0" fontId="137" fillId="62" borderId="6" xfId="0" applyFont="1" applyFill="1" applyBorder="1" applyAlignment="1">
      <alignment horizontal="center" wrapText="1"/>
    </xf>
    <xf numFmtId="0" fontId="137" fillId="62" borderId="0" xfId="0" applyFont="1" applyFill="1" applyBorder="1" applyAlignment="1">
      <alignment horizontal="center" wrapText="1"/>
    </xf>
    <xf numFmtId="0" fontId="8" fillId="62" borderId="0" xfId="0" applyFont="1" applyFill="1" applyAlignment="1">
      <alignment wrapText="1"/>
    </xf>
    <xf numFmtId="0" fontId="8" fillId="62" borderId="0" xfId="0" applyFont="1" applyFill="1"/>
    <xf numFmtId="0" fontId="8" fillId="62" borderId="6" xfId="0" applyFont="1" applyFill="1" applyBorder="1" applyAlignment="1">
      <alignment wrapText="1"/>
    </xf>
    <xf numFmtId="14" fontId="137" fillId="62" borderId="6" xfId="0" applyNumberFormat="1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137" fillId="62" borderId="6" xfId="0" applyFont="1" applyFill="1" applyBorder="1" applyAlignment="1"/>
    <xf numFmtId="0" fontId="8" fillId="62" borderId="0" xfId="0" applyFont="1" applyFill="1" applyBorder="1" applyAlignment="1">
      <alignment horizontal="center" vertical="center"/>
    </xf>
    <xf numFmtId="0" fontId="8" fillId="62" borderId="6" xfId="0" applyFont="1" applyFill="1" applyBorder="1"/>
    <xf numFmtId="0" fontId="8" fillId="62" borderId="0" xfId="0" applyFont="1" applyFill="1" applyBorder="1"/>
    <xf numFmtId="0" fontId="2" fillId="62" borderId="6" xfId="2028" applyFont="1" applyFill="1" applyBorder="1" applyAlignment="1">
      <alignment horizontal="center" vertical="center" wrapText="1"/>
    </xf>
    <xf numFmtId="0" fontId="139" fillId="62" borderId="0" xfId="0" applyFont="1" applyFill="1"/>
    <xf numFmtId="2" fontId="139" fillId="62" borderId="0" xfId="0" applyNumberFormat="1" applyFont="1" applyFill="1"/>
    <xf numFmtId="2" fontId="8" fillId="62" borderId="6" xfId="2363" applyNumberFormat="1" applyFont="1" applyFill="1" applyBorder="1"/>
    <xf numFmtId="167" fontId="8" fillId="62" borderId="6" xfId="2363" applyFont="1" applyFill="1" applyBorder="1"/>
    <xf numFmtId="2" fontId="8" fillId="62" borderId="0" xfId="0" applyNumberFormat="1" applyFont="1" applyFill="1" applyBorder="1"/>
    <xf numFmtId="167" fontId="8" fillId="62" borderId="0" xfId="2363" applyFont="1" applyFill="1"/>
    <xf numFmtId="0" fontId="139" fillId="62" borderId="0" xfId="0" applyFont="1" applyFill="1" applyAlignment="1">
      <alignment horizontal="center" vertical="center"/>
    </xf>
    <xf numFmtId="173" fontId="8" fillId="62" borderId="0" xfId="0" applyNumberFormat="1" applyFont="1" applyFill="1" applyBorder="1"/>
    <xf numFmtId="0" fontId="139" fillId="62" borderId="0" xfId="0" applyFont="1" applyFill="1" applyAlignment="1">
      <alignment vertical="center"/>
    </xf>
    <xf numFmtId="2" fontId="8" fillId="62" borderId="6" xfId="0" applyNumberFormat="1" applyFont="1" applyFill="1" applyBorder="1"/>
    <xf numFmtId="2" fontId="139" fillId="62" borderId="0" xfId="2363" applyNumberFormat="1" applyFont="1" applyFill="1"/>
    <xf numFmtId="0" fontId="8" fillId="62" borderId="6" xfId="0" applyFont="1" applyFill="1" applyBorder="1" applyAlignment="1">
      <alignment vertical="center"/>
    </xf>
    <xf numFmtId="173" fontId="8" fillId="62" borderId="6" xfId="0" applyNumberFormat="1" applyFont="1" applyFill="1" applyBorder="1"/>
    <xf numFmtId="2" fontId="8" fillId="62" borderId="0" xfId="0" applyNumberFormat="1" applyFont="1" applyFill="1"/>
    <xf numFmtId="167" fontId="2" fillId="62" borderId="0" xfId="2363" applyFont="1" applyFill="1"/>
    <xf numFmtId="167" fontId="8" fillId="62" borderId="0" xfId="0" applyNumberFormat="1" applyFont="1" applyFill="1"/>
    <xf numFmtId="2" fontId="137" fillId="62" borderId="6" xfId="0" applyNumberFormat="1" applyFont="1" applyFill="1" applyBorder="1"/>
    <xf numFmtId="172" fontId="8" fillId="62" borderId="0" xfId="0" applyNumberFormat="1" applyFont="1" applyFill="1"/>
    <xf numFmtId="2" fontId="143" fillId="62" borderId="6" xfId="0" applyNumberFormat="1" applyFont="1" applyFill="1" applyBorder="1"/>
    <xf numFmtId="167" fontId="8" fillId="62" borderId="6" xfId="0" applyNumberFormat="1" applyFont="1" applyFill="1" applyBorder="1"/>
    <xf numFmtId="167" fontId="144" fillId="62" borderId="6" xfId="0" applyNumberFormat="1" applyFont="1" applyFill="1" applyBorder="1"/>
    <xf numFmtId="2" fontId="144" fillId="62" borderId="6" xfId="0" applyNumberFormat="1" applyFont="1" applyFill="1" applyBorder="1"/>
    <xf numFmtId="2" fontId="137" fillId="62" borderId="0" xfId="0" applyNumberFormat="1" applyFont="1" applyFill="1" applyBorder="1"/>
    <xf numFmtId="167" fontId="137" fillId="62" borderId="0" xfId="0" applyNumberFormat="1" applyFont="1" applyFill="1"/>
    <xf numFmtId="215" fontId="8" fillId="62" borderId="6" xfId="0" applyNumberFormat="1" applyFont="1" applyFill="1" applyBorder="1"/>
    <xf numFmtId="0" fontId="144" fillId="62" borderId="6" xfId="0" applyFont="1" applyFill="1" applyBorder="1"/>
    <xf numFmtId="215" fontId="144" fillId="62" borderId="6" xfId="0" applyNumberFormat="1" applyFont="1" applyFill="1" applyBorder="1"/>
    <xf numFmtId="2" fontId="137" fillId="62" borderId="32" xfId="0" applyNumberFormat="1" applyFont="1" applyFill="1" applyBorder="1"/>
    <xf numFmtId="2" fontId="137" fillId="62" borderId="0" xfId="0" applyNumberFormat="1" applyFont="1" applyFill="1" applyBorder="1" applyAlignment="1">
      <alignment horizontal="center"/>
    </xf>
    <xf numFmtId="2" fontId="137" fillId="62" borderId="35" xfId="0" applyNumberFormat="1" applyFont="1" applyFill="1" applyBorder="1"/>
    <xf numFmtId="215" fontId="8" fillId="62" borderId="0" xfId="0" applyNumberFormat="1" applyFont="1" applyFill="1"/>
    <xf numFmtId="2" fontId="137" fillId="62" borderId="28" xfId="0" applyNumberFormat="1" applyFont="1" applyFill="1" applyBorder="1"/>
    <xf numFmtId="0" fontId="8" fillId="62" borderId="0" xfId="0" applyFont="1" applyFill="1" applyBorder="1" applyAlignment="1"/>
    <xf numFmtId="0" fontId="137" fillId="62" borderId="6" xfId="0" applyFont="1" applyFill="1" applyBorder="1" applyAlignment="1">
      <alignment horizontal="center"/>
    </xf>
    <xf numFmtId="0" fontId="137" fillId="62" borderId="27" xfId="0" applyFont="1" applyFill="1" applyBorder="1" applyAlignment="1">
      <alignment horizontal="center" wrapText="1"/>
    </xf>
    <xf numFmtId="0" fontId="8" fillId="62" borderId="32" xfId="0" applyFont="1" applyFill="1" applyBorder="1"/>
    <xf numFmtId="0" fontId="8" fillId="62" borderId="28" xfId="0" applyFont="1" applyFill="1" applyBorder="1"/>
    <xf numFmtId="0" fontId="172" fillId="62" borderId="0" xfId="0" applyFont="1" applyFill="1" applyAlignment="1">
      <alignment vertical="center"/>
    </xf>
    <xf numFmtId="0" fontId="172" fillId="0" borderId="0" xfId="0" applyFont="1" applyFill="1" applyAlignment="1">
      <alignment vertical="center"/>
    </xf>
    <xf numFmtId="0" fontId="172" fillId="62" borderId="0" xfId="0" applyFont="1" applyFill="1" applyAlignment="1">
      <alignment horizontal="center" vertical="center"/>
    </xf>
    <xf numFmtId="0" fontId="172" fillId="0" borderId="0" xfId="0" applyFont="1" applyFill="1" applyAlignment="1">
      <alignment horizontal="center" vertical="center"/>
    </xf>
    <xf numFmtId="171" fontId="8" fillId="62" borderId="6" xfId="2363" applyNumberFormat="1" applyFont="1" applyFill="1" applyBorder="1"/>
    <xf numFmtId="214" fontId="8" fillId="62" borderId="6" xfId="0" applyNumberFormat="1" applyFont="1" applyFill="1" applyBorder="1"/>
    <xf numFmtId="167" fontId="8" fillId="68" borderId="0" xfId="2363" applyFont="1" applyFill="1"/>
    <xf numFmtId="217" fontId="8" fillId="0" borderId="0" xfId="2363" applyNumberFormat="1" applyFont="1" applyFill="1"/>
    <xf numFmtId="218" fontId="8" fillId="0" borderId="0" xfId="0" applyNumberFormat="1" applyFont="1" applyFill="1"/>
    <xf numFmtId="0" fontId="8" fillId="55" borderId="0" xfId="0" applyFont="1" applyFill="1" applyBorder="1"/>
    <xf numFmtId="2" fontId="8" fillId="55" borderId="0" xfId="0" applyNumberFormat="1" applyFont="1" applyFill="1" applyBorder="1"/>
    <xf numFmtId="0" fontId="8" fillId="55" borderId="6" xfId="0" applyFont="1" applyFill="1" applyBorder="1" applyAlignment="1">
      <alignment vertical="center"/>
    </xf>
    <xf numFmtId="173" fontId="8" fillId="55" borderId="6" xfId="0" applyNumberFormat="1" applyFont="1" applyFill="1" applyBorder="1" applyAlignment="1">
      <alignment vertical="center"/>
    </xf>
    <xf numFmtId="173" fontId="8" fillId="55" borderId="32" xfId="0" applyNumberFormat="1" applyFont="1" applyFill="1" applyBorder="1" applyAlignment="1"/>
    <xf numFmtId="173" fontId="8" fillId="55" borderId="6" xfId="0" applyNumberFormat="1" applyFont="1" applyFill="1" applyBorder="1" applyAlignment="1">
      <alignment horizontal="right"/>
    </xf>
    <xf numFmtId="173" fontId="8" fillId="55" borderId="6" xfId="2363" applyNumberFormat="1" applyFont="1" applyFill="1" applyBorder="1" applyAlignment="1">
      <alignment horizontal="right"/>
    </xf>
    <xf numFmtId="0" fontId="139" fillId="55" borderId="0" xfId="0" applyFont="1" applyFill="1" applyAlignment="1">
      <alignment vertical="center"/>
    </xf>
    <xf numFmtId="173" fontId="8" fillId="62" borderId="6" xfId="0" applyNumberFormat="1" applyFont="1" applyFill="1" applyBorder="1" applyAlignment="1">
      <alignment horizontal="right" vertical="center"/>
    </xf>
    <xf numFmtId="173" fontId="8" fillId="62" borderId="6" xfId="2363" applyNumberFormat="1" applyFont="1" applyFill="1" applyBorder="1" applyAlignment="1">
      <alignment horizontal="right" vertical="center"/>
    </xf>
    <xf numFmtId="2" fontId="8" fillId="62" borderId="0" xfId="2363" applyNumberFormat="1" applyFont="1" applyFill="1"/>
    <xf numFmtId="0" fontId="172" fillId="62" borderId="0" xfId="0" applyFont="1" applyFill="1"/>
    <xf numFmtId="2" fontId="8" fillId="0" borderId="6" xfId="2363" applyNumberFormat="1" applyFont="1" applyFill="1" applyBorder="1"/>
    <xf numFmtId="172" fontId="8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4" fontId="8" fillId="0" borderId="6" xfId="0" applyNumberFormat="1" applyFont="1" applyFill="1" applyBorder="1"/>
    <xf numFmtId="173" fontId="8" fillId="0" borderId="6" xfId="2363" applyNumberFormat="1" applyFont="1" applyFill="1" applyBorder="1"/>
    <xf numFmtId="173" fontId="8" fillId="0" borderId="6" xfId="0" applyNumberFormat="1" applyFont="1" applyFill="1" applyBorder="1" applyAlignment="1">
      <alignment vertical="center"/>
    </xf>
    <xf numFmtId="172" fontId="8" fillId="0" borderId="6" xfId="0" applyNumberFormat="1" applyFont="1" applyFill="1" applyBorder="1"/>
    <xf numFmtId="0" fontId="2" fillId="0" borderId="6" xfId="0" applyFont="1" applyFill="1" applyBorder="1"/>
    <xf numFmtId="167" fontId="137" fillId="0" borderId="0" xfId="2363" applyFont="1" applyFill="1"/>
    <xf numFmtId="0" fontId="8" fillId="70" borderId="6" xfId="0" applyFont="1" applyFill="1" applyBorder="1"/>
    <xf numFmtId="0" fontId="8" fillId="70" borderId="0" xfId="0" applyFont="1" applyFill="1" applyBorder="1"/>
    <xf numFmtId="2" fontId="8" fillId="70" borderId="0" xfId="0" applyNumberFormat="1" applyFont="1" applyFill="1" applyBorder="1"/>
    <xf numFmtId="0" fontId="8" fillId="70" borderId="0" xfId="0" applyFont="1" applyFill="1"/>
    <xf numFmtId="2" fontId="167" fillId="0" borderId="0" xfId="0" applyNumberFormat="1" applyFont="1" applyFill="1"/>
    <xf numFmtId="0" fontId="151" fillId="0" borderId="0" xfId="0" applyFont="1" applyFill="1"/>
    <xf numFmtId="0" fontId="0" fillId="0" borderId="0" xfId="0" applyFill="1" applyAlignment="1">
      <alignment horizontal="center" vertical="center" wrapText="1"/>
    </xf>
    <xf numFmtId="0" fontId="2" fillId="0" borderId="0" xfId="2028" applyFont="1" applyFill="1" applyBorder="1" applyAlignment="1">
      <alignment horizontal="center" vertical="center" wrapText="1"/>
    </xf>
    <xf numFmtId="0" fontId="2" fillId="0" borderId="0" xfId="2028" applyFont="1" applyFill="1" applyBorder="1" applyAlignment="1">
      <alignment wrapText="1"/>
    </xf>
    <xf numFmtId="0" fontId="2" fillId="0" borderId="0" xfId="0" applyFont="1" applyFill="1" applyBorder="1"/>
    <xf numFmtId="172" fontId="8" fillId="0" borderId="0" xfId="0" applyNumberFormat="1" applyFont="1" applyFill="1" applyBorder="1"/>
    <xf numFmtId="2" fontId="161" fillId="71" borderId="44" xfId="0" applyNumberFormat="1" applyFont="1" applyFill="1" applyBorder="1"/>
    <xf numFmtId="2" fontId="162" fillId="71" borderId="44" xfId="0" applyNumberFormat="1" applyFont="1" applyFill="1" applyBorder="1"/>
    <xf numFmtId="2" fontId="162" fillId="71" borderId="45" xfId="0" applyNumberFormat="1" applyFont="1" applyFill="1" applyBorder="1"/>
    <xf numFmtId="2" fontId="162" fillId="71" borderId="34" xfId="0" applyNumberFormat="1" applyFont="1" applyFill="1" applyBorder="1"/>
    <xf numFmtId="0" fontId="175" fillId="71" borderId="0" xfId="0" applyFont="1" applyFill="1"/>
    <xf numFmtId="0" fontId="162" fillId="71" borderId="6" xfId="0" applyFont="1" applyFill="1" applyBorder="1"/>
    <xf numFmtId="0" fontId="162" fillId="71" borderId="27" xfId="0" applyFont="1" applyFill="1" applyBorder="1"/>
    <xf numFmtId="0" fontId="162" fillId="71" borderId="29" xfId="0" applyFont="1" applyFill="1" applyBorder="1"/>
    <xf numFmtId="0" fontId="161" fillId="71" borderId="50" xfId="0" applyFont="1" applyFill="1" applyBorder="1"/>
    <xf numFmtId="2" fontId="162" fillId="71" borderId="25" xfId="0" applyNumberFormat="1" applyFont="1" applyFill="1" applyBorder="1"/>
    <xf numFmtId="2" fontId="161" fillId="71" borderId="34" xfId="0" applyNumberFormat="1" applyFont="1" applyFill="1" applyBorder="1"/>
    <xf numFmtId="2" fontId="161" fillId="71" borderId="28" xfId="0" applyNumberFormat="1" applyFont="1" applyFill="1" applyBorder="1"/>
    <xf numFmtId="2" fontId="8" fillId="58" borderId="6" xfId="0" applyNumberFormat="1" applyFont="1" applyFill="1" applyBorder="1" applyAlignment="1">
      <alignment horizontal="center"/>
    </xf>
    <xf numFmtId="2" fontId="8" fillId="58" borderId="6" xfId="0" applyNumberFormat="1" applyFont="1" applyFill="1" applyBorder="1"/>
    <xf numFmtId="172" fontId="8" fillId="58" borderId="6" xfId="0" applyNumberFormat="1" applyFont="1" applyFill="1" applyBorder="1"/>
    <xf numFmtId="0" fontId="8" fillId="58" borderId="6" xfId="0" applyFont="1" applyFill="1" applyBorder="1"/>
    <xf numFmtId="0" fontId="8" fillId="58" borderId="0" xfId="0" applyFont="1" applyFill="1" applyBorder="1"/>
    <xf numFmtId="0" fontId="161" fillId="61" borderId="43" xfId="0" applyFont="1" applyFill="1" applyBorder="1" applyAlignment="1">
      <alignment horizontal="center" vertical="center" wrapText="1"/>
    </xf>
    <xf numFmtId="2" fontId="0" fillId="0" borderId="0" xfId="0" applyNumberFormat="1"/>
    <xf numFmtId="0" fontId="150" fillId="55" borderId="0" xfId="0" applyFont="1" applyFill="1"/>
    <xf numFmtId="0" fontId="165" fillId="55" borderId="0" xfId="0" applyFont="1" applyFill="1"/>
    <xf numFmtId="2" fontId="160" fillId="55" borderId="28" xfId="0" applyNumberFormat="1" applyFont="1" applyFill="1" applyBorder="1"/>
    <xf numFmtId="2" fontId="161" fillId="55" borderId="28" xfId="0" applyNumberFormat="1" applyFont="1" applyFill="1" applyBorder="1"/>
    <xf numFmtId="0" fontId="160" fillId="55" borderId="0" xfId="0" applyFont="1" applyFill="1"/>
    <xf numFmtId="2" fontId="149" fillId="55" borderId="28" xfId="0" applyNumberFormat="1" applyFont="1" applyFill="1" applyBorder="1"/>
    <xf numFmtId="0" fontId="139" fillId="59" borderId="0" xfId="0" applyFont="1" applyFill="1"/>
    <xf numFmtId="0" fontId="8" fillId="65" borderId="0" xfId="0" applyFont="1" applyFill="1"/>
    <xf numFmtId="0" fontId="137" fillId="63" borderId="0" xfId="0" applyFont="1" applyFill="1"/>
    <xf numFmtId="0" fontId="8" fillId="63" borderId="0" xfId="0" applyFont="1" applyFill="1"/>
    <xf numFmtId="0" fontId="8" fillId="58" borderId="0" xfId="0" applyFont="1" applyFill="1"/>
    <xf numFmtId="0" fontId="2" fillId="58" borderId="6" xfId="2028" applyFont="1" applyFill="1" applyBorder="1" applyAlignment="1">
      <alignment horizontal="center" vertical="center" wrapText="1"/>
    </xf>
    <xf numFmtId="2" fontId="8" fillId="58" borderId="6" xfId="2363" applyNumberFormat="1" applyFont="1" applyFill="1" applyBorder="1"/>
    <xf numFmtId="0" fontId="8" fillId="58" borderId="6" xfId="0" applyFont="1" applyFill="1" applyBorder="1" applyAlignment="1">
      <alignment horizontal="center"/>
    </xf>
    <xf numFmtId="4" fontId="8" fillId="58" borderId="6" xfId="0" applyNumberFormat="1" applyFont="1" applyFill="1" applyBorder="1"/>
    <xf numFmtId="0" fontId="8" fillId="58" borderId="6" xfId="0" applyFont="1" applyFill="1" applyBorder="1" applyAlignment="1">
      <alignment vertical="center"/>
    </xf>
    <xf numFmtId="167" fontId="8" fillId="58" borderId="0" xfId="2363" applyFont="1" applyFill="1"/>
    <xf numFmtId="173" fontId="8" fillId="58" borderId="0" xfId="0" applyNumberFormat="1" applyFont="1" applyFill="1"/>
    <xf numFmtId="167" fontId="137" fillId="58" borderId="0" xfId="2363" applyFont="1" applyFill="1"/>
    <xf numFmtId="218" fontId="8" fillId="58" borderId="0" xfId="0" applyNumberFormat="1" applyFont="1" applyFill="1"/>
    <xf numFmtId="173" fontId="8" fillId="58" borderId="6" xfId="0" applyNumberFormat="1" applyFont="1" applyFill="1" applyBorder="1"/>
    <xf numFmtId="0" fontId="136" fillId="0" borderId="0" xfId="0" applyFont="1" applyFill="1" applyAlignment="1"/>
    <xf numFmtId="0" fontId="136" fillId="55" borderId="0" xfId="0" applyFont="1" applyFill="1"/>
    <xf numFmtId="0" fontId="2" fillId="0" borderId="74" xfId="0" applyNumberFormat="1" applyFont="1" applyFill="1" applyBorder="1" applyAlignment="1" applyProtection="1">
      <alignment horizontal="left" vertical="center" indent="1"/>
    </xf>
    <xf numFmtId="0" fontId="148" fillId="0" borderId="0" xfId="0" applyFont="1"/>
    <xf numFmtId="0" fontId="136" fillId="0" borderId="54" xfId="0" applyFont="1" applyBorder="1"/>
    <xf numFmtId="0" fontId="2" fillId="0" borderId="39" xfId="0" applyNumberFormat="1" applyFont="1" applyFill="1" applyBorder="1" applyAlignment="1" applyProtection="1">
      <alignment vertical="center"/>
    </xf>
    <xf numFmtId="0" fontId="2" fillId="0" borderId="55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4" fillId="55" borderId="0" xfId="0" applyFont="1" applyFill="1" applyBorder="1" applyAlignment="1" applyProtection="1">
      <alignment vertical="center" wrapText="1"/>
    </xf>
    <xf numFmtId="49" fontId="180" fillId="76" borderId="75" xfId="0" applyNumberFormat="1" applyFont="1" applyFill="1" applyBorder="1" applyAlignment="1" applyProtection="1">
      <alignment horizontal="left" vertical="center"/>
    </xf>
    <xf numFmtId="49" fontId="4" fillId="0" borderId="74" xfId="0" applyNumberFormat="1" applyFont="1" applyFill="1" applyBorder="1" applyAlignment="1" applyProtection="1">
      <alignment vertical="center"/>
    </xf>
    <xf numFmtId="49" fontId="4" fillId="0" borderId="74" xfId="0" applyNumberFormat="1" applyFont="1" applyFill="1" applyBorder="1" applyAlignment="1" applyProtection="1">
      <alignment vertical="center" wrapText="1"/>
    </xf>
    <xf numFmtId="49" fontId="4" fillId="76" borderId="76" xfId="0" applyNumberFormat="1" applyFont="1" applyFill="1" applyBorder="1" applyAlignment="1" applyProtection="1">
      <alignment vertical="center" wrapText="1"/>
    </xf>
    <xf numFmtId="0" fontId="181" fillId="78" borderId="78" xfId="0" applyFont="1" applyFill="1" applyBorder="1" applyAlignment="1" applyProtection="1">
      <alignment horizontal="center" vertical="center"/>
    </xf>
    <xf numFmtId="49" fontId="181" fillId="2" borderId="78" xfId="0" applyNumberFormat="1" applyFont="1" applyFill="1" applyBorder="1" applyAlignment="1" applyProtection="1">
      <alignment horizontal="center" vertical="center" wrapText="1"/>
    </xf>
    <xf numFmtId="49" fontId="181" fillId="2" borderId="14" xfId="0" applyNumberFormat="1" applyFont="1" applyFill="1" applyBorder="1" applyAlignment="1" applyProtection="1">
      <alignment horizontal="center" vertical="center" wrapText="1"/>
    </xf>
    <xf numFmtId="0" fontId="181" fillId="78" borderId="14" xfId="0" applyFont="1" applyFill="1" applyBorder="1" applyAlignment="1" applyProtection="1">
      <alignment horizontal="center" vertical="center"/>
    </xf>
    <xf numFmtId="0" fontId="181" fillId="79" borderId="14" xfId="0" applyFont="1" applyFill="1" applyBorder="1" applyAlignment="1" applyProtection="1">
      <alignment horizontal="center" vertical="center"/>
    </xf>
    <xf numFmtId="0" fontId="181" fillId="33" borderId="14" xfId="0" applyFont="1" applyFill="1" applyBorder="1" applyAlignment="1" applyProtection="1">
      <alignment horizontal="center" vertical="center"/>
    </xf>
    <xf numFmtId="49" fontId="181" fillId="79" borderId="14" xfId="0" applyNumberFormat="1" applyFont="1" applyFill="1" applyBorder="1" applyAlignment="1" applyProtection="1">
      <alignment horizontal="center" vertical="center"/>
    </xf>
    <xf numFmtId="49" fontId="181" fillId="33" borderId="14" xfId="0" applyNumberFormat="1" applyFont="1" applyFill="1" applyBorder="1" applyAlignment="1" applyProtection="1">
      <alignment horizontal="center" vertical="center"/>
    </xf>
    <xf numFmtId="49" fontId="181" fillId="35" borderId="14" xfId="0" applyNumberFormat="1" applyFont="1" applyFill="1" applyBorder="1" applyAlignment="1" applyProtection="1">
      <alignment horizontal="center" vertical="center"/>
    </xf>
    <xf numFmtId="0" fontId="182" fillId="2" borderId="14" xfId="0" applyFont="1" applyFill="1" applyBorder="1" applyAlignment="1" applyProtection="1">
      <alignment horizontal="center" vertical="center" wrapText="1"/>
    </xf>
    <xf numFmtId="0" fontId="181" fillId="80" borderId="14" xfId="0" applyFont="1" applyFill="1" applyBorder="1" applyAlignment="1" applyProtection="1">
      <alignment horizontal="center" vertical="center" wrapText="1"/>
    </xf>
    <xf numFmtId="49" fontId="181" fillId="55" borderId="14" xfId="0" applyNumberFormat="1" applyFont="1" applyFill="1" applyBorder="1" applyAlignment="1" applyProtection="1">
      <alignment horizontal="center" vertical="center" wrapText="1"/>
    </xf>
    <xf numFmtId="49" fontId="182" fillId="0" borderId="75" xfId="0" applyNumberFormat="1" applyFont="1" applyFill="1" applyBorder="1" applyAlignment="1" applyProtection="1">
      <alignment horizontal="center" vertical="center" wrapText="1"/>
    </xf>
    <xf numFmtId="49" fontId="182" fillId="0" borderId="80" xfId="0" applyNumberFormat="1" applyFont="1" applyFill="1" applyBorder="1" applyAlignment="1" applyProtection="1">
      <alignment horizontal="center" vertical="center"/>
    </xf>
    <xf numFmtId="49" fontId="182" fillId="0" borderId="80" xfId="0" applyNumberFormat="1" applyFont="1" applyFill="1" applyBorder="1" applyAlignment="1" applyProtection="1">
      <alignment horizontal="center" vertical="center" wrapText="1"/>
    </xf>
    <xf numFmtId="0" fontId="182" fillId="0" borderId="81" xfId="0" applyFont="1" applyFill="1" applyBorder="1" applyAlignment="1" applyProtection="1">
      <alignment horizontal="center" vertical="center" wrapText="1"/>
    </xf>
    <xf numFmtId="0" fontId="182" fillId="77" borderId="82" xfId="0" applyFont="1" applyFill="1" applyBorder="1" applyAlignment="1" applyProtection="1">
      <alignment horizontal="center" vertical="center" wrapText="1"/>
    </xf>
    <xf numFmtId="0" fontId="182" fillId="77" borderId="6" xfId="0" applyFont="1" applyFill="1" applyBorder="1" applyAlignment="1" applyProtection="1">
      <alignment horizontal="center" vertical="center" wrapText="1"/>
    </xf>
    <xf numFmtId="0" fontId="182" fillId="77" borderId="27" xfId="0" applyFont="1" applyFill="1" applyBorder="1" applyAlignment="1" applyProtection="1">
      <alignment horizontal="center" vertical="center" wrapText="1"/>
    </xf>
    <xf numFmtId="0" fontId="182" fillId="77" borderId="33" xfId="0" applyFont="1" applyFill="1" applyBorder="1" applyAlignment="1" applyProtection="1">
      <alignment horizontal="center" vertical="center" wrapText="1"/>
    </xf>
    <xf numFmtId="0" fontId="182" fillId="77" borderId="25" xfId="0" applyFont="1" applyFill="1" applyBorder="1" applyAlignment="1" applyProtection="1">
      <alignment horizontal="center" vertical="center" wrapText="1"/>
    </xf>
    <xf numFmtId="0" fontId="182" fillId="77" borderId="85" xfId="0" applyFont="1" applyFill="1" applyBorder="1" applyAlignment="1" applyProtection="1">
      <alignment horizontal="center" vertical="center" wrapText="1"/>
    </xf>
    <xf numFmtId="2" fontId="182" fillId="73" borderId="54" xfId="0" applyNumberFormat="1" applyFont="1" applyFill="1" applyBorder="1" applyAlignment="1" applyProtection="1">
      <alignment horizontal="center" vertical="center" wrapText="1"/>
    </xf>
    <xf numFmtId="2" fontId="182" fillId="55" borderId="49" xfId="0" applyNumberFormat="1" applyFont="1" applyFill="1" applyBorder="1" applyAlignment="1" applyProtection="1">
      <alignment horizontal="center" vertical="center" wrapText="1"/>
    </xf>
    <xf numFmtId="0" fontId="182" fillId="67" borderId="86" xfId="0" applyFont="1" applyFill="1" applyBorder="1" applyAlignment="1" applyProtection="1">
      <alignment horizontal="center" vertical="center" wrapText="1"/>
    </xf>
    <xf numFmtId="49" fontId="182" fillId="67" borderId="87" xfId="0" applyNumberFormat="1" applyFont="1" applyFill="1" applyBorder="1" applyAlignment="1" applyProtection="1">
      <alignment horizontal="center" vertical="center" wrapText="1"/>
    </xf>
    <xf numFmtId="49" fontId="181" fillId="67" borderId="87" xfId="0" applyNumberFormat="1" applyFont="1" applyFill="1" applyBorder="1" applyAlignment="1" applyProtection="1">
      <alignment horizontal="center" vertical="center" wrapText="1"/>
    </xf>
    <xf numFmtId="49" fontId="182" fillId="67" borderId="88" xfId="0" applyNumberFormat="1" applyFont="1" applyFill="1" applyBorder="1" applyAlignment="1" applyProtection="1">
      <alignment horizontal="center" vertical="center" wrapText="1"/>
    </xf>
    <xf numFmtId="0" fontId="182" fillId="82" borderId="89" xfId="0" applyFont="1" applyFill="1" applyBorder="1" applyAlignment="1" applyProtection="1">
      <alignment horizontal="center" vertical="center" wrapText="1"/>
    </xf>
    <xf numFmtId="0" fontId="182" fillId="82" borderId="14" xfId="0" applyFont="1" applyFill="1" applyBorder="1" applyAlignment="1" applyProtection="1">
      <alignment horizontal="center" vertical="center" wrapText="1"/>
    </xf>
    <xf numFmtId="49" fontId="182" fillId="0" borderId="14" xfId="0" applyNumberFormat="1" applyFont="1" applyFill="1" applyBorder="1" applyAlignment="1" applyProtection="1">
      <alignment horizontal="center" vertical="center" wrapText="1"/>
    </xf>
    <xf numFmtId="49" fontId="182" fillId="76" borderId="14" xfId="0" applyNumberFormat="1" applyFont="1" applyFill="1" applyBorder="1" applyAlignment="1" applyProtection="1">
      <alignment horizontal="center" vertical="center" wrapText="1"/>
    </xf>
    <xf numFmtId="49" fontId="183" fillId="0" borderId="14" xfId="2441" applyFont="1" applyFill="1" applyBorder="1" applyAlignment="1" applyProtection="1">
      <alignment horizontal="center" vertical="center" wrapText="1"/>
    </xf>
    <xf numFmtId="0" fontId="183" fillId="0" borderId="14" xfId="2442" applyFont="1" applyFill="1" applyBorder="1" applyAlignment="1" applyProtection="1">
      <alignment horizontal="center" vertical="center" wrapText="1"/>
    </xf>
    <xf numFmtId="0" fontId="182" fillId="0" borderId="14" xfId="2442" applyFont="1" applyFill="1" applyBorder="1" applyAlignment="1" applyProtection="1">
      <alignment horizontal="center" vertical="center" wrapText="1"/>
    </xf>
    <xf numFmtId="0" fontId="183" fillId="0" borderId="14" xfId="2443" applyFont="1" applyFill="1" applyBorder="1" applyAlignment="1" applyProtection="1">
      <alignment horizontal="center" vertical="center" wrapText="1"/>
    </xf>
    <xf numFmtId="49" fontId="183" fillId="76" borderId="14" xfId="0" applyNumberFormat="1" applyFont="1" applyFill="1" applyBorder="1" applyAlignment="1" applyProtection="1">
      <alignment horizontal="center" vertical="center" wrapText="1"/>
    </xf>
    <xf numFmtId="49" fontId="183" fillId="0" borderId="14" xfId="2441" applyNumberFormat="1" applyFont="1" applyFill="1" applyBorder="1" applyAlignment="1" applyProtection="1">
      <alignment horizontal="center" vertical="center" wrapText="1"/>
    </xf>
    <xf numFmtId="0" fontId="183" fillId="0" borderId="14" xfId="2444" applyFont="1" applyFill="1" applyBorder="1" applyAlignment="1" applyProtection="1">
      <alignment horizontal="center" vertical="center" wrapText="1"/>
    </xf>
    <xf numFmtId="0" fontId="183" fillId="0" borderId="14" xfId="2445" applyFont="1" applyFill="1" applyBorder="1" applyAlignment="1" applyProtection="1">
      <alignment horizontal="center" vertical="center" wrapText="1"/>
    </xf>
    <xf numFmtId="49" fontId="182" fillId="0" borderId="14" xfId="2441" applyFont="1" applyFill="1" applyBorder="1" applyAlignment="1" applyProtection="1">
      <alignment horizontal="center" vertical="center" wrapText="1"/>
    </xf>
    <xf numFmtId="0" fontId="184" fillId="82" borderId="14" xfId="0" applyFont="1" applyFill="1" applyBorder="1" applyAlignment="1" applyProtection="1">
      <alignment horizontal="center" vertical="center" wrapText="1"/>
    </xf>
    <xf numFmtId="49" fontId="183" fillId="82" borderId="14" xfId="0" applyNumberFormat="1" applyFont="1" applyFill="1" applyBorder="1" applyAlignment="1" applyProtection="1">
      <alignment horizontal="center" vertical="center" wrapText="1"/>
    </xf>
    <xf numFmtId="0" fontId="183" fillId="0" borderId="14" xfId="2441" applyNumberFormat="1" applyFont="1" applyFill="1" applyBorder="1" applyAlignment="1" applyProtection="1">
      <alignment horizontal="center" vertical="center" wrapText="1"/>
    </xf>
    <xf numFmtId="49" fontId="182" fillId="54" borderId="14" xfId="2441" applyFont="1" applyFill="1" applyBorder="1" applyAlignment="1" applyProtection="1">
      <alignment horizontal="center" vertical="center" wrapText="1"/>
    </xf>
    <xf numFmtId="0" fontId="182" fillId="0" borderId="14" xfId="0" applyFont="1" applyBorder="1" applyAlignment="1">
      <alignment horizontal="center" vertical="center" wrapText="1"/>
    </xf>
    <xf numFmtId="0" fontId="182" fillId="0" borderId="14" xfId="0" applyFont="1" applyFill="1" applyBorder="1" applyAlignment="1" applyProtection="1">
      <alignment horizontal="center" vertical="center" wrapText="1"/>
    </xf>
    <xf numFmtId="0" fontId="181" fillId="79" borderId="14" xfId="0" applyFont="1" applyFill="1" applyBorder="1" applyAlignment="1" applyProtection="1">
      <alignment horizontal="center" vertical="center" wrapText="1"/>
    </xf>
    <xf numFmtId="0" fontId="181" fillId="33" borderId="14" xfId="0" applyFont="1" applyFill="1" applyBorder="1" applyAlignment="1" applyProtection="1">
      <alignment horizontal="center" vertical="center" wrapText="1"/>
    </xf>
    <xf numFmtId="0" fontId="181" fillId="78" borderId="14" xfId="0" applyFont="1" applyFill="1" applyBorder="1" applyAlignment="1" applyProtection="1">
      <alignment horizontal="center" vertical="center" wrapText="1"/>
    </xf>
    <xf numFmtId="0" fontId="181" fillId="35" borderId="14" xfId="0" applyFont="1" applyFill="1" applyBorder="1" applyAlignment="1" applyProtection="1">
      <alignment horizontal="center" vertical="center" wrapText="1"/>
    </xf>
    <xf numFmtId="0" fontId="182" fillId="55" borderId="14" xfId="0" applyFont="1" applyFill="1" applyBorder="1" applyAlignment="1" applyProtection="1">
      <alignment horizontal="center" vertical="center" wrapText="1"/>
    </xf>
    <xf numFmtId="0" fontId="182" fillId="76" borderId="14" xfId="0" applyNumberFormat="1" applyFont="1" applyFill="1" applyBorder="1" applyAlignment="1" applyProtection="1">
      <alignment horizontal="center" vertical="center" wrapText="1"/>
    </xf>
    <xf numFmtId="0" fontId="182" fillId="0" borderId="14" xfId="0" applyNumberFormat="1" applyFont="1" applyFill="1" applyBorder="1" applyAlignment="1" applyProtection="1">
      <alignment horizontal="center" vertical="center" wrapText="1"/>
    </xf>
    <xf numFmtId="0" fontId="2" fillId="74" borderId="33" xfId="0" applyFont="1" applyFill="1" applyBorder="1" applyAlignment="1" applyProtection="1">
      <alignment horizontal="center" vertical="center" wrapText="1"/>
    </xf>
    <xf numFmtId="0" fontId="2" fillId="74" borderId="90" xfId="0" applyFont="1" applyFill="1" applyBorder="1" applyAlignment="1" applyProtection="1">
      <alignment horizontal="center" vertical="center" wrapText="1"/>
    </xf>
    <xf numFmtId="0" fontId="2" fillId="74" borderId="91" xfId="0" applyFont="1" applyFill="1" applyBorder="1" applyAlignment="1" applyProtection="1">
      <alignment horizontal="center" vertical="center" wrapText="1"/>
    </xf>
    <xf numFmtId="0" fontId="2" fillId="63" borderId="93" xfId="0" applyFont="1" applyFill="1" applyBorder="1" applyAlignment="1" applyProtection="1">
      <alignment horizontal="center" vertical="center" wrapText="1"/>
    </xf>
    <xf numFmtId="0" fontId="2" fillId="63" borderId="94" xfId="0" applyFont="1" applyFill="1" applyBorder="1" applyAlignment="1" applyProtection="1">
      <alignment horizontal="center" vertical="center" wrapText="1"/>
    </xf>
    <xf numFmtId="0" fontId="2" fillId="63" borderId="95" xfId="0" applyFont="1" applyFill="1" applyBorder="1" applyAlignment="1" applyProtection="1">
      <alignment horizontal="center" vertical="center" wrapText="1"/>
    </xf>
    <xf numFmtId="0" fontId="2" fillId="63" borderId="96" xfId="0" applyFont="1" applyFill="1" applyBorder="1" applyAlignment="1" applyProtection="1">
      <alignment horizontal="center" vertical="center" wrapText="1"/>
    </xf>
    <xf numFmtId="2" fontId="2" fillId="73" borderId="49" xfId="0" applyNumberFormat="1" applyFont="1" applyFill="1" applyBorder="1" applyAlignment="1" applyProtection="1">
      <alignment horizontal="center" vertical="center" wrapText="1"/>
    </xf>
    <xf numFmtId="2" fontId="2" fillId="63" borderId="55" xfId="0" applyNumberFormat="1" applyFont="1" applyFill="1" applyBorder="1" applyAlignment="1" applyProtection="1">
      <alignment horizontal="center" vertical="center" wrapText="1"/>
    </xf>
    <xf numFmtId="0" fontId="182" fillId="0" borderId="97" xfId="0" applyFont="1" applyBorder="1" applyAlignment="1">
      <alignment vertical="top"/>
    </xf>
    <xf numFmtId="176" fontId="182" fillId="0" borderId="78" xfId="0" applyNumberFormat="1" applyFont="1" applyFill="1" applyBorder="1" applyAlignment="1" applyProtection="1">
      <alignment vertical="center"/>
    </xf>
    <xf numFmtId="176" fontId="182" fillId="0" borderId="80" xfId="0" applyNumberFormat="1" applyFont="1" applyFill="1" applyBorder="1" applyAlignment="1" applyProtection="1">
      <alignment vertical="center" wrapText="1"/>
    </xf>
    <xf numFmtId="176" fontId="182" fillId="0" borderId="98" xfId="0" applyNumberFormat="1" applyFont="1" applyFill="1" applyBorder="1" applyAlignment="1" applyProtection="1">
      <alignment vertical="center" wrapText="1"/>
    </xf>
    <xf numFmtId="176" fontId="182" fillId="76" borderId="76" xfId="0" applyNumberFormat="1" applyFont="1" applyFill="1" applyBorder="1" applyAlignment="1" applyProtection="1">
      <alignment vertical="center" wrapText="1"/>
    </xf>
    <xf numFmtId="176" fontId="182" fillId="76" borderId="98" xfId="0" applyNumberFormat="1" applyFont="1" applyFill="1" applyBorder="1" applyAlignment="1" applyProtection="1">
      <alignment vertical="center" wrapText="1"/>
    </xf>
    <xf numFmtId="176" fontId="182" fillId="76" borderId="75" xfId="0" applyNumberFormat="1" applyFont="1" applyFill="1" applyBorder="1" applyAlignment="1" applyProtection="1">
      <alignment vertical="center" wrapText="1"/>
    </xf>
    <xf numFmtId="176" fontId="182" fillId="76" borderId="99" xfId="0" applyNumberFormat="1" applyFont="1" applyFill="1" applyBorder="1" applyAlignment="1" applyProtection="1">
      <alignment vertical="center" wrapText="1"/>
    </xf>
    <xf numFmtId="176" fontId="182" fillId="76" borderId="100" xfId="0" applyNumberFormat="1" applyFont="1" applyFill="1" applyBorder="1" applyAlignment="1" applyProtection="1">
      <alignment vertical="center" wrapText="1"/>
    </xf>
    <xf numFmtId="176" fontId="182" fillId="76" borderId="74" xfId="0" applyNumberFormat="1" applyFont="1" applyFill="1" applyBorder="1" applyAlignment="1" applyProtection="1">
      <alignment vertical="center" wrapText="1"/>
    </xf>
    <xf numFmtId="176" fontId="182" fillId="76" borderId="97" xfId="0" applyNumberFormat="1" applyFont="1" applyFill="1" applyBorder="1" applyAlignment="1" applyProtection="1">
      <alignment vertical="center" wrapText="1"/>
    </xf>
    <xf numFmtId="176" fontId="182" fillId="76" borderId="78" xfId="0" applyNumberFormat="1" applyFont="1" applyFill="1" applyBorder="1" applyAlignment="1" applyProtection="1">
      <alignment vertical="center" wrapText="1"/>
    </xf>
    <xf numFmtId="176" fontId="182" fillId="76" borderId="101" xfId="0" applyNumberFormat="1" applyFont="1" applyFill="1" applyBorder="1" applyAlignment="1" applyProtection="1">
      <alignment vertical="center" wrapText="1"/>
    </xf>
    <xf numFmtId="176" fontId="182" fillId="76" borderId="102" xfId="0" applyNumberFormat="1" applyFont="1" applyFill="1" applyBorder="1" applyAlignment="1" applyProtection="1">
      <alignment vertical="center" wrapText="1"/>
    </xf>
    <xf numFmtId="49" fontId="182" fillId="76" borderId="103" xfId="0" applyNumberFormat="1" applyFont="1" applyFill="1" applyBorder="1" applyAlignment="1" applyProtection="1">
      <alignment horizontal="center" vertical="center" wrapText="1"/>
    </xf>
    <xf numFmtId="0" fontId="182" fillId="0" borderId="103" xfId="0" applyFont="1" applyBorder="1" applyAlignment="1" applyProtection="1">
      <alignment horizontal="center" vertical="center"/>
    </xf>
    <xf numFmtId="49" fontId="182" fillId="0" borderId="14" xfId="2441" applyFont="1" applyFill="1" applyBorder="1" applyAlignment="1" applyProtection="1">
      <alignment horizontal="center" vertical="center"/>
    </xf>
    <xf numFmtId="49" fontId="182" fillId="2" borderId="14" xfId="0" applyNumberFormat="1" applyFont="1" applyFill="1" applyBorder="1" applyAlignment="1" applyProtection="1">
      <alignment horizontal="center" vertical="center" wrapText="1"/>
    </xf>
    <xf numFmtId="4" fontId="182" fillId="2" borderId="14" xfId="0" applyNumberFormat="1" applyFont="1" applyFill="1" applyBorder="1" applyAlignment="1" applyProtection="1">
      <alignment horizontal="center" vertical="center"/>
    </xf>
    <xf numFmtId="0" fontId="182" fillId="0" borderId="14" xfId="0" applyFont="1" applyBorder="1" applyAlignment="1">
      <alignment horizontal="center" vertical="center"/>
    </xf>
    <xf numFmtId="49" fontId="182" fillId="55" borderId="14" xfId="0" applyNumberFormat="1" applyFont="1" applyFill="1" applyBorder="1" applyAlignment="1" applyProtection="1">
      <alignment horizontal="center" vertical="center" wrapText="1"/>
    </xf>
    <xf numFmtId="176" fontId="182" fillId="76" borderId="104" xfId="0" applyNumberFormat="1" applyFont="1" applyFill="1" applyBorder="1" applyAlignment="1" applyProtection="1">
      <alignment vertical="center" wrapText="1"/>
    </xf>
    <xf numFmtId="176" fontId="182" fillId="76" borderId="105" xfId="0" applyNumberFormat="1" applyFont="1" applyFill="1" applyBorder="1" applyAlignment="1" applyProtection="1">
      <alignment vertical="center" wrapText="1"/>
    </xf>
    <xf numFmtId="176" fontId="182" fillId="76" borderId="106" xfId="0" applyNumberFormat="1" applyFont="1" applyFill="1" applyBorder="1" applyAlignment="1" applyProtection="1">
      <alignment vertical="center" wrapText="1"/>
    </xf>
    <xf numFmtId="176" fontId="182" fillId="76" borderId="107" xfId="0" applyNumberFormat="1" applyFont="1" applyFill="1" applyBorder="1" applyAlignment="1" applyProtection="1">
      <alignment vertical="center" wrapText="1"/>
    </xf>
    <xf numFmtId="176" fontId="182" fillId="76" borderId="13" xfId="0" applyNumberFormat="1" applyFont="1" applyFill="1" applyBorder="1" applyAlignment="1" applyProtection="1">
      <alignment vertical="center" wrapText="1"/>
    </xf>
    <xf numFmtId="176" fontId="182" fillId="76" borderId="108" xfId="0" applyNumberFormat="1" applyFont="1" applyFill="1" applyBorder="1" applyAlignment="1" applyProtection="1">
      <alignment vertical="center" wrapText="1"/>
    </xf>
    <xf numFmtId="176" fontId="182" fillId="76" borderId="109" xfId="0" applyNumberFormat="1" applyFont="1" applyFill="1" applyBorder="1" applyAlignment="1" applyProtection="1">
      <alignment vertical="center" wrapText="1"/>
    </xf>
    <xf numFmtId="0" fontId="182" fillId="0" borderId="110" xfId="0" applyFont="1" applyBorder="1" applyAlignment="1">
      <alignment vertical="top"/>
    </xf>
    <xf numFmtId="0" fontId="182" fillId="0" borderId="14" xfId="0" applyFont="1" applyFill="1" applyBorder="1" applyAlignment="1">
      <alignment vertical="top"/>
    </xf>
    <xf numFmtId="0" fontId="182" fillId="0" borderId="80" xfId="0" applyFont="1" applyFill="1" applyBorder="1" applyAlignment="1">
      <alignment vertical="top"/>
    </xf>
    <xf numFmtId="10" fontId="185" fillId="0" borderId="98" xfId="2440" applyNumberFormat="1" applyFont="1" applyFill="1" applyBorder="1" applyAlignment="1">
      <alignment vertical="top"/>
    </xf>
    <xf numFmtId="0" fontId="182" fillId="0" borderId="81" xfId="0" applyFont="1" applyBorder="1" applyAlignment="1">
      <alignment vertical="top"/>
    </xf>
    <xf numFmtId="167" fontId="182" fillId="0" borderId="111" xfId="0" applyNumberFormat="1" applyFont="1" applyBorder="1" applyAlignment="1">
      <alignment vertical="top"/>
    </xf>
    <xf numFmtId="0" fontId="182" fillId="0" borderId="111" xfId="0" applyFont="1" applyBorder="1" applyAlignment="1">
      <alignment vertical="top"/>
    </xf>
    <xf numFmtId="0" fontId="182" fillId="0" borderId="112" xfId="0" applyFont="1" applyBorder="1" applyAlignment="1">
      <alignment vertical="top"/>
    </xf>
    <xf numFmtId="0" fontId="182" fillId="0" borderId="113" xfId="0" applyFont="1" applyBorder="1" applyAlignment="1">
      <alignment vertical="top"/>
    </xf>
    <xf numFmtId="0" fontId="182" fillId="0" borderId="114" xfId="0" applyFont="1" applyBorder="1" applyAlignment="1">
      <alignment vertical="top"/>
    </xf>
    <xf numFmtId="0" fontId="182" fillId="0" borderId="115" xfId="0" applyFont="1" applyBorder="1" applyAlignment="1">
      <alignment vertical="top"/>
    </xf>
    <xf numFmtId="0" fontId="182" fillId="0" borderId="14" xfId="0" applyFont="1" applyBorder="1" applyAlignment="1">
      <alignment vertical="top"/>
    </xf>
    <xf numFmtId="0" fontId="182" fillId="0" borderId="116" xfId="0" applyFont="1" applyBorder="1" applyAlignment="1">
      <alignment vertical="top"/>
    </xf>
    <xf numFmtId="0" fontId="182" fillId="0" borderId="89" xfId="0" applyFont="1" applyBorder="1" applyAlignment="1">
      <alignment vertical="top"/>
    </xf>
    <xf numFmtId="0" fontId="182" fillId="82" borderId="78" xfId="0" applyFont="1" applyFill="1" applyBorder="1" applyAlignment="1" applyProtection="1">
      <alignment horizontal="center" vertical="center" wrapText="1"/>
    </xf>
    <xf numFmtId="0" fontId="181" fillId="0" borderId="78" xfId="0" applyFont="1" applyBorder="1" applyAlignment="1" applyProtection="1">
      <alignment horizontal="center" vertical="center"/>
    </xf>
    <xf numFmtId="0" fontId="182" fillId="0" borderId="14" xfId="2441" applyNumberFormat="1" applyFont="1" applyFill="1" applyBorder="1" applyAlignment="1" applyProtection="1">
      <alignment horizontal="center" vertical="center" wrapText="1"/>
    </xf>
    <xf numFmtId="0" fontId="181" fillId="82" borderId="14" xfId="0" applyFont="1" applyFill="1" applyBorder="1" applyAlignment="1" applyProtection="1">
      <alignment horizontal="center" vertical="center" wrapText="1"/>
    </xf>
    <xf numFmtId="0" fontId="181" fillId="0" borderId="14" xfId="0" applyFont="1" applyBorder="1" applyAlignment="1">
      <alignment horizontal="center" vertical="center"/>
    </xf>
    <xf numFmtId="49" fontId="182" fillId="82" borderId="14" xfId="0" applyNumberFormat="1" applyFont="1" applyFill="1" applyBorder="1" applyAlignment="1" applyProtection="1">
      <alignment horizontal="center" vertical="center" wrapText="1"/>
    </xf>
    <xf numFmtId="49" fontId="182" fillId="0" borderId="14" xfId="2441" applyNumberFormat="1" applyFont="1" applyFill="1" applyBorder="1" applyAlignment="1" applyProtection="1">
      <alignment horizontal="center" vertical="center" wrapText="1"/>
    </xf>
    <xf numFmtId="0" fontId="182" fillId="0" borderId="14" xfId="0" applyNumberFormat="1" applyFont="1" applyBorder="1" applyAlignment="1">
      <alignment horizontal="center" vertical="center"/>
    </xf>
    <xf numFmtId="49" fontId="182" fillId="0" borderId="14" xfId="0" applyNumberFormat="1" applyFont="1" applyBorder="1" applyAlignment="1">
      <alignment horizontal="center" vertical="center"/>
    </xf>
    <xf numFmtId="167" fontId="182" fillId="0" borderId="117" xfId="0" applyNumberFormat="1" applyFont="1" applyBorder="1" applyAlignment="1">
      <alignment vertical="top"/>
    </xf>
    <xf numFmtId="0" fontId="182" fillId="0" borderId="105" xfId="0" applyFont="1" applyBorder="1" applyAlignment="1">
      <alignment vertical="top"/>
    </xf>
    <xf numFmtId="0" fontId="182" fillId="0" borderId="106" xfId="0" applyFont="1" applyBorder="1" applyAlignment="1">
      <alignment vertical="top"/>
    </xf>
    <xf numFmtId="0" fontId="182" fillId="0" borderId="107" xfId="0" applyFont="1" applyBorder="1" applyAlignment="1">
      <alignment vertical="top"/>
    </xf>
    <xf numFmtId="0" fontId="182" fillId="0" borderId="13" xfId="0" applyFont="1" applyBorder="1" applyAlignment="1">
      <alignment vertical="top"/>
    </xf>
    <xf numFmtId="0" fontId="182" fillId="0" borderId="108" xfId="0" applyFont="1" applyBorder="1" applyAlignment="1">
      <alignment vertical="top"/>
    </xf>
    <xf numFmtId="0" fontId="182" fillId="0" borderId="109" xfId="0" applyFont="1" applyBorder="1" applyAlignment="1">
      <alignment vertical="top"/>
    </xf>
    <xf numFmtId="216" fontId="152" fillId="83" borderId="0" xfId="2427" applyNumberFormat="1" applyFont="1" applyFill="1"/>
    <xf numFmtId="167" fontId="186" fillId="83" borderId="97" xfId="2427" applyFont="1" applyFill="1" applyBorder="1" applyAlignment="1" applyProtection="1">
      <alignment vertical="center"/>
    </xf>
    <xf numFmtId="167" fontId="138" fillId="83" borderId="78" xfId="2427" applyFont="1" applyFill="1" applyBorder="1" applyAlignment="1" applyProtection="1">
      <alignment vertical="center"/>
    </xf>
    <xf numFmtId="167" fontId="138" fillId="83" borderId="80" xfId="2427" applyFont="1" applyFill="1" applyBorder="1" applyAlignment="1" applyProtection="1">
      <alignment vertical="center" wrapText="1"/>
    </xf>
    <xf numFmtId="167" fontId="138" fillId="83" borderId="83" xfId="2427" applyFont="1" applyFill="1" applyBorder="1" applyAlignment="1" applyProtection="1">
      <alignment horizontal="right" vertical="center"/>
    </xf>
    <xf numFmtId="167" fontId="138" fillId="83" borderId="84" xfId="2427" applyFont="1" applyFill="1" applyBorder="1" applyAlignment="1" applyProtection="1">
      <alignment horizontal="left" vertical="center"/>
    </xf>
    <xf numFmtId="167" fontId="138" fillId="83" borderId="118" xfId="2427" applyFont="1" applyFill="1" applyBorder="1" applyAlignment="1" applyProtection="1">
      <alignment horizontal="right" vertical="center"/>
    </xf>
    <xf numFmtId="167" fontId="138" fillId="83" borderId="119" xfId="2427" applyFont="1" applyFill="1" applyBorder="1" applyAlignment="1" applyProtection="1">
      <alignment horizontal="right" vertical="center"/>
    </xf>
    <xf numFmtId="167" fontId="138" fillId="83" borderId="120" xfId="2427" applyFont="1" applyFill="1" applyBorder="1" applyAlignment="1" applyProtection="1">
      <alignment horizontal="right" vertical="center"/>
    </xf>
    <xf numFmtId="167" fontId="138" fillId="83" borderId="121" xfId="2427" applyFont="1" applyFill="1" applyBorder="1" applyAlignment="1" applyProtection="1">
      <alignment horizontal="right" vertical="center"/>
    </xf>
    <xf numFmtId="167" fontId="138" fillId="83" borderId="86" xfId="2427" applyFont="1" applyFill="1" applyBorder="1" applyAlignment="1" applyProtection="1">
      <alignment horizontal="right" vertical="center"/>
    </xf>
    <xf numFmtId="167" fontId="138" fillId="83" borderId="87" xfId="2427" applyFont="1" applyFill="1" applyBorder="1" applyAlignment="1" applyProtection="1">
      <alignment horizontal="right" vertical="center"/>
    </xf>
    <xf numFmtId="167" fontId="138" fillId="83" borderId="88" xfId="2427" applyFont="1" applyFill="1" applyBorder="1" applyAlignment="1" applyProtection="1">
      <alignment horizontal="right" vertical="center"/>
    </xf>
    <xf numFmtId="167" fontId="138" fillId="83" borderId="122" xfId="2427" applyFont="1" applyFill="1" applyBorder="1" applyAlignment="1" applyProtection="1">
      <alignment horizontal="right" vertical="center"/>
    </xf>
    <xf numFmtId="167" fontId="138" fillId="83" borderId="103" xfId="2427" applyFont="1" applyFill="1" applyBorder="1" applyAlignment="1" applyProtection="1">
      <alignment horizontal="right" vertical="center"/>
    </xf>
    <xf numFmtId="167" fontId="152" fillId="83" borderId="89" xfId="2427" applyFont="1" applyFill="1" applyBorder="1" applyAlignment="1" applyProtection="1">
      <alignment horizontal="right" vertical="center"/>
    </xf>
    <xf numFmtId="167" fontId="138" fillId="83" borderId="103" xfId="2427" applyFont="1" applyFill="1" applyBorder="1" applyAlignment="1" applyProtection="1">
      <alignment vertical="center"/>
    </xf>
    <xf numFmtId="167" fontId="187" fillId="83" borderId="123" xfId="2427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vertical="center"/>
    </xf>
    <xf numFmtId="167" fontId="187" fillId="55" borderId="0" xfId="2427" applyFont="1" applyFill="1" applyBorder="1" applyAlignment="1" applyProtection="1">
      <alignment horizontal="right" vertical="center"/>
    </xf>
    <xf numFmtId="167" fontId="152" fillId="83" borderId="14" xfId="2427" applyFont="1" applyFill="1" applyBorder="1" applyAlignment="1" applyProtection="1">
      <alignment horizontal="right" vertical="center"/>
    </xf>
    <xf numFmtId="167" fontId="152" fillId="83" borderId="14" xfId="2427" quotePrefix="1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horizontal="right" vertical="center"/>
    </xf>
    <xf numFmtId="167" fontId="138" fillId="83" borderId="92" xfId="2427" applyFont="1" applyFill="1" applyBorder="1" applyAlignment="1" applyProtection="1">
      <alignment horizontal="right" vertical="center"/>
    </xf>
    <xf numFmtId="167" fontId="138" fillId="83" borderId="105" xfId="2427" applyFont="1" applyFill="1" applyBorder="1" applyAlignment="1" applyProtection="1">
      <alignment horizontal="right" vertical="center"/>
    </xf>
    <xf numFmtId="167" fontId="138" fillId="83" borderId="106" xfId="2427" applyFont="1" applyFill="1" applyBorder="1" applyAlignment="1" applyProtection="1">
      <alignment horizontal="right" vertical="center"/>
    </xf>
    <xf numFmtId="167" fontId="138" fillId="83" borderId="107" xfId="2427" applyFont="1" applyFill="1" applyBorder="1" applyAlignment="1" applyProtection="1">
      <alignment horizontal="right" vertical="center"/>
    </xf>
    <xf numFmtId="167" fontId="138" fillId="83" borderId="13" xfId="2427" applyFont="1" applyFill="1" applyBorder="1" applyAlignment="1" applyProtection="1">
      <alignment horizontal="right" vertical="center"/>
    </xf>
    <xf numFmtId="167" fontId="138" fillId="83" borderId="108" xfId="2427" applyFont="1" applyFill="1" applyBorder="1" applyAlignment="1" applyProtection="1">
      <alignment horizontal="right" vertical="center"/>
    </xf>
    <xf numFmtId="167" fontId="138" fillId="83" borderId="109" xfId="2427" applyFont="1" applyFill="1" applyBorder="1" applyAlignment="1" applyProtection="1">
      <alignment horizontal="right" vertical="center"/>
    </xf>
    <xf numFmtId="167" fontId="138" fillId="83" borderId="84" xfId="2427" applyFont="1" applyFill="1" applyBorder="1" applyAlignment="1" applyProtection="1">
      <alignment horizontal="right" vertical="center"/>
    </xf>
    <xf numFmtId="167" fontId="152" fillId="83" borderId="0" xfId="2427" applyFont="1" applyFill="1"/>
    <xf numFmtId="167" fontId="188" fillId="0" borderId="97" xfId="2427" applyFont="1" applyFill="1" applyBorder="1" applyAlignment="1" applyProtection="1">
      <alignment vertical="center"/>
    </xf>
    <xf numFmtId="167" fontId="188" fillId="0" borderId="78" xfId="2427" applyFont="1" applyFill="1" applyBorder="1" applyAlignment="1" applyProtection="1">
      <alignment vertical="center"/>
    </xf>
    <xf numFmtId="167" fontId="188" fillId="0" borderId="80" xfId="2427" applyFont="1" applyFill="1" applyBorder="1" applyAlignment="1" applyProtection="1">
      <alignment vertical="center" wrapText="1"/>
    </xf>
    <xf numFmtId="167" fontId="188" fillId="0" borderId="52" xfId="2427" applyFont="1" applyFill="1" applyBorder="1" applyAlignment="1" applyProtection="1">
      <alignment vertical="center" wrapText="1"/>
    </xf>
    <xf numFmtId="167" fontId="188" fillId="0" borderId="57" xfId="2427" applyFont="1" applyFill="1" applyBorder="1" applyAlignment="1" applyProtection="1">
      <alignment horizontal="left" vertical="center"/>
    </xf>
    <xf numFmtId="167" fontId="188" fillId="0" borderId="52" xfId="2427" applyFont="1" applyFill="1" applyBorder="1" applyAlignment="1" applyProtection="1">
      <alignment horizontal="right" vertical="center"/>
    </xf>
    <xf numFmtId="167" fontId="188" fillId="0" borderId="56" xfId="2427" applyFont="1" applyFill="1" applyBorder="1" applyAlignment="1" applyProtection="1">
      <alignment horizontal="right" vertical="center"/>
    </xf>
    <xf numFmtId="167" fontId="188" fillId="0" borderId="1" xfId="2427" applyFont="1" applyFill="1" applyBorder="1" applyAlignment="1" applyProtection="1">
      <alignment horizontal="right" vertical="center"/>
    </xf>
    <xf numFmtId="167" fontId="188" fillId="0" borderId="17" xfId="2427" applyFont="1" applyFill="1" applyBorder="1" applyAlignment="1" applyProtection="1">
      <alignment horizontal="right" vertical="center"/>
    </xf>
    <xf numFmtId="167" fontId="188" fillId="0" borderId="0" xfId="2427" applyFont="1" applyFill="1" applyBorder="1" applyAlignment="1" applyProtection="1">
      <alignment horizontal="right" vertical="center"/>
    </xf>
    <xf numFmtId="167" fontId="188" fillId="0" borderId="57" xfId="2427" applyFont="1" applyFill="1" applyBorder="1" applyAlignment="1" applyProtection="1">
      <alignment horizontal="right" vertical="center"/>
    </xf>
    <xf numFmtId="167" fontId="188" fillId="0" borderId="124" xfId="2427" applyFont="1" applyFill="1" applyBorder="1" applyAlignment="1" applyProtection="1">
      <alignment horizontal="right" vertical="center"/>
    </xf>
    <xf numFmtId="167" fontId="188" fillId="0" borderId="125" xfId="2427" applyFont="1" applyFill="1" applyBorder="1" applyAlignment="1" applyProtection="1">
      <alignment horizontal="right" vertical="center"/>
    </xf>
    <xf numFmtId="167" fontId="188" fillId="0" borderId="126" xfId="2427" applyFont="1" applyFill="1" applyBorder="1" applyAlignment="1" applyProtection="1">
      <alignment horizontal="right" vertical="center"/>
    </xf>
    <xf numFmtId="167" fontId="188" fillId="0" borderId="122" xfId="2427" applyFont="1" applyFill="1" applyBorder="1" applyAlignment="1" applyProtection="1">
      <alignment horizontal="right" vertical="center"/>
    </xf>
    <xf numFmtId="167" fontId="188" fillId="0" borderId="103" xfId="2427" applyFont="1" applyFill="1" applyBorder="1" applyAlignment="1" applyProtection="1">
      <alignment horizontal="right" vertical="center"/>
    </xf>
    <xf numFmtId="167" fontId="188" fillId="0" borderId="89" xfId="2427" applyFont="1" applyFill="1" applyBorder="1" applyAlignment="1" applyProtection="1">
      <alignment horizontal="right" vertical="center"/>
    </xf>
    <xf numFmtId="167" fontId="188" fillId="0" borderId="103" xfId="2427" applyFont="1" applyFill="1" applyBorder="1" applyAlignment="1" applyProtection="1">
      <alignment vertical="center"/>
    </xf>
    <xf numFmtId="167" fontId="188" fillId="0" borderId="123" xfId="2427" applyFont="1" applyFill="1" applyBorder="1" applyAlignment="1" applyProtection="1">
      <alignment horizontal="right" vertical="center"/>
    </xf>
    <xf numFmtId="167" fontId="188" fillId="0" borderId="14" xfId="2427" applyFont="1" applyFill="1" applyBorder="1" applyAlignment="1" applyProtection="1">
      <alignment vertical="center"/>
    </xf>
    <xf numFmtId="167" fontId="188" fillId="0" borderId="14" xfId="2427" applyFont="1" applyFill="1" applyBorder="1" applyAlignment="1" applyProtection="1">
      <alignment horizontal="right" vertical="center"/>
    </xf>
    <xf numFmtId="167" fontId="188" fillId="0" borderId="14" xfId="2427" quotePrefix="1" applyFont="1" applyFill="1" applyBorder="1" applyAlignment="1" applyProtection="1">
      <alignment horizontal="right" vertical="center"/>
    </xf>
    <xf numFmtId="10" fontId="188" fillId="0" borderId="56" xfId="2440" applyNumberFormat="1" applyFont="1" applyFill="1" applyBorder="1" applyAlignment="1" applyProtection="1">
      <alignment horizontal="right" vertical="center"/>
    </xf>
    <xf numFmtId="10" fontId="188" fillId="0" borderId="79" xfId="2440" applyNumberFormat="1" applyFont="1" applyFill="1" applyBorder="1" applyAlignment="1" applyProtection="1">
      <alignment horizontal="right" vertical="center"/>
    </xf>
    <xf numFmtId="10" fontId="188" fillId="0" borderId="0" xfId="2440" applyNumberFormat="1" applyFont="1" applyFill="1" applyBorder="1" applyAlignment="1" applyProtection="1">
      <alignment horizontal="right" vertical="center"/>
    </xf>
    <xf numFmtId="167" fontId="188" fillId="0" borderId="105" xfId="2427" applyFont="1" applyFill="1" applyBorder="1" applyAlignment="1" applyProtection="1">
      <alignment horizontal="right" vertical="center"/>
    </xf>
    <xf numFmtId="176" fontId="188" fillId="0" borderId="106" xfId="2440" applyNumberFormat="1" applyFont="1" applyFill="1" applyBorder="1" applyAlignment="1" applyProtection="1">
      <alignment horizontal="right" vertical="center"/>
    </xf>
    <xf numFmtId="176" fontId="188" fillId="0" borderId="57" xfId="2440" applyNumberFormat="1" applyFont="1" applyFill="1" applyBorder="1" applyAlignment="1" applyProtection="1">
      <alignment horizontal="right" vertical="center"/>
    </xf>
    <xf numFmtId="176" fontId="188" fillId="0" borderId="107" xfId="2440" applyNumberFormat="1" applyFont="1" applyFill="1" applyBorder="1" applyAlignment="1" applyProtection="1">
      <alignment horizontal="right" vertical="center"/>
    </xf>
    <xf numFmtId="176" fontId="188" fillId="0" borderId="13" xfId="2440" applyNumberFormat="1" applyFont="1" applyFill="1" applyBorder="1" applyAlignment="1" applyProtection="1">
      <alignment horizontal="right" vertical="center"/>
    </xf>
    <xf numFmtId="176" fontId="188" fillId="0" borderId="108" xfId="2440" applyNumberFormat="1" applyFont="1" applyFill="1" applyBorder="1" applyAlignment="1" applyProtection="1">
      <alignment horizontal="right" vertical="center"/>
    </xf>
    <xf numFmtId="176" fontId="188" fillId="0" borderId="109" xfId="2440" applyNumberFormat="1" applyFont="1" applyFill="1" applyBorder="1" applyAlignment="1" applyProtection="1">
      <alignment horizontal="right" vertical="center"/>
    </xf>
    <xf numFmtId="176" fontId="188" fillId="0" borderId="52" xfId="2440" applyNumberFormat="1" applyFont="1" applyFill="1" applyBorder="1" applyAlignment="1" applyProtection="1">
      <alignment horizontal="right" vertical="center"/>
    </xf>
    <xf numFmtId="167" fontId="188" fillId="0" borderId="0" xfId="2427" applyFont="1" applyFill="1"/>
    <xf numFmtId="0" fontId="136" fillId="0" borderId="127" xfId="0" applyFont="1" applyFill="1" applyBorder="1"/>
    <xf numFmtId="0" fontId="189" fillId="0" borderId="128" xfId="0" applyFont="1" applyFill="1" applyBorder="1" applyAlignment="1" applyProtection="1">
      <alignment vertical="center"/>
    </xf>
    <xf numFmtId="0" fontId="4" fillId="0" borderId="129" xfId="0" applyFont="1" applyFill="1" applyBorder="1" applyAlignment="1" applyProtection="1">
      <alignment vertical="center"/>
    </xf>
    <xf numFmtId="0" fontId="4" fillId="0" borderId="130" xfId="0" applyFont="1" applyFill="1" applyBorder="1" applyAlignment="1" applyProtection="1">
      <alignment vertical="center" wrapText="1"/>
    </xf>
    <xf numFmtId="0" fontId="4" fillId="0" borderId="131" xfId="0" applyFont="1" applyFill="1" applyBorder="1" applyAlignment="1" applyProtection="1">
      <alignment vertical="center" wrapText="1"/>
    </xf>
    <xf numFmtId="0" fontId="4" fillId="0" borderId="132" xfId="0" applyFont="1" applyFill="1" applyBorder="1" applyAlignment="1" applyProtection="1">
      <alignment vertical="center" wrapText="1"/>
    </xf>
    <xf numFmtId="0" fontId="4" fillId="0" borderId="133" xfId="0" applyFont="1" applyFill="1" applyBorder="1" applyAlignment="1" applyProtection="1">
      <alignment vertical="center" wrapText="1"/>
    </xf>
    <xf numFmtId="0" fontId="4" fillId="0" borderId="134" xfId="0" applyFont="1" applyFill="1" applyBorder="1" applyAlignment="1" applyProtection="1">
      <alignment vertical="center" wrapText="1"/>
    </xf>
    <xf numFmtId="0" fontId="4" fillId="0" borderId="135" xfId="0" applyFont="1" applyFill="1" applyBorder="1" applyAlignment="1" applyProtection="1">
      <alignment vertical="center" wrapText="1"/>
    </xf>
    <xf numFmtId="0" fontId="4" fillId="0" borderId="136" xfId="0" applyFont="1" applyFill="1" applyBorder="1" applyAlignment="1" applyProtection="1">
      <alignment vertical="center" wrapText="1"/>
    </xf>
    <xf numFmtId="0" fontId="4" fillId="0" borderId="128" xfId="0" applyFont="1" applyFill="1" applyBorder="1" applyAlignment="1" applyProtection="1">
      <alignment vertical="center" wrapText="1"/>
    </xf>
    <xf numFmtId="0" fontId="4" fillId="0" borderId="129" xfId="0" applyFont="1" applyFill="1" applyBorder="1" applyAlignment="1" applyProtection="1">
      <alignment vertical="center" wrapText="1"/>
    </xf>
    <xf numFmtId="0" fontId="4" fillId="0" borderId="137" xfId="0" applyFont="1" applyFill="1" applyBorder="1" applyAlignment="1" applyProtection="1">
      <alignment vertical="center" wrapText="1"/>
    </xf>
    <xf numFmtId="0" fontId="4" fillId="0" borderId="138" xfId="0" applyFont="1" applyFill="1" applyBorder="1" applyAlignment="1" applyProtection="1">
      <alignment vertical="center" wrapText="1"/>
    </xf>
    <xf numFmtId="167" fontId="4" fillId="0" borderId="129" xfId="2427" applyFont="1" applyFill="1" applyBorder="1" applyAlignment="1" applyProtection="1">
      <alignment vertical="center" wrapText="1"/>
    </xf>
    <xf numFmtId="167" fontId="4" fillId="0" borderId="131" xfId="2427" applyFont="1" applyFill="1" applyBorder="1" applyAlignment="1" applyProtection="1">
      <alignment vertical="center" wrapText="1"/>
    </xf>
    <xf numFmtId="4" fontId="4" fillId="0" borderId="139" xfId="0" applyNumberFormat="1" applyFont="1" applyFill="1" applyBorder="1" applyAlignment="1" applyProtection="1">
      <alignment horizontal="right" vertical="center"/>
    </xf>
    <xf numFmtId="4" fontId="136" fillId="0" borderId="138" xfId="0" applyNumberFormat="1" applyFont="1" applyFill="1" applyBorder="1" applyAlignment="1" applyProtection="1">
      <alignment horizontal="right" vertical="center"/>
    </xf>
    <xf numFmtId="0" fontId="4" fillId="0" borderId="139" xfId="0" applyFont="1" applyFill="1" applyBorder="1" applyAlignment="1" applyProtection="1">
      <alignment vertical="center"/>
    </xf>
    <xf numFmtId="4" fontId="190" fillId="0" borderId="140" xfId="0" applyNumberFormat="1" applyFont="1" applyFill="1" applyBorder="1" applyAlignment="1" applyProtection="1">
      <alignment horizontal="right" vertical="center"/>
    </xf>
    <xf numFmtId="4" fontId="190" fillId="0" borderId="127" xfId="0" applyNumberFormat="1" applyFont="1" applyFill="1" applyBorder="1" applyAlignment="1" applyProtection="1">
      <alignment horizontal="right" vertical="center"/>
    </xf>
    <xf numFmtId="4" fontId="136" fillId="0" borderId="129" xfId="0" applyNumberFormat="1" applyFont="1" applyFill="1" applyBorder="1" applyAlignment="1" applyProtection="1">
      <alignment horizontal="right" vertical="center"/>
    </xf>
    <xf numFmtId="4" fontId="136" fillId="0" borderId="129" xfId="0" quotePrefix="1" applyNumberFormat="1" applyFont="1" applyFill="1" applyBorder="1" applyAlignment="1" applyProtection="1">
      <alignment horizontal="right" vertical="center"/>
    </xf>
    <xf numFmtId="3" fontId="4" fillId="0" borderId="129" xfId="0" applyNumberFormat="1" applyFont="1" applyFill="1" applyBorder="1" applyAlignment="1" applyProtection="1">
      <alignment horizontal="right" vertical="center"/>
    </xf>
    <xf numFmtId="205" fontId="4" fillId="0" borderId="129" xfId="0" applyNumberFormat="1" applyFont="1" applyFill="1" applyBorder="1" applyAlignment="1" applyProtection="1">
      <alignment horizontal="right" vertical="center"/>
    </xf>
    <xf numFmtId="0" fontId="4" fillId="0" borderId="141" xfId="0" applyFont="1" applyFill="1" applyBorder="1" applyAlignment="1" applyProtection="1">
      <alignment vertical="center" wrapText="1"/>
    </xf>
    <xf numFmtId="167" fontId="188" fillId="0" borderId="106" xfId="2427" applyFont="1" applyFill="1" applyBorder="1" applyAlignment="1" applyProtection="1">
      <alignment horizontal="right" vertical="center"/>
    </xf>
    <xf numFmtId="0" fontId="4" fillId="0" borderId="107" xfId="0" applyFont="1" applyFill="1" applyBorder="1" applyAlignment="1" applyProtection="1">
      <alignment vertical="center" wrapText="1"/>
    </xf>
    <xf numFmtId="0" fontId="4" fillId="0" borderId="13" xfId="0" applyFont="1" applyFill="1" applyBorder="1" applyAlignment="1" applyProtection="1">
      <alignment vertical="center" wrapText="1"/>
    </xf>
    <xf numFmtId="0" fontId="4" fillId="0" borderId="108" xfId="0" applyFont="1" applyFill="1" applyBorder="1" applyAlignment="1" applyProtection="1">
      <alignment vertical="center" wrapText="1"/>
    </xf>
    <xf numFmtId="167" fontId="4" fillId="0" borderId="13" xfId="2427" applyFont="1" applyFill="1" applyBorder="1" applyAlignment="1" applyProtection="1">
      <alignment vertical="center" wrapText="1"/>
    </xf>
    <xf numFmtId="0" fontId="4" fillId="0" borderId="109" xfId="0" applyFont="1" applyFill="1" applyBorder="1" applyAlignment="1" applyProtection="1">
      <alignment vertical="center" wrapText="1"/>
    </xf>
    <xf numFmtId="0" fontId="136" fillId="64" borderId="47" xfId="0" applyFont="1" applyFill="1" applyBorder="1"/>
    <xf numFmtId="0" fontId="136" fillId="64" borderId="142" xfId="0" applyFont="1" applyFill="1" applyBorder="1" applyAlignment="1" applyProtection="1">
      <alignment vertical="center"/>
    </xf>
    <xf numFmtId="0" fontId="191" fillId="64" borderId="143" xfId="0" applyFont="1" applyFill="1" applyBorder="1" applyAlignment="1" applyProtection="1">
      <alignment vertical="center"/>
    </xf>
    <xf numFmtId="0" fontId="4" fillId="64" borderId="144" xfId="0" applyFont="1" applyFill="1" applyBorder="1" applyAlignment="1" applyProtection="1">
      <alignment vertical="center" wrapText="1"/>
    </xf>
    <xf numFmtId="167" fontId="191" fillId="64" borderId="145" xfId="2427" applyFont="1" applyFill="1" applyBorder="1" applyAlignment="1" applyProtection="1">
      <alignment vertical="center" wrapText="1"/>
    </xf>
    <xf numFmtId="0" fontId="192" fillId="64" borderId="61" xfId="0" applyNumberFormat="1" applyFont="1" applyFill="1" applyBorder="1" applyAlignment="1" applyProtection="1">
      <alignment horizontal="left" vertical="center"/>
    </xf>
    <xf numFmtId="167" fontId="191" fillId="64" borderId="145" xfId="0" applyNumberFormat="1" applyFont="1" applyFill="1" applyBorder="1" applyAlignment="1" applyProtection="1">
      <alignment horizontal="left" vertical="center"/>
    </xf>
    <xf numFmtId="2" fontId="191" fillId="64" borderId="145" xfId="0" applyNumberFormat="1" applyFont="1" applyFill="1" applyBorder="1" applyAlignment="1" applyProtection="1">
      <alignment horizontal="right" vertical="center"/>
    </xf>
    <xf numFmtId="167" fontId="191" fillId="64" borderId="146" xfId="2427" applyFont="1" applyFill="1" applyBorder="1" applyAlignment="1" applyProtection="1">
      <alignment horizontal="right" vertical="center"/>
    </xf>
    <xf numFmtId="167" fontId="191" fillId="64" borderId="72" xfId="2427" applyFont="1" applyFill="1" applyBorder="1" applyAlignment="1" applyProtection="1">
      <alignment horizontal="right" vertical="center"/>
    </xf>
    <xf numFmtId="167" fontId="191" fillId="64" borderId="67" xfId="2427" applyFont="1" applyFill="1" applyBorder="1" applyAlignment="1" applyProtection="1">
      <alignment horizontal="right" vertical="center"/>
    </xf>
    <xf numFmtId="167" fontId="191" fillId="64" borderId="47" xfId="2427" applyFont="1" applyFill="1" applyBorder="1" applyAlignment="1" applyProtection="1">
      <alignment horizontal="right" vertical="center"/>
    </xf>
    <xf numFmtId="167" fontId="191" fillId="64" borderId="145" xfId="2427" applyFont="1" applyFill="1" applyBorder="1" applyAlignment="1" applyProtection="1">
      <alignment horizontal="right" vertical="center"/>
    </xf>
    <xf numFmtId="4" fontId="191" fillId="64" borderId="61" xfId="0" applyNumberFormat="1" applyFont="1" applyFill="1" applyBorder="1" applyAlignment="1" applyProtection="1">
      <alignment horizontal="right" vertical="center"/>
    </xf>
    <xf numFmtId="167" fontId="191" fillId="64" borderId="143" xfId="2427" applyFont="1" applyFill="1" applyBorder="1" applyAlignment="1" applyProtection="1">
      <alignment horizontal="left" vertical="center"/>
    </xf>
    <xf numFmtId="167" fontId="191" fillId="64" borderId="147" xfId="2427" applyFont="1" applyFill="1" applyBorder="1" applyAlignment="1" applyProtection="1">
      <alignment horizontal="left" vertical="center"/>
    </xf>
    <xf numFmtId="167" fontId="191" fillId="64" borderId="142" xfId="2427" applyFont="1" applyFill="1" applyBorder="1" applyAlignment="1" applyProtection="1">
      <alignment horizontal="left" vertical="center"/>
    </xf>
    <xf numFmtId="167" fontId="191" fillId="64" borderId="148" xfId="2427" applyFont="1" applyFill="1" applyBorder="1" applyAlignment="1" applyProtection="1">
      <alignment horizontal="left" vertical="center"/>
    </xf>
    <xf numFmtId="167" fontId="191" fillId="64" borderId="147" xfId="0" applyNumberFormat="1" applyFont="1" applyFill="1" applyBorder="1" applyAlignment="1" applyProtection="1">
      <alignment horizontal="left" vertical="center"/>
    </xf>
    <xf numFmtId="167" fontId="191" fillId="64" borderId="146" xfId="2427" applyFont="1" applyFill="1" applyBorder="1" applyAlignment="1" applyProtection="1">
      <alignment horizontal="left" vertical="center"/>
    </xf>
    <xf numFmtId="167" fontId="191" fillId="64" borderId="145" xfId="2427" applyFont="1" applyFill="1" applyBorder="1" applyAlignment="1" applyProtection="1">
      <alignment horizontal="left" vertical="center"/>
    </xf>
    <xf numFmtId="0" fontId="174" fillId="0" borderId="0" xfId="0" applyFont="1" applyFill="1"/>
    <xf numFmtId="4" fontId="191" fillId="64" borderId="143" xfId="0" applyNumberFormat="1" applyFont="1" applyFill="1" applyBorder="1" applyAlignment="1" applyProtection="1">
      <alignment horizontal="right" vertical="center"/>
    </xf>
    <xf numFmtId="4" fontId="193" fillId="64" borderId="149" xfId="0" applyNumberFormat="1" applyFont="1" applyFill="1" applyBorder="1" applyAlignment="1" applyProtection="1">
      <alignment horizontal="right" vertical="center"/>
    </xf>
    <xf numFmtId="4" fontId="193" fillId="64" borderId="47" xfId="0" applyNumberFormat="1" applyFont="1" applyFill="1" applyBorder="1" applyAlignment="1" applyProtection="1">
      <alignment horizontal="right" vertical="center"/>
    </xf>
    <xf numFmtId="4" fontId="174" fillId="64" borderId="143" xfId="0" quotePrefix="1" applyNumberFormat="1" applyFont="1" applyFill="1" applyBorder="1" applyAlignment="1" applyProtection="1">
      <alignment horizontal="right" vertical="center"/>
    </xf>
    <xf numFmtId="4" fontId="174" fillId="64" borderId="143" xfId="0" applyNumberFormat="1" applyFont="1" applyFill="1" applyBorder="1" applyAlignment="1" applyProtection="1">
      <alignment horizontal="right" vertical="center"/>
    </xf>
    <xf numFmtId="3" fontId="191" fillId="64" borderId="143" xfId="0" applyNumberFormat="1" applyFont="1" applyFill="1" applyBorder="1" applyAlignment="1" applyProtection="1">
      <alignment horizontal="right" vertical="center"/>
    </xf>
    <xf numFmtId="205" fontId="191" fillId="64" borderId="143" xfId="0" applyNumberFormat="1" applyFont="1" applyFill="1" applyBorder="1" applyAlignment="1" applyProtection="1">
      <alignment horizontal="right" vertical="center"/>
    </xf>
    <xf numFmtId="167" fontId="194" fillId="64" borderId="145" xfId="2427" applyFont="1" applyFill="1" applyBorder="1" applyAlignment="1" applyProtection="1">
      <alignment vertical="center" wrapText="1"/>
    </xf>
    <xf numFmtId="167" fontId="191" fillId="64" borderId="68" xfId="0" applyNumberFormat="1" applyFont="1" applyFill="1" applyBorder="1" applyAlignment="1" applyProtection="1">
      <alignment horizontal="left" vertical="center"/>
    </xf>
    <xf numFmtId="171" fontId="188" fillId="64" borderId="105" xfId="2427" applyNumberFormat="1" applyFont="1" applyFill="1" applyBorder="1" applyAlignment="1" applyProtection="1">
      <alignment horizontal="right" vertical="center"/>
    </xf>
    <xf numFmtId="167" fontId="191" fillId="64" borderId="106" xfId="2427" applyFont="1" applyFill="1" applyBorder="1" applyAlignment="1" applyProtection="1">
      <alignment horizontal="right" vertical="center"/>
    </xf>
    <xf numFmtId="171" fontId="188" fillId="64" borderId="150" xfId="2427" applyNumberFormat="1" applyFont="1" applyFill="1" applyBorder="1" applyAlignment="1" applyProtection="1">
      <alignment horizontal="right" vertical="center"/>
    </xf>
    <xf numFmtId="167" fontId="191" fillId="64" borderId="107" xfId="2427" applyFont="1" applyFill="1" applyBorder="1" applyAlignment="1" applyProtection="1">
      <alignment horizontal="left" vertical="center"/>
    </xf>
    <xf numFmtId="167" fontId="194" fillId="64" borderId="13" xfId="2427" applyFont="1" applyFill="1" applyBorder="1" applyAlignment="1" applyProtection="1">
      <alignment horizontal="left" vertical="center"/>
    </xf>
    <xf numFmtId="167" fontId="194" fillId="64" borderId="108" xfId="2427" applyFont="1" applyFill="1" applyBorder="1" applyAlignment="1" applyProtection="1">
      <alignment horizontal="left" vertical="center"/>
    </xf>
    <xf numFmtId="167" fontId="194" fillId="64" borderId="109" xfId="2427" applyFont="1" applyFill="1" applyBorder="1" applyAlignment="1" applyProtection="1">
      <alignment horizontal="left" vertical="center"/>
    </xf>
    <xf numFmtId="167" fontId="194" fillId="64" borderId="145" xfId="2427" applyFont="1" applyFill="1" applyBorder="1" applyAlignment="1" applyProtection="1">
      <alignment horizontal="left" vertical="center"/>
    </xf>
    <xf numFmtId="167" fontId="194" fillId="64" borderId="67" xfId="2427" applyFont="1" applyFill="1" applyBorder="1" applyAlignment="1" applyProtection="1">
      <alignment horizontal="left" vertical="center"/>
    </xf>
    <xf numFmtId="0" fontId="136" fillId="0" borderId="47" xfId="0" applyFont="1" applyBorder="1"/>
    <xf numFmtId="0" fontId="136" fillId="76" borderId="142" xfId="0" applyFont="1" applyFill="1" applyBorder="1" applyAlignment="1" applyProtection="1">
      <alignment vertical="center"/>
    </xf>
    <xf numFmtId="0" fontId="191" fillId="0" borderId="143" xfId="0" applyFont="1" applyFill="1" applyBorder="1" applyAlignment="1" applyProtection="1">
      <alignment vertical="center"/>
    </xf>
    <xf numFmtId="0" fontId="4" fillId="0" borderId="144" xfId="0" applyFont="1" applyFill="1" applyBorder="1" applyAlignment="1" applyProtection="1">
      <alignment vertical="center" wrapText="1"/>
    </xf>
    <xf numFmtId="167" fontId="191" fillId="76" borderId="145" xfId="0" applyNumberFormat="1" applyFont="1" applyFill="1" applyBorder="1" applyAlignment="1" applyProtection="1">
      <alignment horizontal="left" vertical="center"/>
    </xf>
    <xf numFmtId="2" fontId="191" fillId="76" borderId="145" xfId="0" applyNumberFormat="1" applyFont="1" applyFill="1" applyBorder="1" applyAlignment="1" applyProtection="1">
      <alignment horizontal="right" vertical="center"/>
    </xf>
    <xf numFmtId="167" fontId="191" fillId="81" borderId="146" xfId="2427" applyFont="1" applyFill="1" applyBorder="1" applyAlignment="1" applyProtection="1">
      <alignment horizontal="right" vertical="center"/>
    </xf>
    <xf numFmtId="167" fontId="191" fillId="76" borderId="72" xfId="2427" applyFont="1" applyFill="1" applyBorder="1" applyAlignment="1" applyProtection="1">
      <alignment horizontal="right" vertical="center"/>
    </xf>
    <xf numFmtId="167" fontId="191" fillId="76" borderId="67" xfId="2427" applyFont="1" applyFill="1" applyBorder="1" applyAlignment="1" applyProtection="1">
      <alignment horizontal="right" vertical="center"/>
    </xf>
    <xf numFmtId="167" fontId="191" fillId="76" borderId="47" xfId="2427" applyFont="1" applyFill="1" applyBorder="1" applyAlignment="1" applyProtection="1">
      <alignment horizontal="right" vertical="center"/>
    </xf>
    <xf numFmtId="167" fontId="191" fillId="76" borderId="145" xfId="2427" applyFont="1" applyFill="1" applyBorder="1" applyAlignment="1" applyProtection="1">
      <alignment horizontal="right" vertical="center"/>
    </xf>
    <xf numFmtId="4" fontId="191" fillId="76" borderId="61" xfId="0" applyNumberFormat="1" applyFont="1" applyFill="1" applyBorder="1" applyAlignment="1" applyProtection="1">
      <alignment horizontal="right" vertical="center"/>
    </xf>
    <xf numFmtId="167" fontId="191" fillId="81" borderId="143" xfId="2427" applyFont="1" applyFill="1" applyBorder="1" applyAlignment="1" applyProtection="1">
      <alignment horizontal="left" vertical="center"/>
    </xf>
    <xf numFmtId="167" fontId="191" fillId="76" borderId="143" xfId="2427" applyFont="1" applyFill="1" applyBorder="1" applyAlignment="1" applyProtection="1">
      <alignment horizontal="left" vertical="center"/>
    </xf>
    <xf numFmtId="167" fontId="191" fillId="76" borderId="147" xfId="2427" applyFont="1" applyFill="1" applyBorder="1" applyAlignment="1" applyProtection="1">
      <alignment horizontal="left" vertical="center"/>
    </xf>
    <xf numFmtId="167" fontId="191" fillId="76" borderId="142" xfId="2427" applyFont="1" applyFill="1" applyBorder="1" applyAlignment="1" applyProtection="1">
      <alignment horizontal="left" vertical="center"/>
    </xf>
    <xf numFmtId="167" fontId="191" fillId="76" borderId="148" xfId="2427" applyFont="1" applyFill="1" applyBorder="1" applyAlignment="1" applyProtection="1">
      <alignment horizontal="left" vertical="center"/>
    </xf>
    <xf numFmtId="167" fontId="191" fillId="76" borderId="147" xfId="0" applyNumberFormat="1" applyFont="1" applyFill="1" applyBorder="1" applyAlignment="1" applyProtection="1">
      <alignment horizontal="left" vertical="center"/>
    </xf>
    <xf numFmtId="167" fontId="191" fillId="76" borderId="146" xfId="2427" applyFont="1" applyFill="1" applyBorder="1" applyAlignment="1" applyProtection="1">
      <alignment horizontal="left" vertical="center"/>
    </xf>
    <xf numFmtId="167" fontId="191" fillId="76" borderId="145" xfId="2427" applyFont="1" applyFill="1" applyBorder="1" applyAlignment="1" applyProtection="1">
      <alignment horizontal="left" vertical="center"/>
    </xf>
    <xf numFmtId="4" fontId="191" fillId="3" borderId="143" xfId="0" applyNumberFormat="1" applyFont="1" applyFill="1" applyBorder="1" applyAlignment="1" applyProtection="1">
      <alignment horizontal="right" vertical="center"/>
    </xf>
    <xf numFmtId="0" fontId="191" fillId="2" borderId="143" xfId="0" applyFont="1" applyFill="1" applyBorder="1" applyAlignment="1" applyProtection="1">
      <alignment vertical="center"/>
    </xf>
    <xf numFmtId="4" fontId="193" fillId="3" borderId="149" xfId="0" applyNumberFormat="1" applyFont="1" applyFill="1" applyBorder="1" applyAlignment="1" applyProtection="1">
      <alignment horizontal="right" vertical="center"/>
    </xf>
    <xf numFmtId="4" fontId="193" fillId="55" borderId="47" xfId="0" applyNumberFormat="1" applyFont="1" applyFill="1" applyBorder="1" applyAlignment="1" applyProtection="1">
      <alignment horizontal="right" vertical="center"/>
    </xf>
    <xf numFmtId="4" fontId="174" fillId="3" borderId="143" xfId="0" quotePrefix="1" applyNumberFormat="1" applyFont="1" applyFill="1" applyBorder="1" applyAlignment="1" applyProtection="1">
      <alignment horizontal="right" vertical="center"/>
    </xf>
    <xf numFmtId="4" fontId="174" fillId="3" borderId="143" xfId="0" applyNumberFormat="1" applyFont="1" applyFill="1" applyBorder="1" applyAlignment="1" applyProtection="1">
      <alignment horizontal="right" vertical="center"/>
    </xf>
    <xf numFmtId="4" fontId="191" fillId="76" borderId="143" xfId="0" applyNumberFormat="1" applyFont="1" applyFill="1" applyBorder="1" applyAlignment="1" applyProtection="1">
      <alignment horizontal="right" vertical="center"/>
    </xf>
    <xf numFmtId="3" fontId="191" fillId="76" borderId="143" xfId="0" applyNumberFormat="1" applyFont="1" applyFill="1" applyBorder="1" applyAlignment="1" applyProtection="1">
      <alignment horizontal="right" vertical="center"/>
    </xf>
    <xf numFmtId="205" fontId="191" fillId="76" borderId="143" xfId="0" applyNumberFormat="1" applyFont="1" applyFill="1" applyBorder="1" applyAlignment="1" applyProtection="1">
      <alignment horizontal="right" vertical="center"/>
    </xf>
    <xf numFmtId="167" fontId="191" fillId="76" borderId="68" xfId="0" applyNumberFormat="1" applyFont="1" applyFill="1" applyBorder="1" applyAlignment="1" applyProtection="1">
      <alignment horizontal="left" vertical="center"/>
    </xf>
    <xf numFmtId="167" fontId="191" fillId="81" borderId="47" xfId="2427" applyFont="1" applyFill="1" applyBorder="1" applyAlignment="1" applyProtection="1">
      <alignment horizontal="right" vertical="center"/>
    </xf>
    <xf numFmtId="171" fontId="188" fillId="76" borderId="105" xfId="2427" applyNumberFormat="1" applyFont="1" applyFill="1" applyBorder="1" applyAlignment="1" applyProtection="1">
      <alignment horizontal="right" vertical="center"/>
    </xf>
    <xf numFmtId="167" fontId="191" fillId="76" borderId="106" xfId="2427" applyFont="1" applyFill="1" applyBorder="1" applyAlignment="1" applyProtection="1">
      <alignment horizontal="right" vertical="center"/>
    </xf>
    <xf numFmtId="171" fontId="188" fillId="76" borderId="150" xfId="2427" applyNumberFormat="1" applyFont="1" applyFill="1" applyBorder="1" applyAlignment="1" applyProtection="1">
      <alignment horizontal="right" vertical="center"/>
    </xf>
    <xf numFmtId="167" fontId="191" fillId="0" borderId="107" xfId="2427" applyFont="1" applyFill="1" applyBorder="1" applyAlignment="1" applyProtection="1">
      <alignment horizontal="left" vertical="center"/>
    </xf>
    <xf numFmtId="167" fontId="194" fillId="76" borderId="13" xfId="2427" applyFont="1" applyFill="1" applyBorder="1" applyAlignment="1" applyProtection="1">
      <alignment horizontal="left" vertical="center"/>
    </xf>
    <xf numFmtId="167" fontId="194" fillId="76" borderId="108" xfId="2427" applyFont="1" applyFill="1" applyBorder="1" applyAlignment="1" applyProtection="1">
      <alignment horizontal="left" vertical="center"/>
    </xf>
    <xf numFmtId="167" fontId="191" fillId="76" borderId="107" xfId="2427" applyFont="1" applyFill="1" applyBorder="1" applyAlignment="1" applyProtection="1">
      <alignment horizontal="left" vertical="center"/>
    </xf>
    <xf numFmtId="167" fontId="194" fillId="76" borderId="109" xfId="2427" applyFont="1" applyFill="1" applyBorder="1" applyAlignment="1" applyProtection="1">
      <alignment horizontal="left" vertical="center"/>
    </xf>
    <xf numFmtId="167" fontId="194" fillId="76" borderId="145" xfId="2427" applyFont="1" applyFill="1" applyBorder="1" applyAlignment="1" applyProtection="1">
      <alignment horizontal="left" vertical="center"/>
    </xf>
    <xf numFmtId="167" fontId="194" fillId="76" borderId="67" xfId="2427" applyFont="1" applyFill="1" applyBorder="1" applyAlignment="1" applyProtection="1">
      <alignment horizontal="left" vertical="center"/>
    </xf>
    <xf numFmtId="0" fontId="136" fillId="0" borderId="151" xfId="0" applyFont="1" applyBorder="1"/>
    <xf numFmtId="4" fontId="4" fillId="0" borderId="152" xfId="0" applyNumberFormat="1" applyFont="1" applyFill="1" applyBorder="1" applyAlignment="1" applyProtection="1">
      <alignment vertical="center" wrapText="1"/>
    </xf>
    <xf numFmtId="4" fontId="4" fillId="0" borderId="153" xfId="0" applyNumberFormat="1" applyFont="1" applyFill="1" applyBorder="1" applyAlignment="1" applyProtection="1">
      <alignment vertical="center"/>
    </xf>
    <xf numFmtId="4" fontId="4" fillId="0" borderId="153" xfId="0" applyNumberFormat="1" applyFont="1" applyFill="1" applyBorder="1" applyAlignment="1" applyProtection="1">
      <alignment vertical="center" wrapText="1"/>
    </xf>
    <xf numFmtId="4" fontId="4" fillId="0" borderId="154" xfId="0" applyNumberFormat="1" applyFont="1" applyFill="1" applyBorder="1" applyAlignment="1" applyProtection="1">
      <alignment vertical="center" wrapText="1"/>
    </xf>
    <xf numFmtId="4" fontId="4" fillId="0" borderId="71" xfId="0" applyNumberFormat="1" applyFont="1" applyFill="1" applyBorder="1" applyAlignment="1" applyProtection="1">
      <alignment vertical="center" wrapText="1"/>
    </xf>
    <xf numFmtId="4" fontId="191" fillId="0" borderId="154" xfId="0" applyNumberFormat="1" applyFont="1" applyFill="1" applyBorder="1" applyAlignment="1" applyProtection="1">
      <alignment vertical="center" wrapText="1"/>
    </xf>
    <xf numFmtId="167" fontId="191" fillId="81" borderId="152" xfId="2427" applyFont="1" applyFill="1" applyBorder="1" applyAlignment="1" applyProtection="1">
      <alignment horizontal="right" vertical="center" wrapText="1"/>
    </xf>
    <xf numFmtId="167" fontId="191" fillId="0" borderId="73" xfId="2427" applyFont="1" applyFill="1" applyBorder="1" applyAlignment="1" applyProtection="1">
      <alignment horizontal="right" vertical="center" wrapText="1"/>
    </xf>
    <xf numFmtId="167" fontId="191" fillId="0" borderId="70" xfId="2427" applyFont="1" applyFill="1" applyBorder="1" applyAlignment="1" applyProtection="1">
      <alignment horizontal="right" vertical="center" wrapText="1"/>
    </xf>
    <xf numFmtId="167" fontId="191" fillId="0" borderId="153" xfId="2427" applyFont="1" applyFill="1" applyBorder="1" applyAlignment="1" applyProtection="1">
      <alignment horizontal="right" vertical="center" wrapText="1"/>
    </xf>
    <xf numFmtId="167" fontId="191" fillId="0" borderId="154" xfId="2427" applyFont="1" applyFill="1" applyBorder="1" applyAlignment="1" applyProtection="1">
      <alignment horizontal="right" vertical="center" wrapText="1"/>
    </xf>
    <xf numFmtId="4" fontId="191" fillId="0" borderId="71" xfId="0" applyNumberFormat="1" applyFont="1" applyFill="1" applyBorder="1" applyAlignment="1" applyProtection="1">
      <alignment vertical="center" wrapText="1"/>
    </xf>
    <xf numFmtId="4" fontId="191" fillId="81" borderId="152" xfId="0" applyNumberFormat="1" applyFont="1" applyFill="1" applyBorder="1" applyAlignment="1" applyProtection="1">
      <alignment vertical="center" wrapText="1"/>
    </xf>
    <xf numFmtId="4" fontId="191" fillId="0" borderId="153" xfId="0" applyNumberFormat="1" applyFont="1" applyFill="1" applyBorder="1" applyAlignment="1" applyProtection="1">
      <alignment vertical="center" wrapText="1"/>
    </xf>
    <xf numFmtId="4" fontId="191" fillId="0" borderId="152" xfId="0" applyNumberFormat="1" applyFont="1" applyFill="1" applyBorder="1" applyAlignment="1" applyProtection="1">
      <alignment vertical="center" wrapText="1"/>
    </xf>
    <xf numFmtId="167" fontId="191" fillId="0" borderId="154" xfId="2427" applyFont="1" applyFill="1" applyBorder="1" applyAlignment="1" applyProtection="1">
      <alignment vertical="center" wrapText="1"/>
    </xf>
    <xf numFmtId="0" fontId="191" fillId="0" borderId="151" xfId="0" applyFont="1" applyBorder="1" applyAlignment="1" applyProtection="1">
      <alignment vertical="center" wrapText="1"/>
    </xf>
    <xf numFmtId="0" fontId="191" fillId="55" borderId="151" xfId="0" applyFont="1" applyFill="1" applyBorder="1" applyAlignment="1" applyProtection="1">
      <alignment vertical="center" wrapText="1"/>
    </xf>
    <xf numFmtId="4" fontId="191" fillId="0" borderId="69" xfId="0" applyNumberFormat="1" applyFont="1" applyFill="1" applyBorder="1" applyAlignment="1" applyProtection="1">
      <alignment vertical="center" wrapText="1"/>
    </xf>
    <xf numFmtId="167" fontId="191" fillId="81" borderId="153" xfId="2427" applyFont="1" applyFill="1" applyBorder="1" applyAlignment="1" applyProtection="1">
      <alignment horizontal="right" vertical="center" wrapText="1"/>
    </xf>
    <xf numFmtId="167" fontId="191" fillId="0" borderId="155" xfId="2427" applyFont="1" applyFill="1" applyBorder="1" applyAlignment="1" applyProtection="1">
      <alignment horizontal="right" vertical="center" wrapText="1"/>
    </xf>
    <xf numFmtId="167" fontId="191" fillId="0" borderId="156" xfId="2427" applyFont="1" applyFill="1" applyBorder="1" applyAlignment="1" applyProtection="1">
      <alignment horizontal="right" vertical="center" wrapText="1"/>
    </xf>
    <xf numFmtId="167" fontId="191" fillId="0" borderId="157" xfId="2427" applyFont="1" applyFill="1" applyBorder="1" applyAlignment="1" applyProtection="1">
      <alignment horizontal="right" vertical="center" wrapText="1"/>
    </xf>
    <xf numFmtId="167" fontId="191" fillId="0" borderId="158" xfId="2427" applyFont="1" applyFill="1" applyBorder="1" applyAlignment="1" applyProtection="1">
      <alignment vertical="center" wrapText="1"/>
    </xf>
    <xf numFmtId="4" fontId="191" fillId="0" borderId="159" xfId="0" applyNumberFormat="1" applyFont="1" applyFill="1" applyBorder="1" applyAlignment="1" applyProtection="1">
      <alignment vertical="center" wrapText="1"/>
    </xf>
    <xf numFmtId="4" fontId="191" fillId="0" borderId="160" xfId="0" applyNumberFormat="1" applyFont="1" applyFill="1" applyBorder="1" applyAlignment="1" applyProtection="1">
      <alignment vertical="center" wrapText="1"/>
    </xf>
    <xf numFmtId="167" fontId="191" fillId="0" borderId="159" xfId="2427" applyFont="1" applyFill="1" applyBorder="1" applyAlignment="1" applyProtection="1">
      <alignment vertical="center" wrapText="1"/>
    </xf>
    <xf numFmtId="167" fontId="191" fillId="0" borderId="161" xfId="2427" applyFont="1" applyFill="1" applyBorder="1" applyAlignment="1" applyProtection="1">
      <alignment vertical="center" wrapText="1"/>
    </xf>
    <xf numFmtId="167" fontId="191" fillId="0" borderId="71" xfId="2427" applyFont="1" applyFill="1" applyBorder="1" applyAlignment="1" applyProtection="1">
      <alignment vertical="center" wrapText="1"/>
    </xf>
    <xf numFmtId="49" fontId="4" fillId="0" borderId="0" xfId="0" applyNumberFormat="1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167" fontId="4" fillId="0" borderId="0" xfId="2427" applyFont="1" applyBorder="1" applyAlignment="1" applyProtection="1">
      <alignment vertical="center" wrapText="1"/>
    </xf>
    <xf numFmtId="0" fontId="4" fillId="0" borderId="74" xfId="0" applyFont="1" applyBorder="1" applyAlignment="1" applyProtection="1">
      <alignment vertical="center" wrapText="1"/>
    </xf>
    <xf numFmtId="0" fontId="4" fillId="55" borderId="74" xfId="0" applyFont="1" applyFill="1" applyBorder="1" applyAlignment="1" applyProtection="1">
      <alignment vertical="center" wrapText="1"/>
    </xf>
    <xf numFmtId="49" fontId="4" fillId="0" borderId="0" xfId="0" applyNumberFormat="1" applyFont="1" applyAlignment="1" applyProtection="1">
      <alignment vertical="center" wrapText="1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167" fontId="4" fillId="0" borderId="0" xfId="2427" applyFont="1" applyAlignment="1" applyProtection="1">
      <alignment vertical="center" wrapText="1"/>
    </xf>
    <xf numFmtId="0" fontId="4" fillId="55" borderId="0" xfId="0" applyFont="1" applyFill="1" applyAlignment="1" applyProtection="1">
      <alignment vertical="center" wrapText="1"/>
    </xf>
    <xf numFmtId="0" fontId="2" fillId="55" borderId="55" xfId="0" applyNumberFormat="1" applyFont="1" applyFill="1" applyBorder="1" applyAlignment="1" applyProtection="1">
      <alignment vertical="center"/>
    </xf>
    <xf numFmtId="49" fontId="4" fillId="55" borderId="57" xfId="0" applyNumberFormat="1" applyFont="1" applyFill="1" applyBorder="1" applyAlignment="1" applyProtection="1">
      <alignment vertical="center" wrapText="1"/>
    </xf>
    <xf numFmtId="0" fontId="182" fillId="55" borderId="57" xfId="0" applyFont="1" applyFill="1" applyBorder="1" applyAlignment="1" applyProtection="1">
      <alignment horizontal="center" vertical="center" wrapText="1"/>
    </xf>
    <xf numFmtId="0" fontId="182" fillId="55" borderId="81" xfId="0" applyFont="1" applyFill="1" applyBorder="1" applyAlignment="1">
      <alignment vertical="top"/>
    </xf>
    <xf numFmtId="167" fontId="188" fillId="55" borderId="57" xfId="2427" applyFont="1" applyFill="1" applyBorder="1" applyAlignment="1" applyProtection="1">
      <alignment horizontal="left" vertical="center"/>
    </xf>
    <xf numFmtId="0" fontId="4" fillId="55" borderId="132" xfId="0" applyFont="1" applyFill="1" applyBorder="1" applyAlignment="1" applyProtection="1">
      <alignment vertical="center" wrapText="1"/>
    </xf>
    <xf numFmtId="4" fontId="4" fillId="55" borderId="71" xfId="0" applyNumberFormat="1" applyFont="1" applyFill="1" applyBorder="1" applyAlignment="1" applyProtection="1">
      <alignment vertical="center" wrapText="1"/>
    </xf>
    <xf numFmtId="167" fontId="192" fillId="55" borderId="162" xfId="2363" applyFont="1" applyFill="1" applyBorder="1" applyAlignment="1" applyProtection="1">
      <alignment horizontal="left" vertical="center"/>
    </xf>
    <xf numFmtId="167" fontId="192" fillId="55" borderId="57" xfId="2363" applyFont="1" applyFill="1" applyBorder="1" applyAlignment="1" applyProtection="1">
      <alignment horizontal="left" vertical="center"/>
    </xf>
    <xf numFmtId="167" fontId="192" fillId="84" borderId="162" xfId="2363" applyFont="1" applyFill="1" applyBorder="1" applyAlignment="1" applyProtection="1">
      <alignment horizontal="left" vertical="center"/>
    </xf>
    <xf numFmtId="167" fontId="2" fillId="0" borderId="0" xfId="2363" applyFont="1" applyFill="1" applyBorder="1"/>
    <xf numFmtId="167" fontId="8" fillId="0" borderId="0" xfId="2363" applyFont="1" applyFill="1" applyBorder="1"/>
    <xf numFmtId="0" fontId="8" fillId="58" borderId="32" xfId="0" applyFont="1" applyFill="1" applyBorder="1"/>
    <xf numFmtId="167" fontId="8" fillId="56" borderId="46" xfId="2363" applyFont="1" applyFill="1" applyBorder="1"/>
    <xf numFmtId="167" fontId="8" fillId="58" borderId="0" xfId="0" applyNumberFormat="1" applyFont="1" applyFill="1" applyBorder="1"/>
    <xf numFmtId="2" fontId="8" fillId="0" borderId="6" xfId="0" applyNumberFormat="1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center" vertical="center"/>
    </xf>
    <xf numFmtId="2" fontId="8" fillId="58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right" vertical="center"/>
    </xf>
    <xf numFmtId="2" fontId="8" fillId="0" borderId="6" xfId="0" applyNumberFormat="1" applyFont="1" applyFill="1" applyBorder="1" applyAlignment="1">
      <alignment horizontal="right" vertical="center" wrapText="1"/>
    </xf>
    <xf numFmtId="2" fontId="8" fillId="59" borderId="6" xfId="0" applyNumberFormat="1" applyFont="1" applyFill="1" applyBorder="1" applyAlignment="1">
      <alignment horizontal="right" vertical="center"/>
    </xf>
    <xf numFmtId="171" fontId="137" fillId="0" borderId="0" xfId="2363" applyNumberFormat="1" applyFont="1" applyFill="1"/>
    <xf numFmtId="217" fontId="137" fillId="0" borderId="0" xfId="2363" applyNumberFormat="1" applyFont="1" applyFill="1"/>
    <xf numFmtId="217" fontId="137" fillId="58" borderId="0" xfId="2363" applyNumberFormat="1" applyFont="1" applyFill="1"/>
    <xf numFmtId="219" fontId="137" fillId="0" borderId="0" xfId="2363" applyNumberFormat="1" applyFont="1" applyFill="1"/>
    <xf numFmtId="219" fontId="137" fillId="58" borderId="0" xfId="2363" applyNumberFormat="1" applyFont="1" applyFill="1"/>
    <xf numFmtId="220" fontId="137" fillId="0" borderId="0" xfId="2363" applyNumberFormat="1" applyFont="1" applyFill="1"/>
    <xf numFmtId="171" fontId="5" fillId="0" borderId="0" xfId="2363" applyNumberFormat="1" applyFont="1" applyFill="1"/>
    <xf numFmtId="0" fontId="145" fillId="0" borderId="6" xfId="2028" applyFont="1" applyFill="1" applyBorder="1" applyAlignment="1">
      <alignment horizontal="center" vertical="center" wrapText="1"/>
    </xf>
    <xf numFmtId="167" fontId="8" fillId="63" borderId="6" xfId="2363" applyFont="1" applyFill="1" applyBorder="1"/>
    <xf numFmtId="172" fontId="8" fillId="62" borderId="0" xfId="0" applyNumberFormat="1" applyFont="1" applyFill="1" applyBorder="1"/>
    <xf numFmtId="173" fontId="8" fillId="0" borderId="6" xfId="0" applyNumberFormat="1" applyFont="1" applyFill="1" applyBorder="1" applyAlignment="1">
      <alignment horizontal="center" vertical="center"/>
    </xf>
    <xf numFmtId="0" fontId="8" fillId="62" borderId="0" xfId="0" applyFont="1" applyFill="1" applyAlignment="1">
      <alignment horizontal="center" vertical="center"/>
    </xf>
    <xf numFmtId="2" fontId="8" fillId="0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 applyAlignment="1">
      <alignment horizontal="right" vertical="center"/>
    </xf>
    <xf numFmtId="173" fontId="8" fillId="59" borderId="6" xfId="2363" applyNumberFormat="1" applyFont="1" applyFill="1" applyBorder="1" applyAlignment="1">
      <alignment horizontal="right" vertical="center"/>
    </xf>
    <xf numFmtId="0" fontId="8" fillId="62" borderId="0" xfId="0" applyFont="1" applyFill="1" applyAlignment="1">
      <alignment vertical="center"/>
    </xf>
    <xf numFmtId="1" fontId="2" fillId="0" borderId="6" xfId="2028" applyNumberFormat="1" applyFont="1" applyFill="1" applyBorder="1" applyAlignment="1">
      <alignment horizontal="center" vertical="center" wrapText="1"/>
    </xf>
    <xf numFmtId="0" fontId="2" fillId="59" borderId="6" xfId="2028" applyFont="1" applyFill="1" applyBorder="1" applyAlignment="1">
      <alignment horizontal="center" vertical="center" wrapText="1"/>
    </xf>
    <xf numFmtId="0" fontId="145" fillId="59" borderId="6" xfId="2028" applyFont="1" applyFill="1" applyBorder="1" applyAlignment="1">
      <alignment horizontal="center" vertical="center" wrapText="1"/>
    </xf>
    <xf numFmtId="0" fontId="8" fillId="59" borderId="6" xfId="0" applyFont="1" applyFill="1" applyBorder="1"/>
    <xf numFmtId="211" fontId="8" fillId="59" borderId="6" xfId="0" applyNumberFormat="1" applyFont="1" applyFill="1" applyBorder="1"/>
    <xf numFmtId="211" fontId="8" fillId="58" borderId="6" xfId="0" applyNumberFormat="1" applyFont="1" applyFill="1" applyBorder="1"/>
    <xf numFmtId="173" fontId="8" fillId="59" borderId="6" xfId="0" applyNumberFormat="1" applyFont="1" applyFill="1" applyBorder="1" applyAlignment="1">
      <alignment vertical="center"/>
    </xf>
    <xf numFmtId="0" fontId="8" fillId="59" borderId="6" xfId="0" applyFont="1" applyFill="1" applyBorder="1" applyAlignment="1">
      <alignment vertical="center"/>
    </xf>
    <xf numFmtId="211" fontId="8" fillId="59" borderId="6" xfId="0" applyNumberFormat="1" applyFont="1" applyFill="1" applyBorder="1" applyAlignment="1">
      <alignment vertical="center"/>
    </xf>
    <xf numFmtId="211" fontId="8" fillId="58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/>
    <xf numFmtId="167" fontId="8" fillId="59" borderId="6" xfId="2363" applyFont="1" applyFill="1" applyBorder="1"/>
    <xf numFmtId="0" fontId="8" fillId="59" borderId="0" xfId="0" applyFont="1" applyFill="1" applyBorder="1"/>
    <xf numFmtId="2" fontId="8" fillId="59" borderId="0" xfId="0" applyNumberFormat="1" applyFont="1" applyFill="1" applyBorder="1"/>
    <xf numFmtId="172" fontId="8" fillId="59" borderId="0" xfId="0" applyNumberFormat="1" applyFont="1" applyFill="1" applyBorder="1"/>
    <xf numFmtId="172" fontId="8" fillId="59" borderId="0" xfId="0" applyNumberFormat="1" applyFont="1" applyFill="1"/>
    <xf numFmtId="0" fontId="8" fillId="59" borderId="0" xfId="0" applyFont="1" applyFill="1"/>
    <xf numFmtId="217" fontId="8" fillId="59" borderId="6" xfId="2363" applyNumberFormat="1" applyFont="1" applyFill="1" applyBorder="1" applyAlignment="1">
      <alignment horizontal="center" vertical="center"/>
    </xf>
    <xf numFmtId="0" fontId="8" fillId="59" borderId="6" xfId="0" applyFont="1" applyFill="1" applyBorder="1" applyAlignment="1">
      <alignment horizontal="center" vertical="center"/>
    </xf>
    <xf numFmtId="171" fontId="8" fillId="59" borderId="6" xfId="2363" applyNumberFormat="1" applyFont="1" applyFill="1" applyBorder="1" applyAlignment="1">
      <alignment vertical="center"/>
    </xf>
    <xf numFmtId="2" fontId="8" fillId="59" borderId="6" xfId="0" applyNumberFormat="1" applyFont="1" applyFill="1" applyBorder="1"/>
    <xf numFmtId="2" fontId="8" fillId="59" borderId="0" xfId="0" applyNumberFormat="1" applyFont="1" applyFill="1"/>
    <xf numFmtId="173" fontId="8" fillId="0" borderId="6" xfId="0" applyNumberFormat="1" applyFont="1" applyFill="1" applyBorder="1" applyAlignment="1">
      <alignment horizontal="right" vertical="center"/>
    </xf>
    <xf numFmtId="173" fontId="8" fillId="0" borderId="6" xfId="2363" applyNumberFormat="1" applyFont="1" applyFill="1" applyBorder="1" applyAlignment="1">
      <alignment horizontal="right" vertical="center"/>
    </xf>
    <xf numFmtId="211" fontId="8" fillId="0" borderId="6" xfId="0" applyNumberFormat="1" applyFont="1" applyFill="1" applyBorder="1" applyAlignment="1">
      <alignment horizontal="right" vertical="center"/>
    </xf>
    <xf numFmtId="172" fontId="8" fillId="55" borderId="0" xfId="0" applyNumberFormat="1" applyFont="1" applyFill="1" applyBorder="1"/>
    <xf numFmtId="172" fontId="8" fillId="55" borderId="0" xfId="0" applyNumberFormat="1" applyFont="1" applyFill="1"/>
    <xf numFmtId="2" fontId="8" fillId="55" borderId="0" xfId="0" applyNumberFormat="1" applyFont="1" applyFill="1"/>
    <xf numFmtId="173" fontId="8" fillId="70" borderId="6" xfId="0" applyNumberFormat="1" applyFont="1" applyFill="1" applyBorder="1"/>
    <xf numFmtId="172" fontId="8" fillId="70" borderId="0" xfId="0" applyNumberFormat="1" applyFont="1" applyFill="1" applyBorder="1"/>
    <xf numFmtId="172" fontId="8" fillId="70" borderId="0" xfId="0" applyNumberFormat="1" applyFont="1" applyFill="1"/>
    <xf numFmtId="173" fontId="8" fillId="0" borderId="6" xfId="2363" applyNumberFormat="1" applyFont="1" applyFill="1" applyBorder="1" applyAlignment="1">
      <alignment vertical="center"/>
    </xf>
    <xf numFmtId="2" fontId="8" fillId="0" borderId="6" xfId="2363" applyNumberFormat="1" applyFont="1" applyFill="1" applyBorder="1" applyAlignment="1">
      <alignment vertical="center"/>
    </xf>
    <xf numFmtId="2" fontId="8" fillId="58" borderId="6" xfId="2363" applyNumberFormat="1" applyFont="1" applyFill="1" applyBorder="1" applyAlignment="1">
      <alignment vertical="center"/>
    </xf>
    <xf numFmtId="167" fontId="8" fillId="0" borderId="6" xfId="2363" applyFont="1" applyFill="1" applyBorder="1" applyAlignment="1">
      <alignment horizontal="right" vertical="center"/>
    </xf>
    <xf numFmtId="167" fontId="8" fillId="58" borderId="6" xfId="2363" applyFont="1" applyFill="1" applyBorder="1" applyAlignment="1">
      <alignment vertical="center"/>
    </xf>
    <xf numFmtId="167" fontId="8" fillId="0" borderId="6" xfId="2363" applyFont="1" applyFill="1" applyBorder="1" applyAlignment="1">
      <alignment vertical="center"/>
    </xf>
    <xf numFmtId="173" fontId="8" fillId="0" borderId="6" xfId="2363" applyNumberFormat="1" applyFont="1" applyFill="1" applyBorder="1" applyAlignment="1">
      <alignment horizontal="center" vertical="center"/>
    </xf>
    <xf numFmtId="167" fontId="8" fillId="0" borderId="6" xfId="2363" applyFont="1" applyFill="1" applyBorder="1" applyAlignment="1">
      <alignment horizontal="center" vertical="center"/>
    </xf>
    <xf numFmtId="167" fontId="8" fillId="58" borderId="6" xfId="2363" applyFont="1" applyFill="1" applyBorder="1" applyAlignment="1">
      <alignment horizontal="center" vertical="center"/>
    </xf>
    <xf numFmtId="173" fontId="8" fillId="59" borderId="6" xfId="0" applyNumberFormat="1" applyFont="1" applyFill="1" applyBorder="1" applyAlignment="1">
      <alignment horizontal="center" vertical="center"/>
    </xf>
    <xf numFmtId="173" fontId="8" fillId="59" borderId="6" xfId="2363" applyNumberFormat="1" applyFont="1" applyFill="1" applyBorder="1" applyAlignment="1">
      <alignment horizontal="center" vertical="center"/>
    </xf>
    <xf numFmtId="167" fontId="8" fillId="62" borderId="6" xfId="2363" applyFont="1" applyFill="1" applyBorder="1" applyAlignment="1">
      <alignment horizontal="center" vertical="center"/>
    </xf>
    <xf numFmtId="0" fontId="8" fillId="58" borderId="6" xfId="0" applyFont="1" applyFill="1" applyBorder="1" applyAlignment="1">
      <alignment horizontal="center" vertical="center"/>
    </xf>
    <xf numFmtId="2" fontId="8" fillId="0" borderId="6" xfId="2028" applyNumberFormat="1" applyFont="1" applyFill="1" applyBorder="1" applyAlignment="1">
      <alignment horizontal="center"/>
    </xf>
    <xf numFmtId="2" fontId="8" fillId="58" borderId="6" xfId="0" applyNumberFormat="1" applyFont="1" applyFill="1" applyBorder="1" applyAlignment="1">
      <alignment vertical="center"/>
    </xf>
    <xf numFmtId="0" fontId="2" fillId="0" borderId="6" xfId="2028" applyFont="1" applyFill="1" applyBorder="1" applyAlignment="1">
      <alignment vertical="center" wrapText="1"/>
    </xf>
    <xf numFmtId="173" fontId="8" fillId="59" borderId="6" xfId="2363" applyNumberFormat="1" applyFont="1" applyFill="1" applyBorder="1" applyAlignment="1">
      <alignment vertical="center"/>
    </xf>
    <xf numFmtId="173" fontId="8" fillId="62" borderId="6" xfId="0" applyNumberFormat="1" applyFont="1" applyFill="1" applyBorder="1" applyAlignment="1">
      <alignment vertical="center"/>
    </xf>
    <xf numFmtId="0" fontId="8" fillId="62" borderId="0" xfId="0" applyFont="1" applyFill="1" applyBorder="1" applyAlignment="1">
      <alignment vertical="center"/>
    </xf>
    <xf numFmtId="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Alignment="1">
      <alignment vertical="center"/>
    </xf>
    <xf numFmtId="2" fontId="8" fillId="62" borderId="6" xfId="0" applyNumberFormat="1" applyFont="1" applyFill="1" applyBorder="1" applyAlignment="1">
      <alignment vertical="center"/>
    </xf>
    <xf numFmtId="2" fontId="8" fillId="62" borderId="0" xfId="0" applyNumberFormat="1" applyFont="1" applyFill="1" applyAlignment="1">
      <alignment vertical="center"/>
    </xf>
    <xf numFmtId="0" fontId="8" fillId="55" borderId="0" xfId="0" applyFont="1" applyFill="1" applyAlignment="1">
      <alignment vertical="center"/>
    </xf>
    <xf numFmtId="173" fontId="8" fillId="58" borderId="6" xfId="0" applyNumberFormat="1" applyFont="1" applyFill="1" applyBorder="1" applyAlignment="1">
      <alignment vertical="center"/>
    </xf>
    <xf numFmtId="173" fontId="137" fillId="62" borderId="6" xfId="0" applyNumberFormat="1" applyFont="1" applyFill="1" applyBorder="1"/>
    <xf numFmtId="167" fontId="8" fillId="62" borderId="6" xfId="2363" applyFont="1" applyFill="1" applyBorder="1" applyAlignment="1">
      <alignment vertical="center"/>
    </xf>
    <xf numFmtId="215" fontId="8" fillId="0" borderId="6" xfId="0" applyNumberFormat="1" applyFont="1" applyFill="1" applyBorder="1"/>
    <xf numFmtId="211" fontId="8" fillId="0" borderId="6" xfId="0" applyNumberFormat="1" applyFont="1" applyFill="1" applyBorder="1"/>
    <xf numFmtId="4" fontId="2" fillId="0" borderId="0" xfId="0" applyNumberFormat="1" applyFont="1" applyFill="1"/>
    <xf numFmtId="4" fontId="2" fillId="0" borderId="0" xfId="0" applyNumberFormat="1" applyFont="1" applyFill="1" applyBorder="1" applyAlignment="1">
      <alignment vertical="center"/>
    </xf>
    <xf numFmtId="2" fontId="5" fillId="62" borderId="6" xfId="0" applyNumberFormat="1" applyFont="1" applyFill="1" applyBorder="1"/>
    <xf numFmtId="172" fontId="144" fillId="62" borderId="6" xfId="0" applyNumberFormat="1" applyFont="1" applyFill="1" applyBorder="1"/>
    <xf numFmtId="171" fontId="196" fillId="0" borderId="0" xfId="2363" applyNumberFormat="1" applyFont="1" applyFill="1"/>
    <xf numFmtId="173" fontId="137" fillId="62" borderId="49" xfId="0" applyNumberFormat="1" applyFont="1" applyFill="1" applyBorder="1" applyAlignment="1">
      <alignment horizontal="center"/>
    </xf>
    <xf numFmtId="2" fontId="137" fillId="62" borderId="30" xfId="0" applyNumberFormat="1" applyFont="1" applyFill="1" applyBorder="1"/>
    <xf numFmtId="2" fontId="137" fillId="62" borderId="53" xfId="0" applyNumberFormat="1" applyFont="1" applyFill="1" applyBorder="1" applyAlignment="1">
      <alignment horizontal="center"/>
    </xf>
    <xf numFmtId="0" fontId="139" fillId="55" borderId="0" xfId="0" applyFont="1" applyFill="1"/>
    <xf numFmtId="0" fontId="2" fillId="55" borderId="6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right" vertical="center"/>
    </xf>
    <xf numFmtId="2" fontId="8" fillId="55" borderId="6" xfId="0" applyNumberFormat="1" applyFont="1" applyFill="1" applyBorder="1" applyAlignment="1">
      <alignment horizontal="right"/>
    </xf>
    <xf numFmtId="0" fontId="8" fillId="55" borderId="6" xfId="0" applyFont="1" applyFill="1" applyBorder="1" applyAlignment="1">
      <alignment horizontal="center"/>
    </xf>
    <xf numFmtId="2" fontId="8" fillId="55" borderId="6" xfId="0" applyNumberFormat="1" applyFont="1" applyFill="1" applyBorder="1" applyAlignment="1">
      <alignment horizontal="center"/>
    </xf>
    <xf numFmtId="167" fontId="8" fillId="55" borderId="6" xfId="2363" applyFont="1" applyFill="1" applyBorder="1"/>
    <xf numFmtId="172" fontId="8" fillId="55" borderId="6" xfId="0" applyNumberFormat="1" applyFont="1" applyFill="1" applyBorder="1"/>
    <xf numFmtId="172" fontId="8" fillId="55" borderId="6" xfId="0" applyNumberFormat="1" applyFont="1" applyFill="1" applyBorder="1" applyAlignment="1"/>
    <xf numFmtId="172" fontId="8" fillId="55" borderId="6" xfId="0" applyNumberFormat="1" applyFont="1" applyFill="1" applyBorder="1" applyAlignment="1">
      <alignment horizontal="center"/>
    </xf>
    <xf numFmtId="0" fontId="2" fillId="55" borderId="32" xfId="2028" applyFont="1" applyFill="1" applyBorder="1" applyAlignment="1">
      <alignment vertical="center" wrapText="1"/>
    </xf>
    <xf numFmtId="0" fontId="145" fillId="55" borderId="6" xfId="2028" applyFont="1" applyFill="1" applyBorder="1" applyAlignment="1">
      <alignment horizontal="center" vertical="center" wrapText="1"/>
    </xf>
    <xf numFmtId="2" fontId="8" fillId="62" borderId="6" xfId="0" applyNumberFormat="1" applyFont="1" applyFill="1" applyBorder="1" applyAlignment="1">
      <alignment horizontal="right" vertical="center"/>
    </xf>
    <xf numFmtId="2" fontId="8" fillId="62" borderId="6" xfId="0" applyNumberFormat="1" applyFont="1" applyFill="1" applyBorder="1" applyAlignment="1">
      <alignment horizontal="right"/>
    </xf>
    <xf numFmtId="172" fontId="8" fillId="62" borderId="6" xfId="0" applyNumberFormat="1" applyFont="1" applyFill="1" applyBorder="1"/>
    <xf numFmtId="2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NumberFormat="1" applyFont="1" applyFill="1" applyBorder="1" applyAlignment="1">
      <alignment horizontal="center" vertical="center" wrapText="1"/>
    </xf>
    <xf numFmtId="2" fontId="2" fillId="55" borderId="32" xfId="2028" applyNumberFormat="1" applyFont="1" applyFill="1" applyBorder="1" applyAlignment="1">
      <alignment horizontal="center" vertical="center" wrapText="1"/>
    </xf>
    <xf numFmtId="0" fontId="2" fillId="55" borderId="28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center" vertical="center"/>
    </xf>
    <xf numFmtId="172" fontId="8" fillId="55" borderId="6" xfId="0" applyNumberFormat="1" applyFont="1" applyFill="1" applyBorder="1" applyAlignment="1">
      <alignment horizontal="center" vertical="center"/>
    </xf>
    <xf numFmtId="0" fontId="8" fillId="55" borderId="6" xfId="0" applyFont="1" applyFill="1" applyBorder="1" applyAlignment="1">
      <alignment horizontal="center" vertical="center"/>
    </xf>
    <xf numFmtId="173" fontId="8" fillId="55" borderId="6" xfId="0" applyNumberFormat="1" applyFont="1" applyFill="1" applyBorder="1" applyAlignment="1">
      <alignment horizontal="center" vertical="center"/>
    </xf>
    <xf numFmtId="0" fontId="8" fillId="55" borderId="0" xfId="0" applyFont="1" applyFill="1" applyBorder="1" applyAlignment="1">
      <alignment horizontal="center" vertical="center"/>
    </xf>
    <xf numFmtId="173" fontId="8" fillId="55" borderId="0" xfId="0" applyNumberFormat="1" applyFont="1" applyFill="1" applyBorder="1" applyAlignment="1">
      <alignment horizontal="center" vertical="center"/>
    </xf>
    <xf numFmtId="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Alignment="1">
      <alignment horizontal="center" vertical="center"/>
    </xf>
    <xf numFmtId="0" fontId="8" fillId="55" borderId="0" xfId="0" applyFont="1" applyFill="1" applyAlignment="1">
      <alignment horizontal="center" vertical="center"/>
    </xf>
    <xf numFmtId="0" fontId="139" fillId="55" borderId="0" xfId="0" applyFont="1" applyFill="1" applyAlignment="1">
      <alignment horizontal="center" vertical="center"/>
    </xf>
    <xf numFmtId="0" fontId="2" fillId="55" borderId="0" xfId="0" applyFont="1" applyFill="1" applyAlignment="1">
      <alignment horizontal="center" wrapText="1"/>
    </xf>
    <xf numFmtId="0" fontId="2" fillId="55" borderId="31" xfId="2028" applyFont="1" applyFill="1" applyBorder="1" applyAlignment="1">
      <alignment vertical="center" wrapText="1"/>
    </xf>
    <xf numFmtId="0" fontId="2" fillId="55" borderId="31" xfId="2028" applyFont="1" applyFill="1" applyBorder="1" applyAlignment="1">
      <alignment horizontal="center" vertical="center" wrapText="1"/>
    </xf>
    <xf numFmtId="2" fontId="8" fillId="55" borderId="0" xfId="0" applyNumberFormat="1" applyFont="1" applyFill="1" applyAlignment="1">
      <alignment horizontal="right" vertical="center"/>
    </xf>
    <xf numFmtId="166" fontId="2" fillId="55" borderId="6" xfId="1751" applyFont="1" applyFill="1" applyBorder="1" applyAlignment="1">
      <alignment vertical="center" wrapText="1"/>
    </xf>
    <xf numFmtId="216" fontId="2" fillId="55" borderId="6" xfId="2363" applyNumberFormat="1" applyFont="1" applyFill="1" applyBorder="1" applyAlignment="1">
      <alignment vertical="center" wrapText="1"/>
    </xf>
    <xf numFmtId="0" fontId="2" fillId="55" borderId="27" xfId="2028" applyFont="1" applyFill="1" applyBorder="1" applyAlignment="1">
      <alignment horizontal="center" vertical="center" wrapText="1"/>
    </xf>
    <xf numFmtId="2" fontId="145" fillId="55" borderId="6" xfId="0" applyNumberFormat="1" applyFont="1" applyFill="1" applyBorder="1" applyAlignment="1">
      <alignment horizontal="right"/>
    </xf>
    <xf numFmtId="2" fontId="8" fillId="55" borderId="6" xfId="0" applyNumberFormat="1" applyFont="1" applyFill="1" applyBorder="1" applyAlignment="1">
      <alignment horizontal="right" vertical="center" wrapText="1"/>
    </xf>
    <xf numFmtId="2" fontId="8" fillId="55" borderId="6" xfId="0" applyNumberFormat="1" applyFont="1" applyFill="1" applyBorder="1" applyAlignment="1">
      <alignment horizontal="right" wrapText="1"/>
    </xf>
    <xf numFmtId="0" fontId="2" fillId="55" borderId="28" xfId="2028" applyFont="1" applyFill="1" applyBorder="1" applyAlignment="1">
      <alignment vertical="center" wrapText="1"/>
    </xf>
    <xf numFmtId="167" fontId="2" fillId="55" borderId="6" xfId="2363" applyFont="1" applyFill="1" applyBorder="1" applyAlignment="1">
      <alignment horizontal="center" vertical="center" wrapText="1"/>
    </xf>
    <xf numFmtId="0" fontId="145" fillId="55" borderId="6" xfId="2363" applyNumberFormat="1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vertical="center"/>
    </xf>
    <xf numFmtId="0" fontId="2" fillId="55" borderId="6" xfId="2028" applyFont="1" applyFill="1" applyBorder="1" applyAlignment="1">
      <alignment wrapText="1"/>
    </xf>
    <xf numFmtId="0" fontId="8" fillId="55" borderId="6" xfId="0" applyFont="1" applyFill="1" applyBorder="1" applyAlignment="1">
      <alignment horizontal="right" vertical="center"/>
    </xf>
    <xf numFmtId="166" fontId="2" fillId="55" borderId="32" xfId="1751" applyFont="1" applyFill="1" applyBorder="1" applyAlignment="1">
      <alignment horizontal="center" vertical="center" wrapText="1"/>
    </xf>
    <xf numFmtId="2" fontId="8" fillId="55" borderId="0" xfId="0" applyNumberFormat="1" applyFont="1" applyFill="1" applyAlignment="1">
      <alignment vertical="center"/>
    </xf>
    <xf numFmtId="2" fontId="145" fillId="55" borderId="6" xfId="0" applyNumberFormat="1" applyFont="1" applyFill="1" applyBorder="1" applyAlignment="1">
      <alignment horizontal="right" vertical="center"/>
    </xf>
    <xf numFmtId="0" fontId="145" fillId="55" borderId="6" xfId="0" applyFont="1" applyFill="1" applyBorder="1" applyAlignment="1">
      <alignment vertical="center"/>
    </xf>
    <xf numFmtId="2" fontId="8" fillId="55" borderId="6" xfId="0" applyNumberFormat="1" applyFont="1" applyFill="1" applyBorder="1" applyAlignment="1"/>
    <xf numFmtId="0" fontId="145" fillId="55" borderId="32" xfId="2028" applyFont="1" applyFill="1" applyBorder="1" applyAlignment="1">
      <alignment horizontal="center" vertical="center" wrapText="1"/>
    </xf>
    <xf numFmtId="4" fontId="8" fillId="55" borderId="6" xfId="0" applyNumberFormat="1" applyFont="1" applyFill="1" applyBorder="1"/>
    <xf numFmtId="205" fontId="8" fillId="55" borderId="6" xfId="0" applyNumberFormat="1" applyFont="1" applyFill="1" applyBorder="1"/>
    <xf numFmtId="0" fontId="2" fillId="85" borderId="6" xfId="2028" applyFont="1" applyFill="1" applyBorder="1" applyAlignment="1">
      <alignment horizontal="center" vertical="center" wrapText="1"/>
    </xf>
    <xf numFmtId="2" fontId="2" fillId="85" borderId="32" xfId="2363" applyNumberFormat="1" applyFont="1" applyFill="1" applyBorder="1" applyAlignment="1">
      <alignment horizontal="center" vertical="center" wrapText="1"/>
    </xf>
    <xf numFmtId="0" fontId="2" fillId="85" borderId="32" xfId="2028" applyFont="1" applyFill="1" applyBorder="1" applyAlignment="1">
      <alignment horizontal="center" vertical="center" wrapText="1"/>
    </xf>
    <xf numFmtId="0" fontId="197" fillId="0" borderId="32" xfId="2028" applyFont="1" applyFill="1" applyBorder="1" applyAlignment="1">
      <alignment horizontal="center" vertical="center" wrapText="1"/>
    </xf>
    <xf numFmtId="2" fontId="172" fillId="0" borderId="6" xfId="0" applyNumberFormat="1" applyFont="1" applyFill="1" applyBorder="1" applyAlignment="1">
      <alignment vertical="center"/>
    </xf>
    <xf numFmtId="221" fontId="8" fillId="0" borderId="0" xfId="0" applyNumberFormat="1" applyFont="1" applyFill="1"/>
    <xf numFmtId="43" fontId="8" fillId="0" borderId="0" xfId="0" applyNumberFormat="1" applyFont="1" applyFill="1"/>
    <xf numFmtId="2" fontId="139" fillId="0" borderId="6" xfId="0" applyNumberFormat="1" applyFont="1" applyFill="1" applyBorder="1" applyAlignment="1">
      <alignment horizontal="right" vertical="center"/>
    </xf>
    <xf numFmtId="0" fontId="146" fillId="0" borderId="6" xfId="2028" applyFont="1" applyFill="1" applyBorder="1" applyAlignment="1">
      <alignment horizontal="center" vertical="center" wrapText="1"/>
    </xf>
    <xf numFmtId="2" fontId="139" fillId="0" borderId="6" xfId="0" applyNumberFormat="1" applyFont="1" applyFill="1" applyBorder="1" applyAlignment="1">
      <alignment horizontal="right" vertical="center" wrapText="1"/>
    </xf>
    <xf numFmtId="1" fontId="8" fillId="55" borderId="6" xfId="0" applyNumberFormat="1" applyFont="1" applyFill="1" applyBorder="1"/>
    <xf numFmtId="2" fontId="2" fillId="55" borderId="6" xfId="2363" applyNumberFormat="1" applyFont="1" applyFill="1" applyBorder="1" applyAlignment="1">
      <alignment horizontal="center" vertical="center" wrapText="1"/>
    </xf>
    <xf numFmtId="1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Font="1" applyFill="1" applyBorder="1" applyAlignment="1">
      <alignment vertical="center" wrapText="1"/>
    </xf>
    <xf numFmtId="1" fontId="2" fillId="55" borderId="6" xfId="2363" applyNumberFormat="1" applyFont="1" applyFill="1" applyBorder="1" applyAlignment="1">
      <alignment horizontal="center" vertical="center" wrapText="1"/>
    </xf>
    <xf numFmtId="167" fontId="2" fillId="55" borderId="6" xfId="2363" applyFont="1" applyFill="1" applyBorder="1" applyAlignment="1">
      <alignment vertical="center" wrapText="1"/>
    </xf>
    <xf numFmtId="0" fontId="8" fillId="56" borderId="6" xfId="0" applyFont="1" applyFill="1" applyBorder="1"/>
    <xf numFmtId="4" fontId="8" fillId="56" borderId="6" xfId="0" applyNumberFormat="1" applyFont="1" applyFill="1" applyBorder="1"/>
    <xf numFmtId="173" fontId="8" fillId="56" borderId="6" xfId="0" applyNumberFormat="1" applyFont="1" applyFill="1" applyBorder="1"/>
    <xf numFmtId="0" fontId="191" fillId="55" borderId="6" xfId="0" applyFont="1" applyFill="1" applyBorder="1" applyAlignment="1">
      <alignment horizontal="center"/>
    </xf>
    <xf numFmtId="171" fontId="8" fillId="55" borderId="6" xfId="2363" applyNumberFormat="1" applyFont="1" applyFill="1" applyBorder="1"/>
    <xf numFmtId="167" fontId="8" fillId="55" borderId="6" xfId="2363" applyFont="1" applyFill="1" applyBorder="1" applyAlignment="1">
      <alignment horizontal="right" vertical="center"/>
    </xf>
    <xf numFmtId="167" fontId="8" fillId="55" borderId="6" xfId="2363" applyFont="1" applyFill="1" applyBorder="1" applyAlignment="1">
      <alignment vertical="center"/>
    </xf>
    <xf numFmtId="4" fontId="8" fillId="55" borderId="6" xfId="0" applyNumberFormat="1" applyFont="1" applyFill="1" applyBorder="1" applyAlignment="1">
      <alignment vertical="center"/>
    </xf>
    <xf numFmtId="173" fontId="8" fillId="55" borderId="0" xfId="0" applyNumberFormat="1" applyFont="1" applyFill="1" applyBorder="1"/>
    <xf numFmtId="2" fontId="8" fillId="55" borderId="32" xfId="0" applyNumberFormat="1" applyFont="1" applyFill="1" applyBorder="1" applyAlignment="1"/>
    <xf numFmtId="214" fontId="8" fillId="62" borderId="0" xfId="0" applyNumberFormat="1" applyFont="1" applyFill="1" applyBorder="1"/>
    <xf numFmtId="167" fontId="8" fillId="55" borderId="0" xfId="2363" applyFont="1" applyFill="1"/>
    <xf numFmtId="167" fontId="8" fillId="55" borderId="0" xfId="2363" applyFont="1" applyFill="1" applyBorder="1"/>
    <xf numFmtId="173" fontId="8" fillId="58" borderId="0" xfId="0" applyNumberFormat="1" applyFont="1" applyFill="1" applyBorder="1"/>
    <xf numFmtId="43" fontId="8" fillId="62" borderId="6" xfId="0" applyNumberFormat="1" applyFont="1" applyFill="1" applyBorder="1"/>
    <xf numFmtId="167" fontId="8" fillId="58" borderId="0" xfId="2363" applyFont="1" applyFill="1" applyBorder="1"/>
    <xf numFmtId="0" fontId="139" fillId="87" borderId="0" xfId="0" applyFont="1" applyFill="1"/>
    <xf numFmtId="0" fontId="2" fillId="87" borderId="32" xfId="2028" applyFont="1" applyFill="1" applyBorder="1" applyAlignment="1">
      <alignment vertical="center" wrapText="1"/>
    </xf>
    <xf numFmtId="0" fontId="2" fillId="87" borderId="6" xfId="2028" applyFont="1" applyFill="1" applyBorder="1" applyAlignment="1">
      <alignment horizontal="center" vertical="center" wrapText="1"/>
    </xf>
    <xf numFmtId="0" fontId="2" fillId="87" borderId="32" xfId="2028" applyFont="1" applyFill="1" applyBorder="1" applyAlignment="1">
      <alignment horizontal="center" vertical="center" wrapText="1"/>
    </xf>
    <xf numFmtId="2" fontId="8" fillId="87" borderId="6" xfId="0" applyNumberFormat="1" applyFont="1" applyFill="1" applyBorder="1" applyAlignment="1">
      <alignment horizontal="right" vertical="center"/>
    </xf>
    <xf numFmtId="0" fontId="8" fillId="87" borderId="6" xfId="0" applyFont="1" applyFill="1" applyBorder="1"/>
    <xf numFmtId="173" fontId="8" fillId="87" borderId="6" xfId="0" applyNumberFormat="1" applyFont="1" applyFill="1" applyBorder="1"/>
    <xf numFmtId="0" fontId="8" fillId="87" borderId="0" xfId="0" applyFont="1" applyFill="1" applyBorder="1"/>
    <xf numFmtId="2" fontId="8" fillId="87" borderId="0" xfId="0" applyNumberFormat="1" applyFont="1" applyFill="1" applyBorder="1"/>
    <xf numFmtId="172" fontId="8" fillId="87" borderId="0" xfId="0" applyNumberFormat="1" applyFont="1" applyFill="1" applyBorder="1"/>
    <xf numFmtId="172" fontId="8" fillId="87" borderId="0" xfId="0" applyNumberFormat="1" applyFont="1" applyFill="1"/>
    <xf numFmtId="0" fontId="8" fillId="87" borderId="0" xfId="0" applyFont="1" applyFill="1"/>
    <xf numFmtId="2" fontId="8" fillId="87" borderId="6" xfId="0" applyNumberFormat="1" applyFont="1" applyFill="1" applyBorder="1"/>
    <xf numFmtId="2" fontId="8" fillId="87" borderId="0" xfId="0" applyNumberFormat="1" applyFont="1" applyFill="1"/>
    <xf numFmtId="167" fontId="8" fillId="87" borderId="6" xfId="2363" applyFont="1" applyFill="1" applyBorder="1"/>
    <xf numFmtId="2" fontId="8" fillId="87" borderId="6" xfId="0" applyNumberFormat="1" applyFont="1" applyFill="1" applyBorder="1" applyAlignment="1">
      <alignment vertical="center"/>
    </xf>
    <xf numFmtId="0" fontId="8" fillId="88" borderId="6" xfId="0" applyFont="1" applyFill="1" applyBorder="1"/>
    <xf numFmtId="173" fontId="8" fillId="88" borderId="6" xfId="0" applyNumberFormat="1" applyFont="1" applyFill="1" applyBorder="1"/>
    <xf numFmtId="172" fontId="8" fillId="88" borderId="6" xfId="0" applyNumberFormat="1" applyFont="1" applyFill="1" applyBorder="1"/>
    <xf numFmtId="0" fontId="0" fillId="88" borderId="0" xfId="0" applyFill="1"/>
    <xf numFmtId="0" fontId="147" fillId="88" borderId="0" xfId="0" applyFont="1" applyFill="1"/>
    <xf numFmtId="0" fontId="8" fillId="0" borderId="0" xfId="0" applyFont="1" applyFill="1" applyAlignment="1">
      <alignment horizontal="center" vertical="center"/>
    </xf>
    <xf numFmtId="2" fontId="137" fillId="62" borderId="36" xfId="0" applyNumberFormat="1" applyFont="1" applyFill="1" applyBorder="1" applyAlignment="1">
      <alignment horizontal="center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173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3" fillId="62" borderId="33" xfId="2028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0" fontId="154" fillId="0" borderId="0" xfId="0" applyFont="1" applyFill="1"/>
    <xf numFmtId="0" fontId="154" fillId="58" borderId="0" xfId="0" applyFont="1" applyFill="1"/>
    <xf numFmtId="0" fontId="8" fillId="0" borderId="0" xfId="0" applyFont="1" applyFill="1" applyAlignment="1">
      <alignment vertical="center"/>
    </xf>
    <xf numFmtId="2" fontId="8" fillId="0" borderId="6" xfId="0" applyNumberFormat="1" applyFont="1" applyFill="1" applyBorder="1" applyAlignment="1">
      <alignment horizontal="center" vertical="center" wrapText="1"/>
    </xf>
    <xf numFmtId="2" fontId="8" fillId="0" borderId="6" xfId="0" applyNumberFormat="1" applyFont="1" applyFill="1" applyBorder="1" applyAlignment="1">
      <alignment horizontal="center"/>
    </xf>
    <xf numFmtId="0" fontId="8" fillId="88" borderId="6" xfId="0" applyFont="1" applyFill="1" applyBorder="1" applyAlignment="1">
      <alignment vertical="center"/>
    </xf>
    <xf numFmtId="43" fontId="8" fillId="88" borderId="6" xfId="0" applyNumberFormat="1" applyFont="1" applyFill="1" applyBorder="1"/>
    <xf numFmtId="0" fontId="2" fillId="88" borderId="6" xfId="2028" applyFont="1" applyFill="1" applyBorder="1" applyAlignment="1">
      <alignment horizontal="center" vertical="center" wrapText="1"/>
    </xf>
    <xf numFmtId="0" fontId="139" fillId="0" borderId="6" xfId="0" applyFont="1" applyFill="1" applyBorder="1" applyAlignment="1">
      <alignment vertical="center"/>
    </xf>
    <xf numFmtId="2" fontId="139" fillId="0" borderId="6" xfId="2363" applyNumberFormat="1" applyFont="1" applyFill="1" applyBorder="1" applyAlignment="1">
      <alignment horizontal="right" vertical="center"/>
    </xf>
    <xf numFmtId="2" fontId="139" fillId="55" borderId="6" xfId="0" applyNumberFormat="1" applyFont="1" applyFill="1" applyBorder="1" applyAlignment="1">
      <alignment horizontal="right" vertical="center"/>
    </xf>
    <xf numFmtId="2" fontId="139" fillId="59" borderId="6" xfId="0" applyNumberFormat="1" applyFont="1" applyFill="1" applyBorder="1" applyAlignment="1">
      <alignment horizontal="right" vertical="center"/>
    </xf>
    <xf numFmtId="2" fontId="139" fillId="55" borderId="6" xfId="0" applyNumberFormat="1" applyFont="1" applyFill="1" applyBorder="1" applyAlignment="1">
      <alignment horizontal="right" vertical="center" wrapText="1"/>
    </xf>
    <xf numFmtId="2" fontId="201" fillId="55" borderId="6" xfId="0" applyNumberFormat="1" applyFont="1" applyFill="1" applyBorder="1" applyAlignment="1">
      <alignment horizontal="right" vertical="center"/>
    </xf>
    <xf numFmtId="2" fontId="139" fillId="87" borderId="6" xfId="0" applyNumberFormat="1" applyFont="1" applyFill="1" applyBorder="1" applyAlignment="1">
      <alignment horizontal="right" vertical="center"/>
    </xf>
    <xf numFmtId="2" fontId="139" fillId="87" borderId="6" xfId="0" applyNumberFormat="1" applyFont="1" applyFill="1" applyBorder="1" applyAlignment="1">
      <alignment vertical="center"/>
    </xf>
    <xf numFmtId="2" fontId="139" fillId="62" borderId="6" xfId="0" applyNumberFormat="1" applyFont="1" applyFill="1" applyBorder="1" applyAlignment="1">
      <alignment horizontal="right" vertical="center"/>
    </xf>
    <xf numFmtId="211" fontId="8" fillId="55" borderId="6" xfId="0" applyNumberFormat="1" applyFont="1" applyFill="1" applyBorder="1"/>
    <xf numFmtId="0" fontId="155" fillId="0" borderId="0" xfId="0" applyFont="1" applyFill="1"/>
    <xf numFmtId="0" fontId="142" fillId="0" borderId="0" xfId="0" applyFont="1" applyFill="1"/>
    <xf numFmtId="0" fontId="142" fillId="62" borderId="6" xfId="0" applyFont="1" applyFill="1" applyBorder="1"/>
    <xf numFmtId="0" fontId="142" fillId="62" borderId="6" xfId="0" applyFont="1" applyFill="1" applyBorder="1" applyAlignment="1">
      <alignment wrapText="1"/>
    </xf>
    <xf numFmtId="2" fontId="142" fillId="62" borderId="6" xfId="0" applyNumberFormat="1" applyFont="1" applyFill="1" applyBorder="1"/>
    <xf numFmtId="173" fontId="142" fillId="0" borderId="0" xfId="0" applyNumberFormat="1" applyFont="1" applyFill="1" applyBorder="1"/>
    <xf numFmtId="167" fontId="142" fillId="62" borderId="6" xfId="2363" applyFont="1" applyFill="1" applyBorder="1"/>
    <xf numFmtId="0" fontId="142" fillId="62" borderId="0" xfId="0" applyFont="1" applyFill="1"/>
    <xf numFmtId="2" fontId="156" fillId="62" borderId="6" xfId="0" applyNumberFormat="1" applyFont="1" applyFill="1" applyBorder="1"/>
    <xf numFmtId="0" fontId="8" fillId="62" borderId="6" xfId="0" applyFont="1" applyFill="1" applyBorder="1" applyAlignment="1">
      <alignment horizontal="center" vertical="center" wrapText="1"/>
    </xf>
    <xf numFmtId="0" fontId="204" fillId="62" borderId="6" xfId="0" applyFont="1" applyFill="1" applyBorder="1" applyAlignment="1">
      <alignment horizontal="center" vertical="center" wrapText="1"/>
    </xf>
    <xf numFmtId="167" fontId="2" fillId="55" borderId="29" xfId="2363" applyFont="1" applyFill="1" applyBorder="1" applyAlignment="1">
      <alignment horizontal="center" vertical="center" wrapText="1"/>
    </xf>
    <xf numFmtId="0" fontId="173" fillId="0" borderId="35" xfId="2028" applyFont="1" applyFill="1" applyBorder="1" applyAlignment="1">
      <alignment horizontal="center" vertical="center" wrapText="1"/>
    </xf>
    <xf numFmtId="0" fontId="2" fillId="55" borderId="29" xfId="2028" applyFont="1" applyFill="1" applyBorder="1" applyAlignment="1">
      <alignment horizontal="center" vertical="center" wrapText="1"/>
    </xf>
    <xf numFmtId="0" fontId="2" fillId="0" borderId="35" xfId="2028" applyFont="1" applyFill="1" applyBorder="1" applyAlignment="1">
      <alignment horizontal="center" vertical="center" wrapText="1"/>
    </xf>
    <xf numFmtId="2" fontId="2" fillId="55" borderId="29" xfId="2363" applyNumberFormat="1" applyFont="1" applyFill="1" applyBorder="1" applyAlignment="1">
      <alignment horizontal="center" vertical="center" wrapText="1"/>
    </xf>
    <xf numFmtId="0" fontId="2" fillId="87" borderId="35" xfId="2028" applyFont="1" applyFill="1" applyBorder="1" applyAlignment="1">
      <alignment horizontal="center" vertical="center" wrapText="1"/>
    </xf>
    <xf numFmtId="2" fontId="2" fillId="55" borderId="35" xfId="2028" applyNumberFormat="1" applyFont="1" applyFill="1" applyBorder="1" applyAlignment="1">
      <alignment horizontal="center" vertical="center" wrapText="1"/>
    </xf>
    <xf numFmtId="2" fontId="8" fillId="0" borderId="27" xfId="2363" applyNumberFormat="1" applyFont="1" applyFill="1" applyBorder="1" applyAlignment="1">
      <alignment horizontal="right"/>
    </xf>
    <xf numFmtId="2" fontId="8" fillId="55" borderId="27" xfId="0" applyNumberFormat="1" applyFont="1" applyFill="1" applyBorder="1" applyAlignment="1">
      <alignment horizontal="center" vertical="center"/>
    </xf>
    <xf numFmtId="2" fontId="8" fillId="0" borderId="27" xfId="0" applyNumberFormat="1" applyFont="1" applyFill="1" applyBorder="1" applyAlignment="1">
      <alignment horizontal="right" vertical="center"/>
    </xf>
    <xf numFmtId="2" fontId="8" fillId="55" borderId="27" xfId="0" applyNumberFormat="1" applyFont="1" applyFill="1" applyBorder="1" applyAlignment="1">
      <alignment horizontal="right" vertical="center" wrapText="1"/>
    </xf>
    <xf numFmtId="2" fontId="8" fillId="55" borderId="27" xfId="0" applyNumberFormat="1" applyFont="1" applyFill="1" applyBorder="1" applyAlignment="1">
      <alignment horizontal="right" vertical="center"/>
    </xf>
    <xf numFmtId="2" fontId="8" fillId="0" borderId="27" xfId="0" applyNumberFormat="1" applyFont="1" applyFill="1" applyBorder="1" applyAlignment="1">
      <alignment horizontal="right"/>
    </xf>
    <xf numFmtId="2" fontId="8" fillId="55" borderId="27" xfId="0" applyNumberFormat="1" applyFont="1" applyFill="1" applyBorder="1" applyAlignment="1">
      <alignment horizontal="right"/>
    </xf>
    <xf numFmtId="2" fontId="8" fillId="87" borderId="27" xfId="0" applyNumberFormat="1" applyFont="1" applyFill="1" applyBorder="1" applyAlignment="1">
      <alignment horizontal="right" vertical="center"/>
    </xf>
    <xf numFmtId="2" fontId="8" fillId="87" borderId="27" xfId="0" applyNumberFormat="1" applyFont="1" applyFill="1" applyBorder="1" applyAlignment="1">
      <alignment vertical="center"/>
    </xf>
    <xf numFmtId="2" fontId="8" fillId="62" borderId="27" xfId="0" applyNumberFormat="1" applyFont="1" applyFill="1" applyBorder="1" applyAlignment="1">
      <alignment horizontal="right"/>
    </xf>
    <xf numFmtId="2" fontId="8" fillId="0" borderId="27" xfId="0" applyNumberFormat="1" applyFont="1" applyFill="1" applyBorder="1" applyAlignment="1">
      <alignment horizontal="center" vertical="center" wrapText="1"/>
    </xf>
    <xf numFmtId="0" fontId="8" fillId="55" borderId="27" xfId="0" applyFont="1" applyFill="1" applyBorder="1" applyAlignment="1">
      <alignment vertical="center"/>
    </xf>
    <xf numFmtId="2" fontId="8" fillId="55" borderId="27" xfId="0" applyNumberFormat="1" applyFont="1" applyFill="1" applyBorder="1" applyAlignment="1">
      <alignment vertical="center"/>
    </xf>
    <xf numFmtId="0" fontId="139" fillId="0" borderId="25" xfId="0" applyFont="1" applyFill="1" applyBorder="1" applyAlignment="1">
      <alignment vertical="center"/>
    </xf>
    <xf numFmtId="2" fontId="139" fillId="0" borderId="85" xfId="0" applyNumberFormat="1" applyFont="1" applyFill="1" applyBorder="1" applyAlignment="1">
      <alignment horizontal="right"/>
    </xf>
    <xf numFmtId="2" fontId="139" fillId="0" borderId="25" xfId="2363" applyNumberFormat="1" applyFont="1" applyFill="1" applyBorder="1" applyAlignment="1">
      <alignment horizontal="right" vertical="center"/>
    </xf>
    <xf numFmtId="2" fontId="139" fillId="0" borderId="85" xfId="2363" applyNumberFormat="1" applyFont="1" applyFill="1" applyBorder="1" applyAlignment="1">
      <alignment horizontal="right"/>
    </xf>
    <xf numFmtId="2" fontId="139" fillId="55" borderId="25" xfId="0" applyNumberFormat="1" applyFont="1" applyFill="1" applyBorder="1" applyAlignment="1">
      <alignment horizontal="right" vertical="center"/>
    </xf>
    <xf numFmtId="2" fontId="139" fillId="55" borderId="85" xfId="0" applyNumberFormat="1" applyFont="1" applyFill="1" applyBorder="1" applyAlignment="1">
      <alignment horizontal="center" vertical="center"/>
    </xf>
    <xf numFmtId="0" fontId="139" fillId="0" borderId="0" xfId="0" applyFont="1" applyFill="1" applyBorder="1" applyAlignment="1">
      <alignment vertical="center"/>
    </xf>
    <xf numFmtId="2" fontId="139" fillId="0" borderId="85" xfId="0" applyNumberFormat="1" applyFont="1" applyFill="1" applyBorder="1" applyAlignment="1">
      <alignment horizontal="right" vertical="center"/>
    </xf>
    <xf numFmtId="2" fontId="139" fillId="0" borderId="25" xfId="0" applyNumberFormat="1" applyFont="1" applyFill="1" applyBorder="1" applyAlignment="1">
      <alignment horizontal="right" vertical="center"/>
    </xf>
    <xf numFmtId="2" fontId="139" fillId="59" borderId="85" xfId="0" applyNumberFormat="1" applyFont="1" applyFill="1" applyBorder="1" applyAlignment="1">
      <alignment horizontal="right" vertical="center"/>
    </xf>
    <xf numFmtId="2" fontId="139" fillId="55" borderId="25" xfId="0" applyNumberFormat="1" applyFont="1" applyFill="1" applyBorder="1" applyAlignment="1">
      <alignment horizontal="right" vertical="center" wrapText="1"/>
    </xf>
    <xf numFmtId="2" fontId="139" fillId="55" borderId="85" xfId="0" applyNumberFormat="1" applyFont="1" applyFill="1" applyBorder="1" applyAlignment="1">
      <alignment horizontal="right"/>
    </xf>
    <xf numFmtId="2" fontId="139" fillId="55" borderId="85" xfId="0" applyNumberFormat="1" applyFont="1" applyFill="1" applyBorder="1" applyAlignment="1">
      <alignment horizontal="right" vertical="center"/>
    </xf>
    <xf numFmtId="2" fontId="201" fillId="55" borderId="85" xfId="0" applyNumberFormat="1" applyFont="1" applyFill="1" applyBorder="1" applyAlignment="1">
      <alignment horizontal="right" vertical="center"/>
    </xf>
    <xf numFmtId="2" fontId="139" fillId="0" borderId="85" xfId="2363" applyNumberFormat="1" applyFont="1" applyFill="1" applyBorder="1" applyAlignment="1">
      <alignment horizontal="right" vertical="center"/>
    </xf>
    <xf numFmtId="2" fontId="139" fillId="0" borderId="85" xfId="2363" applyNumberFormat="1" applyFont="1" applyFill="1" applyBorder="1" applyAlignment="1">
      <alignment horizontal="center" vertical="center"/>
    </xf>
    <xf numFmtId="2" fontId="139" fillId="0" borderId="85" xfId="0" applyNumberFormat="1" applyFont="1" applyFill="1" applyBorder="1" applyAlignment="1">
      <alignment vertical="center"/>
    </xf>
    <xf numFmtId="2" fontId="139" fillId="87" borderId="25" xfId="0" applyNumberFormat="1" applyFont="1" applyFill="1" applyBorder="1" applyAlignment="1">
      <alignment horizontal="right" vertical="center"/>
    </xf>
    <xf numFmtId="2" fontId="139" fillId="87" borderId="85" xfId="0" applyNumberFormat="1" applyFont="1" applyFill="1" applyBorder="1" applyAlignment="1">
      <alignment horizontal="right" vertical="center"/>
    </xf>
    <xf numFmtId="2" fontId="139" fillId="87" borderId="25" xfId="0" applyNumberFormat="1" applyFont="1" applyFill="1" applyBorder="1" applyAlignment="1">
      <alignment vertical="center"/>
    </xf>
    <xf numFmtId="2" fontId="139" fillId="87" borderId="85" xfId="0" applyNumberFormat="1" applyFont="1" applyFill="1" applyBorder="1" applyAlignment="1">
      <alignment vertical="center"/>
    </xf>
    <xf numFmtId="2" fontId="139" fillId="55" borderId="0" xfId="0" applyNumberFormat="1" applyFont="1" applyFill="1" applyBorder="1" applyAlignment="1">
      <alignment horizontal="right" vertical="center"/>
    </xf>
    <xf numFmtId="2" fontId="201" fillId="55" borderId="85" xfId="0" applyNumberFormat="1" applyFont="1" applyFill="1" applyBorder="1" applyAlignment="1">
      <alignment horizontal="right"/>
    </xf>
    <xf numFmtId="2" fontId="139" fillId="62" borderId="25" xfId="0" applyNumberFormat="1" applyFont="1" applyFill="1" applyBorder="1" applyAlignment="1">
      <alignment horizontal="right" vertical="center"/>
    </xf>
    <xf numFmtId="2" fontId="139" fillId="62" borderId="85" xfId="0" applyNumberFormat="1" applyFont="1" applyFill="1" applyBorder="1" applyAlignment="1">
      <alignment horizontal="right"/>
    </xf>
    <xf numFmtId="2" fontId="139" fillId="0" borderId="25" xfId="0" applyNumberFormat="1" applyFont="1" applyFill="1" applyBorder="1" applyAlignment="1">
      <alignment horizontal="right" vertical="center" wrapText="1"/>
    </xf>
    <xf numFmtId="2" fontId="139" fillId="0" borderId="85" xfId="0" applyNumberFormat="1" applyFont="1" applyFill="1" applyBorder="1" applyAlignment="1">
      <alignment horizontal="right" vertical="center" wrapText="1"/>
    </xf>
    <xf numFmtId="2" fontId="139" fillId="55" borderId="85" xfId="0" applyNumberFormat="1" applyFont="1" applyFill="1" applyBorder="1" applyAlignment="1">
      <alignment horizontal="right" vertical="center" wrapText="1"/>
    </xf>
    <xf numFmtId="173" fontId="8" fillId="0" borderId="27" xfId="0" applyNumberFormat="1" applyFont="1" applyFill="1" applyBorder="1"/>
    <xf numFmtId="2" fontId="8" fillId="0" borderId="27" xfId="2363" applyNumberFormat="1" applyFont="1" applyFill="1" applyBorder="1"/>
    <xf numFmtId="172" fontId="8" fillId="55" borderId="27" xfId="0" applyNumberFormat="1" applyFont="1" applyFill="1" applyBorder="1" applyAlignment="1">
      <alignment horizontal="center" vertical="center"/>
    </xf>
    <xf numFmtId="2" fontId="8" fillId="0" borderId="27" xfId="0" applyNumberFormat="1" applyFont="1" applyFill="1" applyBorder="1"/>
    <xf numFmtId="173" fontId="8" fillId="0" borderId="27" xfId="0" applyNumberFormat="1" applyFont="1" applyFill="1" applyBorder="1" applyAlignment="1">
      <alignment vertical="center"/>
    </xf>
    <xf numFmtId="0" fontId="8" fillId="55" borderId="27" xfId="0" applyFont="1" applyFill="1" applyBorder="1" applyAlignment="1">
      <alignment horizontal="center"/>
    </xf>
    <xf numFmtId="0" fontId="8" fillId="0" borderId="27" xfId="0" applyFont="1" applyFill="1" applyBorder="1"/>
    <xf numFmtId="4" fontId="8" fillId="55" borderId="27" xfId="0" applyNumberFormat="1" applyFont="1" applyFill="1" applyBorder="1"/>
    <xf numFmtId="0" fontId="8" fillId="55" borderId="27" xfId="0" applyFont="1" applyFill="1" applyBorder="1"/>
    <xf numFmtId="173" fontId="8" fillId="0" borderId="27" xfId="2363" applyNumberFormat="1" applyFont="1" applyFill="1" applyBorder="1" applyAlignment="1">
      <alignment horizontal="center" vertical="center"/>
    </xf>
    <xf numFmtId="173" fontId="8" fillId="0" borderId="27" xfId="2363" applyNumberFormat="1" applyFont="1" applyFill="1" applyBorder="1"/>
    <xf numFmtId="0" fontId="8" fillId="88" borderId="27" xfId="0" applyFont="1" applyFill="1" applyBorder="1"/>
    <xf numFmtId="172" fontId="8" fillId="55" borderId="27" xfId="0" applyNumberFormat="1" applyFont="1" applyFill="1" applyBorder="1"/>
    <xf numFmtId="172" fontId="8" fillId="0" borderId="27" xfId="0" applyNumberFormat="1" applyFont="1" applyFill="1" applyBorder="1"/>
    <xf numFmtId="2" fontId="8" fillId="62" borderId="27" xfId="0" applyNumberFormat="1" applyFont="1" applyFill="1" applyBorder="1"/>
    <xf numFmtId="173" fontId="8" fillId="0" borderId="27" xfId="0" applyNumberFormat="1" applyFont="1" applyFill="1" applyBorder="1" applyAlignment="1">
      <alignment horizontal="center" vertical="center"/>
    </xf>
    <xf numFmtId="2" fontId="8" fillId="0" borderId="85" xfId="0" applyNumberFormat="1" applyFont="1" applyFill="1" applyBorder="1" applyAlignment="1">
      <alignment horizontal="right"/>
    </xf>
    <xf numFmtId="2" fontId="8" fillId="0" borderId="85" xfId="2363" applyNumberFormat="1" applyFont="1" applyFill="1" applyBorder="1" applyAlignment="1">
      <alignment horizontal="right"/>
    </xf>
    <xf numFmtId="2" fontId="8" fillId="55" borderId="85" xfId="0" applyNumberFormat="1" applyFont="1" applyFill="1" applyBorder="1" applyAlignment="1">
      <alignment horizontal="center" vertical="center"/>
    </xf>
    <xf numFmtId="2" fontId="8" fillId="0" borderId="85" xfId="0" applyNumberFormat="1" applyFont="1" applyFill="1" applyBorder="1" applyAlignment="1">
      <alignment horizontal="right" vertical="center"/>
    </xf>
    <xf numFmtId="2" fontId="8" fillId="59" borderId="85" xfId="0" applyNumberFormat="1" applyFont="1" applyFill="1" applyBorder="1" applyAlignment="1">
      <alignment horizontal="right" vertical="center"/>
    </xf>
    <xf numFmtId="2" fontId="8" fillId="55" borderId="85" xfId="0" applyNumberFormat="1" applyFont="1" applyFill="1" applyBorder="1" applyAlignment="1">
      <alignment horizontal="right"/>
    </xf>
    <xf numFmtId="2" fontId="8" fillId="55" borderId="85" xfId="0" applyNumberFormat="1" applyFont="1" applyFill="1" applyBorder="1" applyAlignment="1">
      <alignment horizontal="right" vertical="center"/>
    </xf>
    <xf numFmtId="2" fontId="8" fillId="0" borderId="85" xfId="2363" applyNumberFormat="1" applyFont="1" applyFill="1" applyBorder="1" applyAlignment="1">
      <alignment horizontal="right" vertical="center"/>
    </xf>
    <xf numFmtId="2" fontId="8" fillId="0" borderId="85" xfId="2363" applyNumberFormat="1" applyFont="1" applyFill="1" applyBorder="1" applyAlignment="1">
      <alignment horizontal="center" vertical="center"/>
    </xf>
    <xf numFmtId="2" fontId="8" fillId="0" borderId="85" xfId="0" applyNumberFormat="1" applyFont="1" applyFill="1" applyBorder="1" applyAlignment="1">
      <alignment vertical="center"/>
    </xf>
    <xf numFmtId="2" fontId="8" fillId="87" borderId="85" xfId="0" applyNumberFormat="1" applyFont="1" applyFill="1" applyBorder="1" applyAlignment="1">
      <alignment horizontal="right" vertical="center"/>
    </xf>
    <xf numFmtId="2" fontId="8" fillId="87" borderId="85" xfId="0" applyNumberFormat="1" applyFont="1" applyFill="1" applyBorder="1" applyAlignment="1">
      <alignment vertical="center"/>
    </xf>
    <xf numFmtId="2" fontId="8" fillId="55" borderId="0" xfId="0" applyNumberFormat="1" applyFont="1" applyFill="1" applyBorder="1" applyAlignment="1">
      <alignment horizontal="right" vertical="center"/>
    </xf>
    <xf numFmtId="2" fontId="8" fillId="62" borderId="85" xfId="0" applyNumberFormat="1" applyFont="1" applyFill="1" applyBorder="1" applyAlignment="1">
      <alignment horizontal="right"/>
    </xf>
    <xf numFmtId="0" fontId="8" fillId="55" borderId="85" xfId="0" applyFont="1" applyFill="1" applyBorder="1" applyAlignment="1">
      <alignment vertical="center"/>
    </xf>
    <xf numFmtId="167" fontId="8" fillId="56" borderId="53" xfId="2363" applyFont="1" applyFill="1" applyBorder="1"/>
    <xf numFmtId="173" fontId="8" fillId="0" borderId="85" xfId="0" applyNumberFormat="1" applyFont="1" applyFill="1" applyBorder="1"/>
    <xf numFmtId="2" fontId="8" fillId="0" borderId="25" xfId="2363" applyNumberFormat="1" applyFont="1" applyFill="1" applyBorder="1"/>
    <xf numFmtId="172" fontId="8" fillId="55" borderId="25" xfId="0" applyNumberFormat="1" applyFont="1" applyFill="1" applyBorder="1" applyAlignment="1">
      <alignment horizontal="center" vertical="center"/>
    </xf>
    <xf numFmtId="173" fontId="8" fillId="55" borderId="85" xfId="0" applyNumberFormat="1" applyFont="1" applyFill="1" applyBorder="1" applyAlignment="1">
      <alignment horizontal="center" vertical="center"/>
    </xf>
    <xf numFmtId="173" fontId="8" fillId="0" borderId="85" xfId="0" applyNumberFormat="1" applyFont="1" applyFill="1" applyBorder="1" applyAlignment="1">
      <alignment vertical="center"/>
    </xf>
    <xf numFmtId="2" fontId="8" fillId="0" borderId="25" xfId="0" applyNumberFormat="1" applyFont="1" applyFill="1" applyBorder="1"/>
    <xf numFmtId="173" fontId="8" fillId="59" borderId="85" xfId="0" applyNumberFormat="1" applyFont="1" applyFill="1" applyBorder="1" applyAlignment="1">
      <alignment vertical="center"/>
    </xf>
    <xf numFmtId="173" fontId="8" fillId="0" borderId="25" xfId="0" applyNumberFormat="1" applyFont="1" applyFill="1" applyBorder="1" applyAlignment="1">
      <alignment vertical="center"/>
    </xf>
    <xf numFmtId="173" fontId="8" fillId="55" borderId="85" xfId="0" applyNumberFormat="1" applyFont="1" applyFill="1" applyBorder="1"/>
    <xf numFmtId="0" fontId="8" fillId="55" borderId="25" xfId="0" applyFont="1" applyFill="1" applyBorder="1" applyAlignment="1">
      <alignment horizontal="center"/>
    </xf>
    <xf numFmtId="173" fontId="8" fillId="55" borderId="85" xfId="0" applyNumberFormat="1" applyFont="1" applyFill="1" applyBorder="1" applyAlignment="1">
      <alignment vertical="center"/>
    </xf>
    <xf numFmtId="0" fontId="8" fillId="0" borderId="25" xfId="0" applyFont="1" applyFill="1" applyBorder="1"/>
    <xf numFmtId="4" fontId="8" fillId="55" borderId="25" xfId="0" applyNumberFormat="1" applyFont="1" applyFill="1" applyBorder="1"/>
    <xf numFmtId="2" fontId="8" fillId="0" borderId="85" xfId="0" applyNumberFormat="1" applyFont="1" applyFill="1" applyBorder="1"/>
    <xf numFmtId="0" fontId="8" fillId="55" borderId="25" xfId="0" applyFont="1" applyFill="1" applyBorder="1"/>
    <xf numFmtId="173" fontId="8" fillId="0" borderId="85" xfId="0" applyNumberFormat="1" applyFont="1" applyFill="1" applyBorder="1" applyAlignment="1">
      <alignment horizontal="center" vertical="center"/>
    </xf>
    <xf numFmtId="2" fontId="8" fillId="55" borderId="85" xfId="0" applyNumberFormat="1" applyFont="1" applyFill="1" applyBorder="1"/>
    <xf numFmtId="173" fontId="8" fillId="0" borderId="25" xfId="2363" applyNumberFormat="1" applyFont="1" applyFill="1" applyBorder="1"/>
    <xf numFmtId="0" fontId="8" fillId="88" borderId="25" xfId="0" applyFont="1" applyFill="1" applyBorder="1"/>
    <xf numFmtId="173" fontId="8" fillId="88" borderId="85" xfId="0" applyNumberFormat="1" applyFont="1" applyFill="1" applyBorder="1"/>
    <xf numFmtId="172" fontId="8" fillId="55" borderId="25" xfId="0" applyNumberFormat="1" applyFont="1" applyFill="1" applyBorder="1"/>
    <xf numFmtId="172" fontId="8" fillId="0" borderId="25" xfId="0" applyNumberFormat="1" applyFont="1" applyFill="1" applyBorder="1"/>
    <xf numFmtId="2" fontId="8" fillId="62" borderId="25" xfId="0" applyNumberFormat="1" applyFont="1" applyFill="1" applyBorder="1"/>
    <xf numFmtId="173" fontId="8" fillId="62" borderId="85" xfId="0" applyNumberFormat="1" applyFont="1" applyFill="1" applyBorder="1"/>
    <xf numFmtId="173" fontId="8" fillId="0" borderId="85" xfId="0" applyNumberFormat="1" applyFont="1" applyFill="1" applyBorder="1" applyAlignment="1">
      <alignment horizontal="right" vertical="center"/>
    </xf>
    <xf numFmtId="167" fontId="8" fillId="55" borderId="85" xfId="2363" applyFont="1" applyFill="1" applyBorder="1" applyAlignment="1">
      <alignment horizontal="right" vertical="center"/>
    </xf>
    <xf numFmtId="173" fontId="8" fillId="59" borderId="27" xfId="0" applyNumberFormat="1" applyFont="1" applyFill="1" applyBorder="1"/>
    <xf numFmtId="173" fontId="8" fillId="55" borderId="27" xfId="0" applyNumberFormat="1" applyFont="1" applyFill="1" applyBorder="1"/>
    <xf numFmtId="173" fontId="8" fillId="55" borderId="27" xfId="0" applyNumberFormat="1" applyFont="1" applyFill="1" applyBorder="1" applyAlignment="1">
      <alignment vertical="center"/>
    </xf>
    <xf numFmtId="173" fontId="8" fillId="88" borderId="27" xfId="0" applyNumberFormat="1" applyFont="1" applyFill="1" applyBorder="1"/>
    <xf numFmtId="173" fontId="8" fillId="62" borderId="27" xfId="0" applyNumberFormat="1" applyFont="1" applyFill="1" applyBorder="1"/>
    <xf numFmtId="167" fontId="8" fillId="0" borderId="27" xfId="2363" applyFont="1" applyFill="1" applyBorder="1"/>
    <xf numFmtId="173" fontId="8" fillId="59" borderId="85" xfId="0" applyNumberFormat="1" applyFont="1" applyFill="1" applyBorder="1"/>
    <xf numFmtId="167" fontId="8" fillId="0" borderId="85" xfId="2363" applyFont="1" applyFill="1" applyBorder="1" applyAlignment="1">
      <alignment vertical="center"/>
    </xf>
    <xf numFmtId="173" fontId="3" fillId="88" borderId="33" xfId="2028" applyNumberFormat="1" applyFont="1" applyFill="1" applyBorder="1" applyAlignment="1">
      <alignment horizontal="center" vertical="center"/>
    </xf>
    <xf numFmtId="0" fontId="2" fillId="88" borderId="31" xfId="2028" applyFont="1" applyFill="1" applyBorder="1" applyAlignment="1">
      <alignment horizontal="center" vertical="center" wrapText="1"/>
    </xf>
    <xf numFmtId="0" fontId="2" fillId="88" borderId="34" xfId="2028" applyFont="1" applyFill="1" applyBorder="1" applyAlignment="1">
      <alignment horizontal="center" vertical="center" wrapText="1"/>
    </xf>
    <xf numFmtId="2" fontId="176" fillId="0" borderId="6" xfId="0" applyNumberFormat="1" applyFont="1" applyFill="1" applyBorder="1" applyAlignment="1">
      <alignment horizontal="right"/>
    </xf>
    <xf numFmtId="2" fontId="176" fillId="0" borderId="6" xfId="0" applyNumberFormat="1" applyFont="1" applyFill="1" applyBorder="1" applyAlignment="1">
      <alignment horizontal="right" vertical="center"/>
    </xf>
    <xf numFmtId="4" fontId="8" fillId="55" borderId="6" xfId="0" applyNumberFormat="1" applyFont="1" applyFill="1" applyBorder="1" applyAlignment="1">
      <alignment horizontal="center" vertical="center"/>
    </xf>
    <xf numFmtId="0" fontId="146" fillId="0" borderId="32" xfId="2028" applyFont="1" applyFill="1" applyBorder="1" applyAlignment="1">
      <alignment vertical="center" wrapText="1"/>
    </xf>
    <xf numFmtId="0" fontId="146" fillId="88" borderId="6" xfId="2028" applyFont="1" applyFill="1" applyBorder="1" applyAlignment="1">
      <alignment horizontal="center" vertical="center" wrapText="1"/>
    </xf>
    <xf numFmtId="173" fontId="139" fillId="0" borderId="25" xfId="0" applyNumberFormat="1" applyFont="1" applyFill="1" applyBorder="1"/>
    <xf numFmtId="0" fontId="139" fillId="0" borderId="6" xfId="0" applyFont="1" applyFill="1" applyBorder="1"/>
    <xf numFmtId="0" fontId="139" fillId="58" borderId="6" xfId="0" applyFont="1" applyFill="1" applyBorder="1"/>
    <xf numFmtId="173" fontId="139" fillId="0" borderId="85" xfId="0" applyNumberFormat="1" applyFont="1" applyFill="1" applyBorder="1"/>
    <xf numFmtId="173" fontId="139" fillId="0" borderId="27" xfId="0" applyNumberFormat="1" applyFont="1" applyFill="1" applyBorder="1"/>
    <xf numFmtId="173" fontId="139" fillId="0" borderId="25" xfId="0" applyNumberFormat="1" applyFont="1" applyFill="1" applyBorder="1" applyAlignment="1">
      <alignment vertical="center"/>
    </xf>
    <xf numFmtId="173" fontId="139" fillId="0" borderId="6" xfId="0" applyNumberFormat="1" applyFont="1" applyFill="1" applyBorder="1" applyAlignment="1">
      <alignment vertical="center"/>
    </xf>
    <xf numFmtId="173" fontId="139" fillId="0" borderId="27" xfId="0" applyNumberFormat="1" applyFont="1" applyFill="1" applyBorder="1" applyAlignment="1">
      <alignment vertical="center"/>
    </xf>
    <xf numFmtId="2" fontId="8" fillId="0" borderId="27" xfId="0" applyNumberFormat="1" applyFont="1" applyFill="1" applyBorder="1" applyAlignment="1">
      <alignment vertical="center"/>
    </xf>
    <xf numFmtId="173" fontId="139" fillId="58" borderId="6" xfId="0" applyNumberFormat="1" applyFont="1" applyFill="1" applyBorder="1" applyAlignment="1">
      <alignment vertical="center"/>
    </xf>
    <xf numFmtId="173" fontId="139" fillId="0" borderId="85" xfId="0" applyNumberFormat="1" applyFont="1" applyFill="1" applyBorder="1" applyAlignment="1">
      <alignment vertical="center"/>
    </xf>
    <xf numFmtId="211" fontId="139" fillId="0" borderId="6" xfId="0" applyNumberFormat="1" applyFont="1" applyFill="1" applyBorder="1" applyAlignment="1">
      <alignment vertical="center"/>
    </xf>
    <xf numFmtId="2" fontId="139" fillId="0" borderId="27" xfId="0" applyNumberFormat="1" applyFont="1" applyFill="1" applyBorder="1" applyAlignment="1">
      <alignment vertical="center"/>
    </xf>
    <xf numFmtId="2" fontId="139" fillId="0" borderId="6" xfId="0" applyNumberFormat="1" applyFont="1" applyFill="1" applyBorder="1" applyAlignment="1">
      <alignment vertical="center"/>
    </xf>
    <xf numFmtId="173" fontId="8" fillId="59" borderId="27" xfId="0" applyNumberFormat="1" applyFont="1" applyFill="1" applyBorder="1" applyAlignment="1">
      <alignment vertical="center"/>
    </xf>
    <xf numFmtId="173" fontId="139" fillId="59" borderId="25" xfId="0" applyNumberFormat="1" applyFont="1" applyFill="1" applyBorder="1" applyAlignment="1">
      <alignment vertical="center"/>
    </xf>
    <xf numFmtId="173" fontId="139" fillId="59" borderId="6" xfId="0" applyNumberFormat="1" applyFont="1" applyFill="1" applyBorder="1" applyAlignment="1">
      <alignment vertical="center"/>
    </xf>
    <xf numFmtId="173" fontId="139" fillId="0" borderId="25" xfId="0" applyNumberFormat="1" applyFont="1" applyFill="1" applyBorder="1" applyAlignment="1">
      <alignment horizontal="right" vertical="center"/>
    </xf>
    <xf numFmtId="173" fontId="139" fillId="0" borderId="6" xfId="0" applyNumberFormat="1" applyFont="1" applyFill="1" applyBorder="1" applyAlignment="1">
      <alignment horizontal="right" vertical="center"/>
    </xf>
    <xf numFmtId="173" fontId="139" fillId="0" borderId="6" xfId="0" applyNumberFormat="1" applyFont="1" applyFill="1" applyBorder="1"/>
    <xf numFmtId="173" fontId="139" fillId="58" borderId="6" xfId="0" applyNumberFormat="1" applyFont="1" applyFill="1" applyBorder="1"/>
    <xf numFmtId="0" fontId="146" fillId="0" borderId="28" xfId="2028" applyFont="1" applyFill="1" applyBorder="1" applyAlignment="1">
      <alignment vertical="center" wrapText="1"/>
    </xf>
    <xf numFmtId="173" fontId="139" fillId="0" borderId="25" xfId="2363" applyNumberFormat="1" applyFont="1" applyFill="1" applyBorder="1" applyAlignment="1">
      <alignment vertical="center"/>
    </xf>
    <xf numFmtId="2" fontId="139" fillId="0" borderId="6" xfId="2363" applyNumberFormat="1" applyFont="1" applyFill="1" applyBorder="1" applyAlignment="1">
      <alignment vertical="center"/>
    </xf>
    <xf numFmtId="173" fontId="139" fillId="0" borderId="27" xfId="2363" applyNumberFormat="1" applyFont="1" applyFill="1" applyBorder="1" applyAlignment="1">
      <alignment vertical="center"/>
    </xf>
    <xf numFmtId="173" fontId="139" fillId="0" borderId="25" xfId="2363" applyNumberFormat="1" applyFont="1" applyFill="1" applyBorder="1" applyAlignment="1">
      <alignment horizontal="center" vertical="center"/>
    </xf>
    <xf numFmtId="167" fontId="139" fillId="0" borderId="6" xfId="2363" applyFont="1" applyFill="1" applyBorder="1" applyAlignment="1">
      <alignment horizontal="center" vertical="center"/>
    </xf>
    <xf numFmtId="167" fontId="139" fillId="58" borderId="6" xfId="2363" applyFont="1" applyFill="1" applyBorder="1" applyAlignment="1">
      <alignment horizontal="center" vertical="center"/>
    </xf>
    <xf numFmtId="173" fontId="139" fillId="0" borderId="85" xfId="0" applyNumberFormat="1" applyFont="1" applyFill="1" applyBorder="1" applyAlignment="1">
      <alignment horizontal="center" vertical="center"/>
    </xf>
    <xf numFmtId="173" fontId="139" fillId="0" borderId="27" xfId="2363" applyNumberFormat="1" applyFont="1" applyFill="1" applyBorder="1" applyAlignment="1">
      <alignment horizontal="center" vertical="center"/>
    </xf>
    <xf numFmtId="167" fontId="139" fillId="0" borderId="6" xfId="2363" applyFont="1" applyFill="1" applyBorder="1" applyAlignment="1">
      <alignment vertical="center"/>
    </xf>
    <xf numFmtId="167" fontId="139" fillId="58" borderId="6" xfId="2363" applyFont="1" applyFill="1" applyBorder="1" applyAlignment="1">
      <alignment vertical="center"/>
    </xf>
    <xf numFmtId="173" fontId="139" fillId="0" borderId="25" xfId="2363" applyNumberFormat="1" applyFont="1" applyFill="1" applyBorder="1" applyAlignment="1">
      <alignment horizontal="right" vertical="center"/>
    </xf>
    <xf numFmtId="167" fontId="139" fillId="0" borderId="6" xfId="2363" applyFont="1" applyFill="1" applyBorder="1" applyAlignment="1">
      <alignment horizontal="right" vertical="center"/>
    </xf>
    <xf numFmtId="0" fontId="139" fillId="58" borderId="6" xfId="0" applyFont="1" applyFill="1" applyBorder="1" applyAlignment="1">
      <alignment vertical="center"/>
    </xf>
    <xf numFmtId="211" fontId="139" fillId="0" borderId="6" xfId="0" applyNumberFormat="1" applyFont="1" applyFill="1" applyBorder="1" applyAlignment="1">
      <alignment horizontal="right" vertical="center"/>
    </xf>
    <xf numFmtId="0" fontId="139" fillId="58" borderId="6" xfId="0" applyFont="1" applyFill="1" applyBorder="1" applyAlignment="1">
      <alignment horizontal="center" vertical="center"/>
    </xf>
    <xf numFmtId="0" fontId="139" fillId="0" borderId="6" xfId="0" applyFont="1" applyFill="1" applyBorder="1" applyAlignment="1">
      <alignment horizontal="center" vertical="center"/>
    </xf>
    <xf numFmtId="173" fontId="139" fillId="0" borderId="27" xfId="0" applyNumberFormat="1" applyFont="1" applyFill="1" applyBorder="1" applyAlignment="1">
      <alignment horizontal="center" vertical="center"/>
    </xf>
    <xf numFmtId="173" fontId="139" fillId="0" borderId="6" xfId="0" applyNumberFormat="1" applyFont="1" applyFill="1" applyBorder="1" applyAlignment="1">
      <alignment horizontal="center" vertical="center"/>
    </xf>
    <xf numFmtId="2" fontId="139" fillId="0" borderId="6" xfId="2028" applyNumberFormat="1" applyFont="1" applyFill="1" applyBorder="1" applyAlignment="1">
      <alignment horizontal="center"/>
    </xf>
    <xf numFmtId="2" fontId="139" fillId="58" borderId="6" xfId="0" applyNumberFormat="1" applyFont="1" applyFill="1" applyBorder="1" applyAlignment="1">
      <alignment vertical="center"/>
    </xf>
    <xf numFmtId="173" fontId="139" fillId="0" borderId="25" xfId="2363" applyNumberFormat="1" applyFont="1" applyFill="1" applyBorder="1"/>
    <xf numFmtId="2" fontId="139" fillId="0" borderId="6" xfId="2363" applyNumberFormat="1" applyFont="1" applyFill="1" applyBorder="1"/>
    <xf numFmtId="2" fontId="139" fillId="58" borderId="6" xfId="2363" applyNumberFormat="1" applyFont="1" applyFill="1" applyBorder="1"/>
    <xf numFmtId="173" fontId="139" fillId="0" borderId="27" xfId="2363" applyNumberFormat="1" applyFont="1" applyFill="1" applyBorder="1"/>
    <xf numFmtId="2" fontId="139" fillId="0" borderId="25" xfId="0" applyNumberFormat="1" applyFont="1" applyFill="1" applyBorder="1" applyAlignment="1">
      <alignment vertical="center"/>
    </xf>
    <xf numFmtId="2" fontId="139" fillId="0" borderId="85" xfId="0" applyNumberFormat="1" applyFont="1" applyFill="1" applyBorder="1"/>
    <xf numFmtId="173" fontId="139" fillId="0" borderId="25" xfId="0" applyNumberFormat="1" applyFont="1" applyFill="1" applyBorder="1" applyAlignment="1">
      <alignment horizontal="center" vertical="center"/>
    </xf>
    <xf numFmtId="173" fontId="139" fillId="58" borderId="6" xfId="0" applyNumberFormat="1" applyFont="1" applyFill="1" applyBorder="1" applyAlignment="1">
      <alignment horizontal="center" vertical="center"/>
    </xf>
    <xf numFmtId="2" fontId="139" fillId="58" borderId="6" xfId="0" applyNumberFormat="1" applyFont="1" applyFill="1" applyBorder="1" applyAlignment="1">
      <alignment horizontal="center" vertical="center"/>
    </xf>
    <xf numFmtId="173" fontId="8" fillId="71" borderId="6" xfId="0" applyNumberFormat="1" applyFont="1" applyFill="1" applyBorder="1" applyAlignment="1">
      <alignment vertical="center"/>
    </xf>
    <xf numFmtId="173" fontId="8" fillId="71" borderId="6" xfId="0" applyNumberFormat="1" applyFont="1" applyFill="1" applyBorder="1"/>
    <xf numFmtId="171" fontId="137" fillId="58" borderId="0" xfId="2363" applyNumberFormat="1" applyFont="1" applyFill="1"/>
    <xf numFmtId="4" fontId="8" fillId="58" borderId="6" xfId="0" applyNumberFormat="1" applyFont="1" applyFill="1" applyBorder="1" applyAlignment="1">
      <alignment vertical="center"/>
    </xf>
    <xf numFmtId="167" fontId="8" fillId="58" borderId="25" xfId="2363" applyFont="1" applyFill="1" applyBorder="1" applyAlignment="1">
      <alignment vertical="center"/>
    </xf>
    <xf numFmtId="167" fontId="8" fillId="58" borderId="27" xfId="2363" applyFont="1" applyFill="1" applyBorder="1"/>
    <xf numFmtId="167" fontId="8" fillId="58" borderId="6" xfId="2363" applyFont="1" applyFill="1" applyBorder="1"/>
    <xf numFmtId="4" fontId="8" fillId="58" borderId="25" xfId="0" applyNumberFormat="1" applyFont="1" applyFill="1" applyBorder="1"/>
    <xf numFmtId="4" fontId="8" fillId="58" borderId="27" xfId="0" applyNumberFormat="1" applyFont="1" applyFill="1" applyBorder="1"/>
    <xf numFmtId="2" fontId="139" fillId="0" borderId="6" xfId="0" applyNumberFormat="1" applyFont="1" applyFill="1" applyBorder="1"/>
    <xf numFmtId="2" fontId="139" fillId="58" borderId="6" xfId="0" applyNumberFormat="1" applyFont="1" applyFill="1" applyBorder="1"/>
    <xf numFmtId="2" fontId="139" fillId="0" borderId="25" xfId="0" applyNumberFormat="1" applyFont="1" applyFill="1" applyBorder="1"/>
    <xf numFmtId="2" fontId="139" fillId="0" borderId="27" xfId="0" applyNumberFormat="1" applyFont="1" applyFill="1" applyBorder="1"/>
    <xf numFmtId="2" fontId="139" fillId="0" borderId="25" xfId="2363" applyNumberFormat="1" applyFont="1" applyFill="1" applyBorder="1"/>
    <xf numFmtId="2" fontId="139" fillId="0" borderId="27" xfId="2363" applyNumberFormat="1" applyFont="1" applyFill="1" applyBorder="1"/>
    <xf numFmtId="2" fontId="176" fillId="0" borderId="27" xfId="0" applyNumberFormat="1" applyFont="1" applyFill="1" applyBorder="1" applyAlignment="1">
      <alignment horizontal="right" vertical="center"/>
    </xf>
    <xf numFmtId="2" fontId="176" fillId="0" borderId="6" xfId="2363" applyNumberFormat="1" applyFont="1" applyFill="1" applyBorder="1" applyAlignment="1">
      <alignment horizontal="right" vertical="center"/>
    </xf>
    <xf numFmtId="2" fontId="2" fillId="69" borderId="6" xfId="2028" applyNumberFormat="1" applyFont="1" applyFill="1" applyBorder="1" applyAlignment="1">
      <alignment horizontal="center" vertical="center" wrapText="1"/>
    </xf>
    <xf numFmtId="2" fontId="2" fillId="69" borderId="6" xfId="2363" applyNumberFormat="1" applyFont="1" applyFill="1" applyBorder="1" applyAlignment="1">
      <alignment horizontal="center" vertical="center" wrapText="1"/>
    </xf>
    <xf numFmtId="173" fontId="8" fillId="65" borderId="6" xfId="0" applyNumberFormat="1" applyFont="1" applyFill="1" applyBorder="1" applyAlignment="1">
      <alignment horizontal="right" vertical="center"/>
    </xf>
    <xf numFmtId="173" fontId="8" fillId="65" borderId="6" xfId="2363" applyNumberFormat="1" applyFont="1" applyFill="1" applyBorder="1" applyAlignment="1">
      <alignment horizontal="right" vertical="center"/>
    </xf>
    <xf numFmtId="0" fontId="8" fillId="65" borderId="6" xfId="0" applyFont="1" applyFill="1" applyBorder="1"/>
    <xf numFmtId="0" fontId="139" fillId="55" borderId="0" xfId="0" applyFont="1" applyFill="1" applyAlignment="1">
      <alignment horizontal="right" vertical="center"/>
    </xf>
    <xf numFmtId="2" fontId="8" fillId="55" borderId="25" xfId="0" applyNumberFormat="1" applyFont="1" applyFill="1" applyBorder="1" applyAlignment="1">
      <alignment horizontal="right" vertical="center"/>
    </xf>
    <xf numFmtId="173" fontId="8" fillId="55" borderId="85" xfId="0" applyNumberFormat="1" applyFont="1" applyFill="1" applyBorder="1" applyAlignment="1">
      <alignment horizontal="right" vertical="center"/>
    </xf>
    <xf numFmtId="173" fontId="8" fillId="55" borderId="27" xfId="0" applyNumberFormat="1" applyFont="1" applyFill="1" applyBorder="1" applyAlignment="1">
      <alignment horizontal="right" vertical="center"/>
    </xf>
    <xf numFmtId="173" fontId="8" fillId="55" borderId="6" xfId="0" applyNumberFormat="1" applyFont="1" applyFill="1" applyBorder="1" applyAlignment="1">
      <alignment horizontal="right" vertical="center"/>
    </xf>
    <xf numFmtId="0" fontId="8" fillId="55" borderId="0" xfId="0" applyFont="1" applyFill="1" applyBorder="1" applyAlignment="1">
      <alignment horizontal="right" vertical="center"/>
    </xf>
    <xf numFmtId="172" fontId="8" fillId="55" borderId="0" xfId="0" applyNumberFormat="1" applyFont="1" applyFill="1" applyBorder="1" applyAlignment="1">
      <alignment horizontal="right" vertical="center"/>
    </xf>
    <xf numFmtId="172" fontId="8" fillId="55" borderId="0" xfId="0" applyNumberFormat="1" applyFont="1" applyFill="1" applyAlignment="1">
      <alignment horizontal="right" vertical="center"/>
    </xf>
    <xf numFmtId="2" fontId="156" fillId="62" borderId="6" xfId="0" applyNumberFormat="1" applyFont="1" applyFill="1" applyBorder="1" applyAlignment="1">
      <alignment horizontal="right" vertical="center"/>
    </xf>
    <xf numFmtId="0" fontId="146" fillId="63" borderId="28" xfId="2028" applyFont="1" applyFill="1" applyBorder="1" applyAlignment="1">
      <alignment horizontal="center" vertical="center" wrapText="1"/>
    </xf>
    <xf numFmtId="0" fontId="146" fillId="63" borderId="6" xfId="2028" applyFont="1" applyFill="1" applyBorder="1" applyAlignment="1">
      <alignment horizontal="center" vertical="center" wrapText="1"/>
    </xf>
    <xf numFmtId="2" fontId="8" fillId="55" borderId="85" xfId="0" applyNumberFormat="1" applyFont="1" applyFill="1" applyBorder="1" applyAlignment="1">
      <alignment horizontal="right" vertical="center" wrapText="1"/>
    </xf>
    <xf numFmtId="0" fontId="8" fillId="55" borderId="27" xfId="0" applyFont="1" applyFill="1" applyBorder="1" applyAlignment="1">
      <alignment horizontal="center" vertical="center"/>
    </xf>
    <xf numFmtId="172" fontId="8" fillId="55" borderId="6" xfId="0" applyNumberFormat="1" applyFont="1" applyFill="1" applyBorder="1" applyAlignment="1">
      <alignment vertical="center"/>
    </xf>
    <xf numFmtId="2" fontId="156" fillId="62" borderId="6" xfId="0" applyNumberFormat="1" applyFont="1" applyFill="1" applyBorder="1" applyAlignment="1">
      <alignment vertical="center"/>
    </xf>
    <xf numFmtId="0" fontId="146" fillId="90" borderId="6" xfId="2028" applyFont="1" applyFill="1" applyBorder="1" applyAlignment="1">
      <alignment horizontal="center" vertical="center" wrapText="1"/>
    </xf>
    <xf numFmtId="2" fontId="139" fillId="90" borderId="6" xfId="0" applyNumberFormat="1" applyFont="1" applyFill="1" applyBorder="1" applyAlignment="1">
      <alignment vertical="center"/>
    </xf>
    <xf numFmtId="0" fontId="146" fillId="89" borderId="6" xfId="2028" applyFont="1" applyFill="1" applyBorder="1" applyAlignment="1">
      <alignment horizontal="center" vertical="center" wrapText="1"/>
    </xf>
    <xf numFmtId="173" fontId="8" fillId="89" borderId="6" xfId="0" applyNumberFormat="1" applyFont="1" applyFill="1" applyBorder="1" applyAlignment="1">
      <alignment horizontal="right" vertical="center"/>
    </xf>
    <xf numFmtId="173" fontId="8" fillId="89" borderId="6" xfId="2363" applyNumberFormat="1" applyFont="1" applyFill="1" applyBorder="1" applyAlignment="1">
      <alignment horizontal="right" vertical="center"/>
    </xf>
    <xf numFmtId="0" fontId="2" fillId="67" borderId="6" xfId="2028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vertical="center"/>
    </xf>
    <xf numFmtId="167" fontId="8" fillId="63" borderId="6" xfId="2363" applyFont="1" applyFill="1" applyBorder="1" applyAlignment="1">
      <alignment vertical="center"/>
    </xf>
    <xf numFmtId="0" fontId="2" fillId="86" borderId="6" xfId="2028" applyFont="1" applyFill="1" applyBorder="1" applyAlignment="1">
      <alignment horizontal="center" vertical="center" wrapText="1"/>
    </xf>
    <xf numFmtId="166" fontId="2" fillId="86" borderId="32" xfId="1751" applyFont="1" applyFill="1" applyBorder="1" applyAlignment="1">
      <alignment horizontal="center" vertical="center" wrapText="1"/>
    </xf>
    <xf numFmtId="2" fontId="8" fillId="69" borderId="6" xfId="0" applyNumberFormat="1" applyFont="1" applyFill="1" applyBorder="1"/>
    <xf numFmtId="172" fontId="8" fillId="69" borderId="6" xfId="0" applyNumberFormat="1" applyFont="1" applyFill="1" applyBorder="1"/>
    <xf numFmtId="173" fontId="8" fillId="69" borderId="6" xfId="0" applyNumberFormat="1" applyFont="1" applyFill="1" applyBorder="1"/>
    <xf numFmtId="166" fontId="2" fillId="72" borderId="32" xfId="1751" applyFont="1" applyFill="1" applyBorder="1" applyAlignment="1">
      <alignment horizontal="center" vertical="center" wrapText="1"/>
    </xf>
    <xf numFmtId="1" fontId="8" fillId="55" borderId="6" xfId="0" applyNumberFormat="1" applyFont="1" applyFill="1" applyBorder="1" applyAlignment="1">
      <alignment vertical="center"/>
    </xf>
    <xf numFmtId="0" fontId="139" fillId="91" borderId="0" xfId="0" applyFont="1" applyFill="1"/>
    <xf numFmtId="211" fontId="139" fillId="0" borderId="25" xfId="0" applyNumberFormat="1" applyFont="1" applyFill="1" applyBorder="1" applyAlignment="1">
      <alignment vertical="center"/>
    </xf>
    <xf numFmtId="0" fontId="139" fillId="0" borderId="27" xfId="0" applyFont="1" applyFill="1" applyBorder="1" applyAlignment="1">
      <alignment vertical="center"/>
    </xf>
    <xf numFmtId="173" fontId="8" fillId="87" borderId="6" xfId="0" applyNumberFormat="1" applyFont="1" applyFill="1" applyBorder="1" applyAlignment="1">
      <alignment horizontal="right" vertical="center"/>
    </xf>
    <xf numFmtId="173" fontId="8" fillId="87" borderId="6" xfId="2363" applyNumberFormat="1" applyFont="1" applyFill="1" applyBorder="1" applyAlignment="1">
      <alignment horizontal="right" vertical="center"/>
    </xf>
    <xf numFmtId="173" fontId="137" fillId="62" borderId="6" xfId="0" applyNumberFormat="1" applyFont="1" applyFill="1" applyBorder="1" applyAlignment="1">
      <alignment vertical="center"/>
    </xf>
    <xf numFmtId="0" fontId="8" fillId="87" borderId="6" xfId="0" applyFont="1" applyFill="1" applyBorder="1" applyAlignment="1">
      <alignment vertical="center"/>
    </xf>
    <xf numFmtId="167" fontId="8" fillId="87" borderId="6" xfId="2363" applyFont="1" applyFill="1" applyBorder="1" applyAlignment="1">
      <alignment vertical="center"/>
    </xf>
    <xf numFmtId="0" fontId="0" fillId="92" borderId="0" xfId="0" applyFill="1"/>
    <xf numFmtId="205" fontId="8" fillId="58" borderId="6" xfId="0" applyNumberFormat="1" applyFont="1" applyFill="1" applyBorder="1"/>
    <xf numFmtId="0" fontId="139" fillId="93" borderId="0" xfId="0" applyFont="1" applyFill="1"/>
    <xf numFmtId="0" fontId="2" fillId="93" borderId="6" xfId="2028" applyFont="1" applyFill="1" applyBorder="1" applyAlignment="1">
      <alignment horizontal="center" vertical="center" wrapText="1"/>
    </xf>
    <xf numFmtId="0" fontId="2" fillId="93" borderId="35" xfId="2028" applyFont="1" applyFill="1" applyBorder="1" applyAlignment="1">
      <alignment horizontal="center" vertical="center" wrapText="1"/>
    </xf>
    <xf numFmtId="2" fontId="139" fillId="93" borderId="25" xfId="0" applyNumberFormat="1" applyFont="1" applyFill="1" applyBorder="1" applyAlignment="1">
      <alignment horizontal="right" vertical="center"/>
    </xf>
    <xf numFmtId="2" fontId="139" fillId="93" borderId="6" xfId="0" applyNumberFormat="1" applyFont="1" applyFill="1" applyBorder="1" applyAlignment="1">
      <alignment horizontal="right" vertical="center"/>
    </xf>
    <xf numFmtId="2" fontId="139" fillId="93" borderId="85" xfId="0" applyNumberFormat="1" applyFont="1" applyFill="1" applyBorder="1" applyAlignment="1">
      <alignment horizontal="right" vertical="center"/>
    </xf>
    <xf numFmtId="2" fontId="8" fillId="93" borderId="27" xfId="0" applyNumberFormat="1" applyFont="1" applyFill="1" applyBorder="1" applyAlignment="1">
      <alignment horizontal="right" vertical="center"/>
    </xf>
    <xf numFmtId="2" fontId="8" fillId="93" borderId="6" xfId="0" applyNumberFormat="1" applyFont="1" applyFill="1" applyBorder="1" applyAlignment="1">
      <alignment horizontal="right" vertical="center"/>
    </xf>
    <xf numFmtId="2" fontId="8" fillId="93" borderId="85" xfId="0" applyNumberFormat="1" applyFont="1" applyFill="1" applyBorder="1" applyAlignment="1">
      <alignment horizontal="right"/>
    </xf>
    <xf numFmtId="172" fontId="8" fillId="93" borderId="25" xfId="0" applyNumberFormat="1" applyFont="1" applyFill="1" applyBorder="1"/>
    <xf numFmtId="172" fontId="8" fillId="93" borderId="6" xfId="0" applyNumberFormat="1" applyFont="1" applyFill="1" applyBorder="1"/>
    <xf numFmtId="173" fontId="8" fillId="93" borderId="85" xfId="0" applyNumberFormat="1" applyFont="1" applyFill="1" applyBorder="1"/>
    <xf numFmtId="172" fontId="8" fillId="93" borderId="27" xfId="0" applyNumberFormat="1" applyFont="1" applyFill="1" applyBorder="1"/>
    <xf numFmtId="2" fontId="8" fillId="93" borderId="85" xfId="0" applyNumberFormat="1" applyFont="1" applyFill="1" applyBorder="1"/>
    <xf numFmtId="173" fontId="8" fillId="93" borderId="27" xfId="0" applyNumberFormat="1" applyFont="1" applyFill="1" applyBorder="1"/>
    <xf numFmtId="2" fontId="8" fillId="93" borderId="6" xfId="0" applyNumberFormat="1" applyFont="1" applyFill="1" applyBorder="1"/>
    <xf numFmtId="0" fontId="8" fillId="93" borderId="6" xfId="0" applyFont="1" applyFill="1" applyBorder="1"/>
    <xf numFmtId="173" fontId="8" fillId="93" borderId="6" xfId="0" applyNumberFormat="1" applyFont="1" applyFill="1" applyBorder="1"/>
    <xf numFmtId="0" fontId="8" fillId="93" borderId="0" xfId="0" applyFont="1" applyFill="1" applyBorder="1"/>
    <xf numFmtId="2" fontId="8" fillId="93" borderId="0" xfId="0" applyNumberFormat="1" applyFont="1" applyFill="1" applyBorder="1"/>
    <xf numFmtId="172" fontId="8" fillId="93" borderId="0" xfId="0" applyNumberFormat="1" applyFont="1" applyFill="1" applyBorder="1"/>
    <xf numFmtId="172" fontId="8" fillId="93" borderId="0" xfId="0" applyNumberFormat="1" applyFont="1" applyFill="1"/>
    <xf numFmtId="2" fontId="156" fillId="93" borderId="6" xfId="0" applyNumberFormat="1" applyFont="1" applyFill="1" applyBorder="1"/>
    <xf numFmtId="2" fontId="8" fillId="93" borderId="0" xfId="0" applyNumberFormat="1" applyFont="1" applyFill="1"/>
    <xf numFmtId="167" fontId="8" fillId="93" borderId="6" xfId="2363" applyFont="1" applyFill="1" applyBorder="1"/>
    <xf numFmtId="0" fontId="2" fillId="93" borderId="32" xfId="2028" applyFont="1" applyFill="1" applyBorder="1" applyAlignment="1">
      <alignment horizontal="center" vertical="center" wrapText="1"/>
    </xf>
    <xf numFmtId="2" fontId="139" fillId="93" borderId="0" xfId="0" applyNumberFormat="1" applyFont="1" applyFill="1" applyBorder="1" applyAlignment="1">
      <alignment horizontal="right" vertical="center"/>
    </xf>
    <xf numFmtId="2" fontId="8" fillId="93" borderId="0" xfId="0" applyNumberFormat="1" applyFont="1" applyFill="1" applyBorder="1" applyAlignment="1">
      <alignment horizontal="right" vertical="center"/>
    </xf>
    <xf numFmtId="2" fontId="8" fillId="93" borderId="85" xfId="0" applyNumberFormat="1" applyFont="1" applyFill="1" applyBorder="1" applyAlignment="1">
      <alignment horizontal="right" vertical="center"/>
    </xf>
    <xf numFmtId="0" fontId="8" fillId="93" borderId="25" xfId="0" applyFont="1" applyFill="1" applyBorder="1"/>
    <xf numFmtId="0" fontId="8" fillId="93" borderId="27" xfId="0" applyFont="1" applyFill="1" applyBorder="1"/>
    <xf numFmtId="0" fontId="2" fillId="93" borderId="29" xfId="2028" applyFont="1" applyFill="1" applyBorder="1" applyAlignment="1">
      <alignment horizontal="center" vertical="center" wrapText="1"/>
    </xf>
    <xf numFmtId="2" fontId="139" fillId="93" borderId="85" xfId="0" applyNumberFormat="1" applyFont="1" applyFill="1" applyBorder="1" applyAlignment="1">
      <alignment horizontal="right"/>
    </xf>
    <xf numFmtId="2" fontId="8" fillId="93" borderId="27" xfId="0" applyNumberFormat="1" applyFont="1" applyFill="1" applyBorder="1" applyAlignment="1">
      <alignment horizontal="right"/>
    </xf>
    <xf numFmtId="2" fontId="8" fillId="93" borderId="6" xfId="0" applyNumberFormat="1" applyFont="1" applyFill="1" applyBorder="1" applyAlignment="1">
      <alignment horizontal="right"/>
    </xf>
    <xf numFmtId="0" fontId="2" fillId="93" borderId="31" xfId="2028" applyFont="1" applyFill="1" applyBorder="1" applyAlignment="1">
      <alignment horizontal="center" vertical="center" wrapText="1"/>
    </xf>
    <xf numFmtId="2" fontId="8" fillId="93" borderId="27" xfId="0" applyNumberFormat="1" applyFont="1" applyFill="1" applyBorder="1"/>
    <xf numFmtId="2" fontId="139" fillId="93" borderId="58" xfId="0" applyNumberFormat="1" applyFont="1" applyFill="1" applyBorder="1" applyAlignment="1">
      <alignment horizontal="right" vertical="center"/>
    </xf>
    <xf numFmtId="0" fontId="139" fillId="93" borderId="59" xfId="0" applyFont="1" applyFill="1" applyBorder="1" applyAlignment="1">
      <alignment horizontal="right" vertical="center"/>
    </xf>
    <xf numFmtId="2" fontId="139" fillId="93" borderId="59" xfId="0" applyNumberFormat="1" applyFont="1" applyFill="1" applyBorder="1" applyAlignment="1">
      <alignment horizontal="right" vertical="center"/>
    </xf>
    <xf numFmtId="0" fontId="139" fillId="93" borderId="60" xfId="0" applyFont="1" applyFill="1" applyBorder="1" applyAlignment="1">
      <alignment vertical="center"/>
    </xf>
    <xf numFmtId="2" fontId="8" fillId="93" borderId="178" xfId="0" applyNumberFormat="1" applyFont="1" applyFill="1" applyBorder="1" applyAlignment="1">
      <alignment vertical="center"/>
    </xf>
    <xf numFmtId="0" fontId="8" fillId="93" borderId="59" xfId="0" applyFont="1" applyFill="1" applyBorder="1" applyAlignment="1">
      <alignment vertical="center"/>
    </xf>
    <xf numFmtId="2" fontId="8" fillId="93" borderId="59" xfId="0" applyNumberFormat="1" applyFont="1" applyFill="1" applyBorder="1" applyAlignment="1">
      <alignment vertical="center"/>
    </xf>
    <xf numFmtId="0" fontId="8" fillId="93" borderId="60" xfId="0" applyFont="1" applyFill="1" applyBorder="1" applyAlignment="1">
      <alignment vertical="center"/>
    </xf>
    <xf numFmtId="173" fontId="8" fillId="93" borderId="58" xfId="0" applyNumberFormat="1" applyFont="1" applyFill="1" applyBorder="1"/>
    <xf numFmtId="0" fontId="8" fillId="93" borderId="59" xfId="0" applyFont="1" applyFill="1" applyBorder="1"/>
    <xf numFmtId="0" fontId="2" fillId="93" borderId="59" xfId="0" applyFont="1" applyFill="1" applyBorder="1"/>
    <xf numFmtId="173" fontId="8" fillId="93" borderId="60" xfId="0" applyNumberFormat="1" applyFont="1" applyFill="1" applyBorder="1"/>
    <xf numFmtId="173" fontId="8" fillId="93" borderId="178" xfId="0" applyNumberFormat="1" applyFont="1" applyFill="1" applyBorder="1"/>
    <xf numFmtId="0" fontId="2" fillId="93" borderId="0" xfId="0" applyFont="1" applyFill="1" applyAlignment="1">
      <alignment horizontal="center" wrapText="1"/>
    </xf>
    <xf numFmtId="0" fontId="145" fillId="93" borderId="6" xfId="2028" applyFont="1" applyFill="1" applyBorder="1" applyAlignment="1">
      <alignment horizontal="center" vertical="center" wrapText="1"/>
    </xf>
    <xf numFmtId="0" fontId="8" fillId="93" borderId="25" xfId="0" applyFont="1" applyFill="1" applyBorder="1" applyAlignment="1">
      <alignment vertical="center"/>
    </xf>
    <xf numFmtId="0" fontId="8" fillId="93" borderId="6" xfId="0" applyFont="1" applyFill="1" applyBorder="1" applyAlignment="1">
      <alignment vertical="center"/>
    </xf>
    <xf numFmtId="173" fontId="8" fillId="93" borderId="85" xfId="0" applyNumberFormat="1" applyFont="1" applyFill="1" applyBorder="1" applyAlignment="1">
      <alignment vertical="center"/>
    </xf>
    <xf numFmtId="0" fontId="8" fillId="93" borderId="27" xfId="0" applyFont="1" applyFill="1" applyBorder="1" applyAlignment="1">
      <alignment vertical="center"/>
    </xf>
    <xf numFmtId="173" fontId="8" fillId="93" borderId="27" xfId="0" applyNumberFormat="1" applyFont="1" applyFill="1" applyBorder="1" applyAlignment="1">
      <alignment vertical="center"/>
    </xf>
    <xf numFmtId="0" fontId="204" fillId="0" borderId="0" xfId="0" applyFont="1" applyFill="1"/>
    <xf numFmtId="0" fontId="197" fillId="55" borderId="32" xfId="2028" applyFont="1" applyFill="1" applyBorder="1" applyAlignment="1">
      <alignment vertical="center" wrapText="1"/>
    </xf>
    <xf numFmtId="0" fontId="197" fillId="55" borderId="6" xfId="2028" applyFont="1" applyFill="1" applyBorder="1" applyAlignment="1">
      <alignment horizontal="center" vertical="center" wrapText="1"/>
    </xf>
    <xf numFmtId="0" fontId="197" fillId="55" borderId="35" xfId="2028" applyFont="1" applyFill="1" applyBorder="1" applyAlignment="1">
      <alignment horizontal="center" vertical="center" wrapText="1"/>
    </xf>
    <xf numFmtId="2" fontId="204" fillId="0" borderId="25" xfId="0" applyNumberFormat="1" applyFont="1" applyFill="1" applyBorder="1" applyAlignment="1">
      <alignment horizontal="right" vertical="center"/>
    </xf>
    <xf numFmtId="2" fontId="204" fillId="0" borderId="6" xfId="0" applyNumberFormat="1" applyFont="1" applyFill="1" applyBorder="1" applyAlignment="1">
      <alignment horizontal="right" vertical="center"/>
    </xf>
    <xf numFmtId="2" fontId="204" fillId="0" borderId="85" xfId="0" applyNumberFormat="1" applyFont="1" applyFill="1" applyBorder="1" applyAlignment="1">
      <alignment horizontal="right"/>
    </xf>
    <xf numFmtId="2" fontId="204" fillId="0" borderId="27" xfId="0" applyNumberFormat="1" applyFont="1" applyFill="1" applyBorder="1" applyAlignment="1">
      <alignment horizontal="right"/>
    </xf>
    <xf numFmtId="2" fontId="204" fillId="0" borderId="6" xfId="0" applyNumberFormat="1" applyFont="1" applyFill="1" applyBorder="1" applyAlignment="1">
      <alignment horizontal="right"/>
    </xf>
    <xf numFmtId="0" fontId="204" fillId="0" borderId="25" xfId="0" applyFont="1" applyFill="1" applyBorder="1" applyAlignment="1">
      <alignment horizontal="center"/>
    </xf>
    <xf numFmtId="0" fontId="204" fillId="0" borderId="6" xfId="0" applyFont="1" applyFill="1" applyBorder="1" applyAlignment="1">
      <alignment horizontal="center"/>
    </xf>
    <xf numFmtId="0" fontId="204" fillId="58" borderId="6" xfId="0" applyFont="1" applyFill="1" applyBorder="1" applyAlignment="1">
      <alignment horizontal="center"/>
    </xf>
    <xf numFmtId="173" fontId="204" fillId="0" borderId="85" xfId="0" applyNumberFormat="1" applyFont="1" applyFill="1" applyBorder="1"/>
    <xf numFmtId="0" fontId="204" fillId="0" borderId="27" xfId="0" applyFont="1" applyFill="1" applyBorder="1" applyAlignment="1">
      <alignment horizontal="center"/>
    </xf>
    <xf numFmtId="172" fontId="204" fillId="0" borderId="6" xfId="0" applyNumberFormat="1" applyFont="1" applyFill="1" applyBorder="1" applyAlignment="1">
      <alignment horizontal="center"/>
    </xf>
    <xf numFmtId="173" fontId="204" fillId="0" borderId="27" xfId="0" applyNumberFormat="1" applyFont="1" applyFill="1" applyBorder="1"/>
    <xf numFmtId="0" fontId="204" fillId="0" borderId="6" xfId="0" applyFont="1" applyFill="1" applyBorder="1"/>
    <xf numFmtId="0" fontId="204" fillId="0" borderId="6" xfId="0" applyFont="1" applyFill="1" applyBorder="1" applyAlignment="1"/>
    <xf numFmtId="173" fontId="204" fillId="55" borderId="6" xfId="0" applyNumberFormat="1" applyFont="1" applyFill="1" applyBorder="1"/>
    <xf numFmtId="0" fontId="204" fillId="55" borderId="6" xfId="0" applyFont="1" applyFill="1" applyBorder="1"/>
    <xf numFmtId="0" fontId="204" fillId="55" borderId="0" xfId="0" applyFont="1" applyFill="1" applyBorder="1"/>
    <xf numFmtId="2" fontId="204" fillId="55" borderId="0" xfId="0" applyNumberFormat="1" applyFont="1" applyFill="1" applyBorder="1"/>
    <xf numFmtId="172" fontId="204" fillId="55" borderId="0" xfId="0" applyNumberFormat="1" applyFont="1" applyFill="1" applyBorder="1"/>
    <xf numFmtId="172" fontId="204" fillId="55" borderId="0" xfId="0" applyNumberFormat="1" applyFont="1" applyFill="1"/>
    <xf numFmtId="0" fontId="204" fillId="58" borderId="6" xfId="0" applyFont="1" applyFill="1" applyBorder="1"/>
    <xf numFmtId="2" fontId="204" fillId="55" borderId="0" xfId="0" applyNumberFormat="1" applyFont="1" applyFill="1"/>
    <xf numFmtId="167" fontId="204" fillId="63" borderId="6" xfId="2363" applyFont="1" applyFill="1" applyBorder="1"/>
    <xf numFmtId="0" fontId="8" fillId="55" borderId="25" xfId="0" applyFont="1" applyFill="1" applyBorder="1" applyAlignment="1">
      <alignment vertical="center"/>
    </xf>
    <xf numFmtId="0" fontId="8" fillId="55" borderId="0" xfId="0" applyFont="1" applyFill="1" applyBorder="1" applyAlignment="1">
      <alignment vertical="center"/>
    </xf>
    <xf numFmtId="0" fontId="145" fillId="94" borderId="6" xfId="2028" applyFont="1" applyFill="1" applyBorder="1" applyAlignment="1">
      <alignment horizontal="center" vertical="center" wrapText="1"/>
    </xf>
    <xf numFmtId="0" fontId="2" fillId="94" borderId="6" xfId="2028" applyFont="1" applyFill="1" applyBorder="1" applyAlignment="1">
      <alignment horizontal="center" vertical="center" wrapText="1"/>
    </xf>
    <xf numFmtId="0" fontId="2" fillId="94" borderId="35" xfId="2028" applyFont="1" applyFill="1" applyBorder="1" applyAlignment="1">
      <alignment horizontal="center" vertical="center" wrapText="1"/>
    </xf>
    <xf numFmtId="2" fontId="139" fillId="94" borderId="25" xfId="0" applyNumberFormat="1" applyFont="1" applyFill="1" applyBorder="1" applyAlignment="1">
      <alignment vertical="center"/>
    </xf>
    <xf numFmtId="2" fontId="139" fillId="94" borderId="6" xfId="0" applyNumberFormat="1" applyFont="1" applyFill="1" applyBorder="1" applyAlignment="1">
      <alignment vertical="center"/>
    </xf>
    <xf numFmtId="2" fontId="139" fillId="94" borderId="6" xfId="0" applyNumberFormat="1" applyFont="1" applyFill="1" applyBorder="1" applyAlignment="1">
      <alignment horizontal="right" vertical="center"/>
    </xf>
    <xf numFmtId="2" fontId="139" fillId="94" borderId="85" xfId="0" applyNumberFormat="1" applyFont="1" applyFill="1" applyBorder="1" applyAlignment="1">
      <alignment vertical="center"/>
    </xf>
    <xf numFmtId="2" fontId="8" fillId="94" borderId="85" xfId="0" applyNumberFormat="1" applyFont="1" applyFill="1" applyBorder="1" applyAlignment="1">
      <alignment vertical="center"/>
    </xf>
    <xf numFmtId="173" fontId="139" fillId="94" borderId="25" xfId="0" applyNumberFormat="1" applyFont="1" applyFill="1" applyBorder="1" applyAlignment="1">
      <alignment vertical="center"/>
    </xf>
    <xf numFmtId="0" fontId="139" fillId="94" borderId="6" xfId="0" applyFont="1" applyFill="1" applyBorder="1" applyAlignment="1">
      <alignment vertical="center"/>
    </xf>
    <xf numFmtId="0" fontId="8" fillId="94" borderId="6" xfId="0" applyFont="1" applyFill="1" applyBorder="1" applyAlignment="1">
      <alignment vertical="center"/>
    </xf>
    <xf numFmtId="173" fontId="8" fillId="94" borderId="85" xfId="0" applyNumberFormat="1" applyFont="1" applyFill="1" applyBorder="1" applyAlignment="1">
      <alignment vertical="center"/>
    </xf>
    <xf numFmtId="173" fontId="139" fillId="94" borderId="27" xfId="0" applyNumberFormat="1" applyFont="1" applyFill="1" applyBorder="1" applyAlignment="1">
      <alignment vertical="center"/>
    </xf>
    <xf numFmtId="173" fontId="8" fillId="94" borderId="27" xfId="0" applyNumberFormat="1" applyFont="1" applyFill="1" applyBorder="1" applyAlignment="1">
      <alignment vertical="center"/>
    </xf>
    <xf numFmtId="173" fontId="8" fillId="94" borderId="6" xfId="0" applyNumberFormat="1" applyFont="1" applyFill="1" applyBorder="1" applyAlignment="1">
      <alignment vertical="center"/>
    </xf>
    <xf numFmtId="173" fontId="8" fillId="94" borderId="6" xfId="0" applyNumberFormat="1" applyFont="1" applyFill="1" applyBorder="1"/>
    <xf numFmtId="0" fontId="8" fillId="94" borderId="6" xfId="0" applyFont="1" applyFill="1" applyBorder="1"/>
    <xf numFmtId="173" fontId="8" fillId="94" borderId="6" xfId="0" applyNumberFormat="1" applyFont="1" applyFill="1" applyBorder="1" applyAlignment="1">
      <alignment horizontal="right" vertical="center"/>
    </xf>
    <xf numFmtId="173" fontId="8" fillId="94" borderId="6" xfId="2363" applyNumberFormat="1" applyFont="1" applyFill="1" applyBorder="1" applyAlignment="1">
      <alignment vertical="center"/>
    </xf>
    <xf numFmtId="0" fontId="8" fillId="94" borderId="0" xfId="0" applyFont="1" applyFill="1" applyBorder="1" applyAlignment="1">
      <alignment vertical="center"/>
    </xf>
    <xf numFmtId="2" fontId="8" fillId="94" borderId="0" xfId="0" applyNumberFormat="1" applyFont="1" applyFill="1" applyBorder="1" applyAlignment="1">
      <alignment vertical="center"/>
    </xf>
    <xf numFmtId="172" fontId="8" fillId="94" borderId="0" xfId="0" applyNumberFormat="1" applyFont="1" applyFill="1" applyBorder="1" applyAlignment="1">
      <alignment vertical="center"/>
    </xf>
    <xf numFmtId="172" fontId="8" fillId="94" borderId="0" xfId="0" applyNumberFormat="1" applyFont="1" applyFill="1" applyAlignment="1">
      <alignment vertical="center"/>
    </xf>
    <xf numFmtId="0" fontId="8" fillId="94" borderId="0" xfId="0" applyFont="1" applyFill="1" applyAlignment="1">
      <alignment vertical="center"/>
    </xf>
    <xf numFmtId="2" fontId="156" fillId="94" borderId="6" xfId="0" applyNumberFormat="1" applyFont="1" applyFill="1" applyBorder="1"/>
    <xf numFmtId="2" fontId="8" fillId="94" borderId="0" xfId="0" applyNumberFormat="1" applyFont="1" applyFill="1" applyAlignment="1">
      <alignment vertical="center"/>
    </xf>
    <xf numFmtId="167" fontId="8" fillId="94" borderId="6" xfId="2363" applyFont="1" applyFill="1" applyBorder="1"/>
    <xf numFmtId="0" fontId="172" fillId="94" borderId="0" xfId="0" applyFont="1" applyFill="1" applyAlignment="1">
      <alignment vertical="center"/>
    </xf>
    <xf numFmtId="0" fontId="8" fillId="55" borderId="25" xfId="0" applyFont="1" applyFill="1" applyBorder="1" applyAlignment="1">
      <alignment horizontal="center" vertical="center"/>
    </xf>
    <xf numFmtId="173" fontId="8" fillId="55" borderId="32" xfId="0" applyNumberFormat="1" applyFont="1" applyFill="1" applyBorder="1" applyAlignment="1">
      <alignment vertical="center"/>
    </xf>
    <xf numFmtId="2" fontId="8" fillId="55" borderId="32" xfId="0" applyNumberFormat="1" applyFont="1" applyFill="1" applyBorder="1" applyAlignment="1">
      <alignment vertical="center"/>
    </xf>
    <xf numFmtId="0" fontId="137" fillId="62" borderId="27" xfId="0" applyFont="1" applyFill="1" applyBorder="1" applyAlignment="1">
      <alignment horizontal="center" vertical="center" wrapText="1"/>
    </xf>
    <xf numFmtId="173" fontId="8" fillId="55" borderId="25" xfId="0" applyNumberFormat="1" applyFont="1" applyFill="1" applyBorder="1" applyAlignment="1">
      <alignment vertical="center"/>
    </xf>
    <xf numFmtId="173" fontId="8" fillId="55" borderId="6" xfId="2363" applyNumberFormat="1" applyFont="1" applyFill="1" applyBorder="1" applyAlignment="1">
      <alignment horizontal="right" vertical="center"/>
    </xf>
    <xf numFmtId="2" fontId="8" fillId="94" borderId="27" xfId="0" applyNumberFormat="1" applyFont="1" applyFill="1" applyBorder="1" applyAlignment="1">
      <alignment vertical="center"/>
    </xf>
    <xf numFmtId="2" fontId="8" fillId="94" borderId="6" xfId="0" applyNumberFormat="1" applyFont="1" applyFill="1" applyBorder="1" applyAlignment="1">
      <alignment vertical="center"/>
    </xf>
    <xf numFmtId="2" fontId="8" fillId="94" borderId="6" xfId="0" applyNumberFormat="1" applyFont="1" applyFill="1" applyBorder="1" applyAlignment="1">
      <alignment horizontal="right" vertical="center"/>
    </xf>
    <xf numFmtId="2" fontId="8" fillId="0" borderId="85" xfId="0" applyNumberFormat="1" applyFont="1" applyFill="1" applyBorder="1" applyAlignment="1">
      <alignment horizontal="right" vertical="center" wrapText="1"/>
    </xf>
    <xf numFmtId="2" fontId="8" fillId="0" borderId="25" xfId="0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2" fontId="205" fillId="0" borderId="27" xfId="0" applyNumberFormat="1" applyFont="1" applyFill="1" applyBorder="1" applyAlignment="1">
      <alignment vertical="center"/>
    </xf>
    <xf numFmtId="2" fontId="205" fillId="0" borderId="6" xfId="0" applyNumberFormat="1" applyFont="1" applyFill="1" applyBorder="1" applyAlignment="1">
      <alignment vertical="center"/>
    </xf>
    <xf numFmtId="0" fontId="146" fillId="58" borderId="6" xfId="2028" applyFont="1" applyFill="1" applyBorder="1" applyAlignment="1">
      <alignment horizontal="center" vertical="center" wrapText="1"/>
    </xf>
    <xf numFmtId="167" fontId="145" fillId="0" borderId="0" xfId="2363" applyFont="1" applyFill="1"/>
    <xf numFmtId="222" fontId="8" fillId="0" borderId="0" xfId="0" applyNumberFormat="1" applyFont="1" applyFill="1"/>
    <xf numFmtId="217" fontId="137" fillId="86" borderId="0" xfId="2363" applyNumberFormat="1" applyFont="1" applyFill="1" applyAlignment="1">
      <alignment horizontal="right"/>
    </xf>
    <xf numFmtId="217" fontId="206" fillId="86" borderId="0" xfId="2363" applyNumberFormat="1" applyFont="1" applyFill="1" applyAlignment="1">
      <alignment horizontal="right"/>
    </xf>
    <xf numFmtId="173" fontId="139" fillId="62" borderId="6" xfId="0" applyNumberFormat="1" applyFont="1" applyFill="1" applyBorder="1" applyAlignment="1">
      <alignment horizontal="right" vertical="center"/>
    </xf>
    <xf numFmtId="2" fontId="8" fillId="0" borderId="25" xfId="0" applyNumberFormat="1" applyFont="1" applyFill="1" applyBorder="1" applyAlignment="1">
      <alignment vertical="center"/>
    </xf>
    <xf numFmtId="167" fontId="139" fillId="62" borderId="6" xfId="2363" applyFont="1" applyFill="1" applyBorder="1" applyAlignment="1">
      <alignment vertical="center"/>
    </xf>
    <xf numFmtId="2" fontId="139" fillId="0" borderId="27" xfId="0" applyNumberFormat="1" applyFont="1" applyFill="1" applyBorder="1" applyAlignment="1">
      <alignment horizontal="right" vertical="center"/>
    </xf>
    <xf numFmtId="171" fontId="8" fillId="63" borderId="6" xfId="2363" applyNumberFormat="1" applyFont="1" applyFill="1" applyBorder="1" applyAlignment="1">
      <alignment horizontal="right" vertical="center"/>
    </xf>
    <xf numFmtId="2" fontId="8" fillId="0" borderId="27" xfId="0" applyNumberFormat="1" applyFont="1" applyFill="1" applyBorder="1" applyAlignment="1">
      <alignment horizontal="right" vertical="center" wrapText="1"/>
    </xf>
    <xf numFmtId="172" fontId="8" fillId="0" borderId="25" xfId="0" applyNumberFormat="1" applyFont="1" applyFill="1" applyBorder="1" applyAlignment="1">
      <alignment horizontal="center" vertical="center"/>
    </xf>
    <xf numFmtId="2" fontId="139" fillId="0" borderId="6" xfId="0" applyNumberFormat="1" applyFont="1" applyFill="1" applyBorder="1" applyAlignment="1">
      <alignment horizontal="center" vertical="center"/>
    </xf>
    <xf numFmtId="172" fontId="8" fillId="0" borderId="6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vertical="center"/>
    </xf>
    <xf numFmtId="172" fontId="8" fillId="0" borderId="0" xfId="0" applyNumberFormat="1" applyFont="1" applyFill="1" applyBorder="1" applyAlignment="1">
      <alignment vertical="center"/>
    </xf>
    <xf numFmtId="172" fontId="8" fillId="0" borderId="0" xfId="0" applyNumberFormat="1" applyFont="1" applyFill="1" applyAlignment="1">
      <alignment vertical="center"/>
    </xf>
    <xf numFmtId="0" fontId="137" fillId="67" borderId="27" xfId="0" applyFont="1" applyFill="1" applyBorder="1" applyAlignment="1">
      <alignment horizontal="center" vertical="center" wrapText="1"/>
    </xf>
    <xf numFmtId="0" fontId="139" fillId="0" borderId="25" xfId="0" applyFont="1" applyFill="1" applyBorder="1"/>
    <xf numFmtId="0" fontId="139" fillId="0" borderId="27" xfId="0" applyFont="1" applyFill="1" applyBorder="1"/>
    <xf numFmtId="172" fontId="8" fillId="0" borderId="0" xfId="0" applyNumberFormat="1" applyFont="1" applyFill="1"/>
    <xf numFmtId="167" fontId="8" fillId="72" borderId="6" xfId="2363" applyFont="1" applyFill="1" applyBorder="1" applyAlignment="1">
      <alignment vertical="center"/>
    </xf>
    <xf numFmtId="0" fontId="2" fillId="0" borderId="29" xfId="2028" applyFont="1" applyFill="1" applyBorder="1" applyAlignment="1">
      <alignment horizontal="center" vertical="center" wrapText="1"/>
    </xf>
    <xf numFmtId="167" fontId="139" fillId="67" borderId="6" xfId="2363" applyFont="1" applyFill="1" applyBorder="1" applyAlignment="1">
      <alignment vertical="center"/>
    </xf>
    <xf numFmtId="167" fontId="8" fillId="67" borderId="6" xfId="2363" applyFont="1" applyFill="1" applyBorder="1" applyAlignment="1">
      <alignment vertical="center"/>
    </xf>
    <xf numFmtId="167" fontId="139" fillId="0" borderId="0" xfId="2363" applyFont="1" applyFill="1" applyAlignment="1">
      <alignment vertical="center"/>
    </xf>
    <xf numFmtId="217" fontId="206" fillId="55" borderId="0" xfId="2363" applyNumberFormat="1" applyFont="1" applyFill="1" applyAlignment="1">
      <alignment horizontal="right"/>
    </xf>
    <xf numFmtId="217" fontId="137" fillId="55" borderId="0" xfId="2363" applyNumberFormat="1" applyFont="1" applyFill="1"/>
    <xf numFmtId="0" fontId="154" fillId="55" borderId="0" xfId="0" applyFont="1" applyFill="1"/>
    <xf numFmtId="0" fontId="5" fillId="55" borderId="27" xfId="0" applyFont="1" applyFill="1" applyBorder="1" applyAlignment="1">
      <alignment horizontal="center" wrapText="1"/>
    </xf>
    <xf numFmtId="0" fontId="143" fillId="55" borderId="32" xfId="0" applyFont="1" applyFill="1" applyBorder="1" applyAlignment="1">
      <alignment horizontal="center" vertical="center"/>
    </xf>
    <xf numFmtId="0" fontId="143" fillId="55" borderId="1" xfId="0" applyFont="1" applyFill="1" applyBorder="1" applyAlignment="1">
      <alignment horizontal="center" vertical="center"/>
    </xf>
    <xf numFmtId="0" fontId="143" fillId="55" borderId="28" xfId="0" applyFont="1" applyFill="1" applyBorder="1" applyAlignment="1">
      <alignment horizontal="center" vertical="center"/>
    </xf>
    <xf numFmtId="2" fontId="139" fillId="0" borderId="0" xfId="0" applyNumberFormat="1" applyFont="1" applyFill="1" applyBorder="1" applyAlignment="1">
      <alignment vertical="center"/>
    </xf>
    <xf numFmtId="223" fontId="8" fillId="55" borderId="6" xfId="0" applyNumberFormat="1" applyFont="1" applyFill="1" applyBorder="1"/>
    <xf numFmtId="0" fontId="146" fillId="0" borderId="35" xfId="2028" applyFont="1" applyFill="1" applyBorder="1" applyAlignment="1">
      <alignment horizontal="center" vertical="center" wrapText="1"/>
    </xf>
    <xf numFmtId="0" fontId="146" fillId="0" borderId="30" xfId="2028" applyFont="1" applyFill="1" applyBorder="1" applyAlignment="1">
      <alignment horizontal="center" vertical="center" wrapText="1"/>
    </xf>
    <xf numFmtId="167" fontId="146" fillId="0" borderId="1" xfId="2363" applyFont="1" applyFill="1" applyBorder="1" applyAlignment="1">
      <alignment horizontal="center" vertical="center" wrapText="1"/>
    </xf>
    <xf numFmtId="167" fontId="146" fillId="0" borderId="28" xfId="2363" applyFont="1" applyFill="1" applyBorder="1" applyAlignment="1">
      <alignment horizontal="center" vertical="center" wrapText="1"/>
    </xf>
    <xf numFmtId="166" fontId="146" fillId="0" borderId="28" xfId="1751" applyFont="1" applyFill="1" applyBorder="1" applyAlignment="1">
      <alignment horizontal="center" vertical="center" wrapText="1"/>
    </xf>
    <xf numFmtId="2" fontId="2" fillId="0" borderId="35" xfId="2363" applyNumberFormat="1" applyFont="1" applyFill="1" applyBorder="1" applyAlignment="1">
      <alignment horizontal="center" vertical="center" wrapText="1"/>
    </xf>
    <xf numFmtId="2" fontId="2" fillId="0" borderId="21" xfId="2363" applyNumberFormat="1" applyFont="1" applyFill="1" applyBorder="1" applyAlignment="1">
      <alignment horizontal="center" vertical="center" wrapText="1"/>
    </xf>
    <xf numFmtId="2" fontId="2" fillId="0" borderId="30" xfId="2363" applyNumberFormat="1" applyFont="1" applyFill="1" applyBorder="1" applyAlignment="1">
      <alignment horizontal="center" vertical="center" wrapText="1"/>
    </xf>
    <xf numFmtId="0" fontId="2" fillId="55" borderId="35" xfId="2028" applyFont="1" applyFill="1" applyBorder="1" applyAlignment="1">
      <alignment horizontal="center" vertical="center" wrapText="1"/>
    </xf>
    <xf numFmtId="0" fontId="2" fillId="55" borderId="21" xfId="2028" applyFont="1" applyFill="1" applyBorder="1" applyAlignment="1">
      <alignment horizontal="center" vertical="center" wrapText="1"/>
    </xf>
    <xf numFmtId="167" fontId="207" fillId="62" borderId="6" xfId="2363" applyFont="1" applyFill="1" applyBorder="1" applyAlignment="1">
      <alignment horizontal="right" vertical="center"/>
    </xf>
    <xf numFmtId="167" fontId="207" fillId="0" borderId="6" xfId="2363" applyFont="1" applyFill="1" applyBorder="1" applyAlignment="1">
      <alignment vertical="center"/>
    </xf>
    <xf numFmtId="173" fontId="8" fillId="67" borderId="27" xfId="0" applyNumberFormat="1" applyFont="1" applyFill="1" applyBorder="1"/>
    <xf numFmtId="173" fontId="8" fillId="88" borderId="25" xfId="0" applyNumberFormat="1" applyFont="1" applyFill="1" applyBorder="1"/>
    <xf numFmtId="2" fontId="8" fillId="55" borderId="25" xfId="0" applyNumberFormat="1" applyFont="1" applyFill="1" applyBorder="1" applyAlignment="1">
      <alignment horizontal="center" vertical="center"/>
    </xf>
    <xf numFmtId="2" fontId="156" fillId="55" borderId="6" xfId="0" applyNumberFormat="1" applyFont="1" applyFill="1" applyBorder="1"/>
    <xf numFmtId="167" fontId="207" fillId="62" borderId="6" xfId="2363" applyFont="1" applyFill="1" applyBorder="1" applyAlignment="1">
      <alignment vertical="center"/>
    </xf>
    <xf numFmtId="167" fontId="207" fillId="0" borderId="6" xfId="2363" applyFont="1" applyFill="1" applyBorder="1" applyAlignment="1">
      <alignment horizontal="right" vertical="center"/>
    </xf>
    <xf numFmtId="167" fontId="8" fillId="67" borderId="27" xfId="2363" applyFont="1" applyFill="1" applyBorder="1" applyAlignment="1">
      <alignment vertical="center"/>
    </xf>
    <xf numFmtId="43" fontId="8" fillId="0" borderId="0" xfId="0" applyNumberFormat="1" applyFont="1" applyFill="1" applyBorder="1"/>
    <xf numFmtId="167" fontId="8" fillId="67" borderId="6" xfId="2363" applyFont="1" applyFill="1" applyBorder="1" applyAlignment="1">
      <alignment horizontal="right"/>
    </xf>
    <xf numFmtId="167" fontId="8" fillId="67" borderId="6" xfId="2363" applyFont="1" applyFill="1" applyBorder="1" applyAlignment="1"/>
    <xf numFmtId="0" fontId="8" fillId="0" borderId="0" xfId="0" applyFont="1" applyFill="1" applyAlignment="1">
      <alignment horizontal="right"/>
    </xf>
    <xf numFmtId="0" fontId="208" fillId="0" borderId="6" xfId="0" applyFont="1" applyFill="1" applyBorder="1" applyAlignment="1">
      <alignment horizontal="center" vertical="center" wrapText="1"/>
    </xf>
    <xf numFmtId="0" fontId="0" fillId="57" borderId="0" xfId="0" applyFill="1"/>
    <xf numFmtId="167" fontId="147" fillId="0" borderId="0" xfId="2363" applyFont="1" applyFill="1"/>
    <xf numFmtId="167" fontId="167" fillId="0" borderId="0" xfId="2363" applyFont="1"/>
    <xf numFmtId="0" fontId="3" fillId="62" borderId="33" xfId="2028" applyFont="1" applyFill="1" applyBorder="1" applyAlignment="1">
      <alignment horizontal="center" vertical="center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8" fillId="62" borderId="32" xfId="0" applyFont="1" applyFill="1" applyBorder="1" applyAlignment="1">
      <alignment horizontal="center"/>
    </xf>
    <xf numFmtId="0" fontId="8" fillId="62" borderId="1" xfId="0" applyFont="1" applyFill="1" applyBorder="1" applyAlignment="1">
      <alignment horizontal="center"/>
    </xf>
    <xf numFmtId="0" fontId="8" fillId="62" borderId="28" xfId="0" applyFont="1" applyFill="1" applyBorder="1" applyAlignment="1">
      <alignment horizontal="center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2" fillId="0" borderId="1" xfId="2028" applyFont="1" applyFill="1" applyBorder="1" applyAlignment="1">
      <alignment horizontal="center" vertical="center" wrapText="1"/>
    </xf>
    <xf numFmtId="167" fontId="2" fillId="0" borderId="6" xfId="2363" applyFont="1" applyFill="1" applyBorder="1" applyAlignment="1">
      <alignment horizontal="center" vertical="center" wrapText="1"/>
    </xf>
    <xf numFmtId="167" fontId="2" fillId="0" borderId="1" xfId="2363" applyFont="1" applyFill="1" applyBorder="1" applyAlignment="1">
      <alignment horizontal="center" vertical="center" wrapText="1"/>
    </xf>
    <xf numFmtId="167" fontId="2" fillId="0" borderId="28" xfId="2363" applyFont="1" applyFill="1" applyBorder="1" applyAlignment="1">
      <alignment horizontal="center" vertical="center" wrapText="1"/>
    </xf>
    <xf numFmtId="0" fontId="146" fillId="0" borderId="28" xfId="2028" applyFont="1" applyFill="1" applyBorder="1" applyAlignment="1">
      <alignment horizontal="center" vertical="center" wrapText="1"/>
    </xf>
    <xf numFmtId="167" fontId="2" fillId="0" borderId="32" xfId="2363" applyFont="1" applyFill="1" applyBorder="1" applyAlignment="1">
      <alignment horizontal="center" vertical="center" wrapText="1"/>
    </xf>
    <xf numFmtId="0" fontId="146" fillId="0" borderId="1" xfId="2028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166" fontId="2" fillId="0" borderId="32" xfId="1751" applyFont="1" applyFill="1" applyBorder="1" applyAlignment="1">
      <alignment horizontal="center" vertical="center" wrapText="1"/>
    </xf>
    <xf numFmtId="166" fontId="2" fillId="0" borderId="1" xfId="1751" applyFont="1" applyFill="1" applyBorder="1" applyAlignment="1">
      <alignment horizontal="center" vertical="center" wrapText="1"/>
    </xf>
    <xf numFmtId="0" fontId="173" fillId="0" borderId="1" xfId="2028" applyFont="1" applyFill="1" applyBorder="1" applyAlignment="1">
      <alignment vertical="center" wrapText="1"/>
    </xf>
    <xf numFmtId="2" fontId="137" fillId="62" borderId="6" xfId="0" applyNumberFormat="1" applyFont="1" applyFill="1" applyBorder="1" applyAlignment="1">
      <alignment horizontal="center"/>
    </xf>
    <xf numFmtId="2" fontId="137" fillId="62" borderId="36" xfId="0" applyNumberFormat="1" applyFont="1" applyFill="1" applyBorder="1" applyAlignment="1">
      <alignment horizontal="center"/>
    </xf>
    <xf numFmtId="0" fontId="173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0" fillId="71" borderId="0" xfId="0" applyFill="1"/>
    <xf numFmtId="0" fontId="137" fillId="62" borderId="6" xfId="0" applyFont="1" applyFill="1" applyBorder="1" applyAlignment="1">
      <alignment horizontal="center" vertical="center" wrapText="1"/>
    </xf>
    <xf numFmtId="0" fontId="137" fillId="62" borderId="0" xfId="0" applyFont="1" applyFill="1" applyBorder="1" applyAlignment="1">
      <alignment horizontal="center" vertical="center" wrapText="1"/>
    </xf>
    <xf numFmtId="0" fontId="8" fillId="62" borderId="0" xfId="0" applyFont="1" applyFill="1" applyAlignment="1">
      <alignment vertical="center" wrapText="1"/>
    </xf>
    <xf numFmtId="0" fontId="5" fillId="55" borderId="27" xfId="0" applyFont="1" applyFill="1" applyBorder="1" applyAlignment="1">
      <alignment horizontal="center" vertical="center" wrapText="1"/>
    </xf>
    <xf numFmtId="0" fontId="8" fillId="62" borderId="6" xfId="0" applyFont="1" applyFill="1" applyBorder="1" applyAlignment="1">
      <alignment vertical="center" wrapText="1"/>
    </xf>
    <xf numFmtId="0" fontId="137" fillId="62" borderId="6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/>
    </xf>
    <xf numFmtId="0" fontId="8" fillId="62" borderId="32" xfId="0" applyFont="1" applyFill="1" applyBorder="1" applyAlignment="1">
      <alignment vertical="center"/>
    </xf>
    <xf numFmtId="0" fontId="137" fillId="63" borderId="0" xfId="0" applyFont="1" applyFill="1" applyAlignment="1">
      <alignment vertical="center"/>
    </xf>
    <xf numFmtId="0" fontId="8" fillId="62" borderId="28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 wrapText="1"/>
    </xf>
    <xf numFmtId="0" fontId="8" fillId="63" borderId="0" xfId="0" applyFont="1" applyFill="1" applyAlignment="1">
      <alignment vertical="center"/>
    </xf>
    <xf numFmtId="0" fontId="195" fillId="62" borderId="6" xfId="0" applyFont="1" applyFill="1" applyBorder="1" applyAlignment="1">
      <alignment horizontal="center" vertical="center" wrapText="1"/>
    </xf>
    <xf numFmtId="167" fontId="8" fillId="62" borderId="0" xfId="2363" applyFont="1" applyFill="1" applyBorder="1"/>
    <xf numFmtId="2" fontId="8" fillId="0" borderId="0" xfId="2363" applyNumberFormat="1" applyFont="1" applyFill="1"/>
    <xf numFmtId="0" fontId="159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59" fillId="0" borderId="0" xfId="0" applyFont="1" applyFill="1" applyAlignment="1">
      <alignment vertical="center"/>
    </xf>
    <xf numFmtId="2" fontId="8" fillId="0" borderId="0" xfId="0" applyNumberFormat="1" applyFont="1" applyFill="1" applyBorder="1" applyAlignment="1">
      <alignment horizontal="right" vertical="center"/>
    </xf>
    <xf numFmtId="173" fontId="3" fillId="88" borderId="82" xfId="2028" applyNumberFormat="1" applyFont="1" applyFill="1" applyBorder="1" applyAlignment="1">
      <alignment horizontal="center" vertical="center"/>
    </xf>
    <xf numFmtId="0" fontId="2" fillId="88" borderId="64" xfId="2028" applyFont="1" applyFill="1" applyBorder="1" applyAlignment="1">
      <alignment horizontal="center" vertical="center" wrapText="1"/>
    </xf>
    <xf numFmtId="0" fontId="2" fillId="88" borderId="45" xfId="2028" applyFont="1" applyFill="1" applyBorder="1" applyAlignment="1">
      <alignment horizontal="center" vertical="center" wrapText="1"/>
    </xf>
    <xf numFmtId="0" fontId="137" fillId="62" borderId="33" xfId="0" applyFont="1" applyFill="1" applyBorder="1" applyAlignment="1">
      <alignment horizontal="center" vertical="center"/>
    </xf>
    <xf numFmtId="0" fontId="2" fillId="62" borderId="36" xfId="2028" applyFont="1" applyFill="1" applyBorder="1" applyAlignment="1">
      <alignment horizontal="center" vertical="center" wrapText="1"/>
    </xf>
    <xf numFmtId="0" fontId="2" fillId="62" borderId="16" xfId="2028" applyFont="1" applyFill="1" applyBorder="1" applyAlignment="1">
      <alignment horizontal="center" vertical="center" wrapText="1"/>
    </xf>
    <xf numFmtId="14" fontId="137" fillId="62" borderId="27" xfId="0" applyNumberFormat="1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vertical="center"/>
    </xf>
    <xf numFmtId="0" fontId="2" fillId="0" borderId="168" xfId="2028" applyFont="1" applyFill="1" applyBorder="1" applyAlignment="1">
      <alignment horizontal="center" vertical="center" wrapText="1"/>
    </xf>
    <xf numFmtId="0" fontId="145" fillId="0" borderId="168" xfId="2028" applyFont="1" applyFill="1" applyBorder="1" applyAlignment="1">
      <alignment horizontal="center" vertical="center" wrapText="1"/>
    </xf>
    <xf numFmtId="2" fontId="8" fillId="0" borderId="168" xfId="0" applyNumberFormat="1" applyFont="1" applyFill="1" applyBorder="1" applyAlignment="1">
      <alignment horizontal="right" vertical="center"/>
    </xf>
    <xf numFmtId="0" fontId="8" fillId="0" borderId="127" xfId="0" applyFont="1" applyFill="1" applyBorder="1"/>
    <xf numFmtId="2" fontId="8" fillId="0" borderId="127" xfId="0" applyNumberFormat="1" applyFont="1" applyFill="1" applyBorder="1"/>
    <xf numFmtId="0" fontId="2" fillId="0" borderId="171" xfId="2028" applyFont="1" applyFill="1" applyBorder="1" applyAlignment="1">
      <alignment horizontal="center" vertical="center" wrapText="1"/>
    </xf>
    <xf numFmtId="0" fontId="145" fillId="0" borderId="171" xfId="2028" applyFont="1" applyFill="1" applyBorder="1" applyAlignment="1">
      <alignment horizontal="center" vertical="center" wrapText="1"/>
    </xf>
    <xf numFmtId="0" fontId="2" fillId="0" borderId="165" xfId="2028" applyFont="1" applyFill="1" applyBorder="1" applyAlignment="1">
      <alignment horizontal="center" vertical="center" wrapText="1"/>
    </xf>
    <xf numFmtId="0" fontId="8" fillId="0" borderId="170" xfId="0" applyFont="1" applyFill="1" applyBorder="1" applyAlignment="1">
      <alignment vertical="center"/>
    </xf>
    <xf numFmtId="0" fontId="8" fillId="0" borderId="171" xfId="0" applyFont="1" applyFill="1" applyBorder="1" applyAlignment="1">
      <alignment vertical="center"/>
    </xf>
    <xf numFmtId="2" fontId="8" fillId="0" borderId="171" xfId="0" applyNumberFormat="1" applyFont="1" applyFill="1" applyBorder="1" applyAlignment="1">
      <alignment horizontal="right" vertical="center"/>
    </xf>
    <xf numFmtId="2" fontId="8" fillId="0" borderId="172" xfId="0" applyNumberFormat="1" applyFont="1" applyFill="1" applyBorder="1" applyAlignment="1">
      <alignment horizontal="right"/>
    </xf>
    <xf numFmtId="2" fontId="8" fillId="0" borderId="183" xfId="0" applyNumberFormat="1" applyFont="1" applyFill="1" applyBorder="1" applyAlignment="1">
      <alignment vertical="center"/>
    </xf>
    <xf numFmtId="2" fontId="8" fillId="0" borderId="171" xfId="0" applyNumberFormat="1" applyFont="1" applyFill="1" applyBorder="1" applyAlignment="1">
      <alignment vertical="center"/>
    </xf>
    <xf numFmtId="2" fontId="8" fillId="0" borderId="171" xfId="0" applyNumberFormat="1" applyFont="1" applyFill="1" applyBorder="1" applyAlignment="1">
      <alignment horizontal="right"/>
    </xf>
    <xf numFmtId="173" fontId="8" fillId="0" borderId="170" xfId="0" applyNumberFormat="1" applyFont="1" applyFill="1" applyBorder="1"/>
    <xf numFmtId="0" fontId="8" fillId="0" borderId="171" xfId="0" applyFont="1" applyFill="1" applyBorder="1"/>
    <xf numFmtId="173" fontId="8" fillId="0" borderId="172" xfId="0" applyNumberFormat="1" applyFont="1" applyFill="1" applyBorder="1"/>
    <xf numFmtId="173" fontId="8" fillId="0" borderId="183" xfId="0" applyNumberFormat="1" applyFont="1" applyFill="1" applyBorder="1"/>
    <xf numFmtId="173" fontId="8" fillId="0" borderId="165" xfId="0" applyNumberFormat="1" applyFont="1" applyFill="1" applyBorder="1"/>
    <xf numFmtId="0" fontId="8" fillId="0" borderId="172" xfId="0" applyFont="1" applyFill="1" applyBorder="1"/>
    <xf numFmtId="173" fontId="8" fillId="0" borderId="184" xfId="0" applyNumberFormat="1" applyFont="1" applyFill="1" applyBorder="1"/>
    <xf numFmtId="0" fontId="8" fillId="0" borderId="170" xfId="0" applyFont="1" applyFill="1" applyBorder="1"/>
    <xf numFmtId="0" fontId="8" fillId="0" borderId="183" xfId="0" applyFont="1" applyFill="1" applyBorder="1"/>
    <xf numFmtId="0" fontId="8" fillId="0" borderId="184" xfId="0" applyFont="1" applyFill="1" applyBorder="1"/>
    <xf numFmtId="2" fontId="142" fillId="0" borderId="171" xfId="0" applyNumberFormat="1" applyFont="1" applyFill="1" applyBorder="1"/>
    <xf numFmtId="2" fontId="8" fillId="0" borderId="184" xfId="0" applyNumberFormat="1" applyFont="1" applyFill="1" applyBorder="1"/>
    <xf numFmtId="167" fontId="8" fillId="0" borderId="171" xfId="2363" applyFont="1" applyFill="1" applyBorder="1"/>
    <xf numFmtId="167" fontId="2" fillId="0" borderId="171" xfId="2363" applyFont="1" applyFill="1" applyBorder="1" applyAlignment="1">
      <alignment horizontal="center" vertical="center" wrapText="1"/>
    </xf>
    <xf numFmtId="0" fontId="145" fillId="0" borderId="171" xfId="2363" applyNumberFormat="1" applyFont="1" applyFill="1" applyBorder="1" applyAlignment="1">
      <alignment horizontal="center" vertical="center" wrapText="1"/>
    </xf>
    <xf numFmtId="2" fontId="8" fillId="0" borderId="170" xfId="2363" applyNumberFormat="1" applyFont="1" applyFill="1" applyBorder="1" applyAlignment="1">
      <alignment horizontal="right" vertical="center"/>
    </xf>
    <xf numFmtId="2" fontId="8" fillId="0" borderId="171" xfId="2363" applyNumberFormat="1" applyFont="1" applyFill="1" applyBorder="1" applyAlignment="1">
      <alignment horizontal="right" vertical="center"/>
    </xf>
    <xf numFmtId="2" fontId="8" fillId="0" borderId="172" xfId="2363" applyNumberFormat="1" applyFont="1" applyFill="1" applyBorder="1" applyAlignment="1">
      <alignment horizontal="right"/>
    </xf>
    <xf numFmtId="2" fontId="8" fillId="0" borderId="183" xfId="2363" applyNumberFormat="1" applyFont="1" applyFill="1" applyBorder="1" applyAlignment="1">
      <alignment horizontal="right"/>
    </xf>
    <xf numFmtId="2" fontId="8" fillId="0" borderId="171" xfId="2363" applyNumberFormat="1" applyFont="1" applyFill="1" applyBorder="1" applyAlignment="1">
      <alignment horizontal="right"/>
    </xf>
    <xf numFmtId="2" fontId="8" fillId="0" borderId="170" xfId="2363" applyNumberFormat="1" applyFont="1" applyFill="1" applyBorder="1"/>
    <xf numFmtId="2" fontId="8" fillId="0" borderId="171" xfId="2363" applyNumberFormat="1" applyFont="1" applyFill="1" applyBorder="1"/>
    <xf numFmtId="2" fontId="8" fillId="0" borderId="183" xfId="2363" applyNumberFormat="1" applyFont="1" applyFill="1" applyBorder="1"/>
    <xf numFmtId="2" fontId="8" fillId="0" borderId="171" xfId="0" applyNumberFormat="1" applyFont="1" applyFill="1" applyBorder="1"/>
    <xf numFmtId="2" fontId="8" fillId="0" borderId="172" xfId="0" applyNumberFormat="1" applyFont="1" applyFill="1" applyBorder="1"/>
    <xf numFmtId="171" fontId="8" fillId="0" borderId="183" xfId="2363" applyNumberFormat="1" applyFont="1" applyFill="1" applyBorder="1"/>
    <xf numFmtId="173" fontId="8" fillId="0" borderId="171" xfId="0" applyNumberFormat="1" applyFont="1" applyFill="1" applyBorder="1"/>
    <xf numFmtId="172" fontId="8" fillId="0" borderId="184" xfId="0" applyNumberFormat="1" applyFont="1" applyFill="1" applyBorder="1"/>
    <xf numFmtId="167" fontId="8" fillId="0" borderId="184" xfId="2363" applyFont="1" applyFill="1" applyBorder="1"/>
    <xf numFmtId="2" fontId="8" fillId="0" borderId="170" xfId="0" applyNumberFormat="1" applyFont="1" applyFill="1" applyBorder="1" applyAlignment="1">
      <alignment horizontal="right" vertical="center"/>
    </xf>
    <xf numFmtId="2" fontId="8" fillId="0" borderId="172" xfId="0" applyNumberFormat="1" applyFont="1" applyFill="1" applyBorder="1" applyAlignment="1">
      <alignment horizontal="center" vertical="center"/>
    </xf>
    <xf numFmtId="2" fontId="8" fillId="0" borderId="183" xfId="0" applyNumberFormat="1" applyFont="1" applyFill="1" applyBorder="1" applyAlignment="1">
      <alignment horizontal="center" vertical="center"/>
    </xf>
    <xf numFmtId="2" fontId="8" fillId="0" borderId="171" xfId="0" applyNumberFormat="1" applyFont="1" applyFill="1" applyBorder="1" applyAlignment="1">
      <alignment horizontal="center" vertical="center"/>
    </xf>
    <xf numFmtId="172" fontId="8" fillId="0" borderId="170" xfId="0" applyNumberFormat="1" applyFont="1" applyFill="1" applyBorder="1" applyAlignment="1">
      <alignment horizontal="center" vertical="center"/>
    </xf>
    <xf numFmtId="172" fontId="8" fillId="0" borderId="171" xfId="0" applyNumberFormat="1" applyFont="1" applyFill="1" applyBorder="1" applyAlignment="1">
      <alignment horizontal="center" vertical="center"/>
    </xf>
    <xf numFmtId="0" fontId="8" fillId="0" borderId="171" xfId="0" applyFont="1" applyFill="1" applyBorder="1" applyAlignment="1">
      <alignment horizontal="center" vertical="center"/>
    </xf>
    <xf numFmtId="173" fontId="8" fillId="0" borderId="172" xfId="0" applyNumberFormat="1" applyFont="1" applyFill="1" applyBorder="1" applyAlignment="1">
      <alignment horizontal="center" vertical="center"/>
    </xf>
    <xf numFmtId="172" fontId="8" fillId="0" borderId="183" xfId="0" applyNumberFormat="1" applyFont="1" applyFill="1" applyBorder="1" applyAlignment="1">
      <alignment horizontal="center" vertical="center"/>
    </xf>
    <xf numFmtId="2" fontId="8" fillId="0" borderId="165" xfId="0" applyNumberFormat="1" applyFont="1" applyFill="1" applyBorder="1" applyAlignment="1">
      <alignment horizontal="center" vertical="center"/>
    </xf>
    <xf numFmtId="2" fontId="8" fillId="0" borderId="170" xfId="0" applyNumberFormat="1" applyFont="1" applyFill="1" applyBorder="1" applyAlignment="1">
      <alignment horizontal="center" vertical="center"/>
    </xf>
    <xf numFmtId="173" fontId="8" fillId="0" borderId="184" xfId="0" applyNumberFormat="1" applyFont="1" applyFill="1" applyBorder="1" applyAlignment="1">
      <alignment horizontal="center" vertical="center"/>
    </xf>
    <xf numFmtId="0" fontId="8" fillId="0" borderId="170" xfId="0" applyFont="1" applyFill="1" applyBorder="1" applyAlignment="1">
      <alignment horizontal="center" vertical="center"/>
    </xf>
    <xf numFmtId="0" fontId="8" fillId="0" borderId="172" xfId="0" applyFont="1" applyFill="1" applyBorder="1" applyAlignment="1">
      <alignment horizontal="center" vertical="center"/>
    </xf>
    <xf numFmtId="0" fontId="8" fillId="0" borderId="183" xfId="0" applyFont="1" applyFill="1" applyBorder="1" applyAlignment="1">
      <alignment horizontal="center" vertical="center"/>
    </xf>
    <xf numFmtId="4" fontId="8" fillId="0" borderId="171" xfId="0" applyNumberFormat="1" applyFont="1" applyFill="1" applyBorder="1" applyAlignment="1">
      <alignment horizontal="center" vertical="center"/>
    </xf>
    <xf numFmtId="0" fontId="8" fillId="0" borderId="184" xfId="0" applyFont="1" applyFill="1" applyBorder="1" applyAlignment="1">
      <alignment horizontal="center" vertical="center"/>
    </xf>
    <xf numFmtId="2" fontId="8" fillId="0" borderId="184" xfId="0" applyNumberFormat="1" applyFont="1" applyFill="1" applyBorder="1" applyAlignment="1">
      <alignment horizontal="center" vertical="center"/>
    </xf>
    <xf numFmtId="172" fontId="8" fillId="0" borderId="184" xfId="0" applyNumberFormat="1" applyFont="1" applyFill="1" applyBorder="1" applyAlignment="1">
      <alignment horizontal="center" vertical="center"/>
    </xf>
    <xf numFmtId="173" fontId="8" fillId="0" borderId="171" xfId="0" applyNumberFormat="1" applyFont="1" applyFill="1" applyBorder="1" applyAlignment="1">
      <alignment horizontal="center" vertical="center"/>
    </xf>
    <xf numFmtId="0" fontId="8" fillId="0" borderId="184" xfId="0" applyFont="1" applyFill="1" applyBorder="1" applyAlignment="1">
      <alignment vertical="center"/>
    </xf>
    <xf numFmtId="2" fontId="8" fillId="0" borderId="172" xfId="0" applyNumberFormat="1" applyFont="1" applyFill="1" applyBorder="1" applyAlignment="1">
      <alignment horizontal="right" vertical="center"/>
    </xf>
    <xf numFmtId="173" fontId="8" fillId="0" borderId="170" xfId="0" applyNumberFormat="1" applyFont="1" applyFill="1" applyBorder="1" applyAlignment="1">
      <alignment vertical="center"/>
    </xf>
    <xf numFmtId="173" fontId="8" fillId="0" borderId="171" xfId="0" applyNumberFormat="1" applyFont="1" applyFill="1" applyBorder="1" applyAlignment="1">
      <alignment vertical="center"/>
    </xf>
    <xf numFmtId="173" fontId="8" fillId="0" borderId="172" xfId="0" applyNumberFormat="1" applyFont="1" applyFill="1" applyBorder="1" applyAlignment="1">
      <alignment vertical="center"/>
    </xf>
    <xf numFmtId="173" fontId="8" fillId="0" borderId="183" xfId="0" applyNumberFormat="1" applyFont="1" applyFill="1" applyBorder="1" applyAlignment="1">
      <alignment vertical="center"/>
    </xf>
    <xf numFmtId="173" fontId="8" fillId="0" borderId="165" xfId="0" applyNumberFormat="1" applyFont="1" applyFill="1" applyBorder="1" applyAlignment="1">
      <alignment vertical="center"/>
    </xf>
    <xf numFmtId="0" fontId="8" fillId="0" borderId="172" xfId="0" applyFont="1" applyFill="1" applyBorder="1" applyAlignment="1">
      <alignment vertical="center"/>
    </xf>
    <xf numFmtId="173" fontId="8" fillId="0" borderId="183" xfId="0" applyNumberFormat="1" applyFont="1" applyFill="1" applyBorder="1" applyAlignment="1">
      <alignment horizontal="right" vertical="center"/>
    </xf>
    <xf numFmtId="173" fontId="8" fillId="0" borderId="171" xfId="2363" applyNumberFormat="1" applyFont="1" applyFill="1" applyBorder="1" applyAlignment="1">
      <alignment horizontal="right" vertical="center"/>
    </xf>
    <xf numFmtId="173" fontId="8" fillId="0" borderId="171" xfId="0" applyNumberFormat="1" applyFont="1" applyFill="1" applyBorder="1" applyAlignment="1">
      <alignment horizontal="right" vertical="center"/>
    </xf>
    <xf numFmtId="0" fontId="2" fillId="0" borderId="171" xfId="2028" applyFont="1" applyFill="1" applyBorder="1" applyAlignment="1">
      <alignment vertical="center" wrapText="1"/>
    </xf>
    <xf numFmtId="2" fontId="2" fillId="0" borderId="171" xfId="2028" applyNumberFormat="1" applyFont="1" applyFill="1" applyBorder="1" applyAlignment="1">
      <alignment horizontal="center" vertical="center" wrapText="1"/>
    </xf>
    <xf numFmtId="1" fontId="2" fillId="0" borderId="171" xfId="2028" applyNumberFormat="1" applyFont="1" applyFill="1" applyBorder="1" applyAlignment="1">
      <alignment horizontal="center" vertical="center" wrapText="1"/>
    </xf>
    <xf numFmtId="2" fontId="8" fillId="0" borderId="183" xfId="0" applyNumberFormat="1" applyFont="1" applyFill="1" applyBorder="1" applyAlignment="1">
      <alignment horizontal="right" vertical="center"/>
    </xf>
    <xf numFmtId="2" fontId="8" fillId="0" borderId="170" xfId="0" applyNumberFormat="1" applyFont="1" applyFill="1" applyBorder="1"/>
    <xf numFmtId="2" fontId="8" fillId="0" borderId="183" xfId="0" applyNumberFormat="1" applyFont="1" applyFill="1" applyBorder="1"/>
    <xf numFmtId="167" fontId="8" fillId="0" borderId="171" xfId="2363" applyFont="1" applyFill="1" applyBorder="1" applyAlignment="1">
      <alignment horizontal="right" vertical="center"/>
    </xf>
    <xf numFmtId="2" fontId="2" fillId="0" borderId="171" xfId="2363" applyNumberFormat="1" applyFont="1" applyFill="1" applyBorder="1" applyAlignment="1">
      <alignment horizontal="center" vertical="center" wrapText="1"/>
    </xf>
    <xf numFmtId="2" fontId="8" fillId="0" borderId="184" xfId="2363" applyNumberFormat="1" applyFont="1" applyFill="1" applyBorder="1"/>
    <xf numFmtId="167" fontId="8" fillId="0" borderId="172" xfId="2363" applyFont="1" applyFill="1" applyBorder="1"/>
    <xf numFmtId="171" fontId="8" fillId="0" borderId="171" xfId="2363" applyNumberFormat="1" applyFont="1" applyFill="1" applyBorder="1" applyAlignment="1">
      <alignment vertical="center"/>
    </xf>
    <xf numFmtId="2" fontId="8" fillId="0" borderId="170" xfId="0" applyNumberFormat="1" applyFont="1" applyFill="1" applyBorder="1" applyAlignment="1">
      <alignment horizontal="right" vertical="center" wrapText="1"/>
    </xf>
    <xf numFmtId="2" fontId="8" fillId="0" borderId="171" xfId="0" applyNumberFormat="1" applyFont="1" applyFill="1" applyBorder="1" applyAlignment="1">
      <alignment horizontal="right" vertical="center" wrapText="1"/>
    </xf>
    <xf numFmtId="2" fontId="8" fillId="0" borderId="172" xfId="0" applyNumberFormat="1" applyFont="1" applyFill="1" applyBorder="1" applyAlignment="1">
      <alignment horizontal="right" vertical="center" wrapText="1"/>
    </xf>
    <xf numFmtId="2" fontId="8" fillId="0" borderId="183" xfId="0" applyNumberFormat="1" applyFont="1" applyFill="1" applyBorder="1" applyAlignment="1">
      <alignment horizontal="right" vertical="center" wrapText="1"/>
    </xf>
    <xf numFmtId="172" fontId="8" fillId="0" borderId="171" xfId="0" applyNumberFormat="1" applyFont="1" applyFill="1" applyBorder="1" applyAlignment="1">
      <alignment vertical="center"/>
    </xf>
    <xf numFmtId="2" fontId="8" fillId="0" borderId="172" xfId="0" applyNumberFormat="1" applyFont="1" applyFill="1" applyBorder="1" applyAlignment="1">
      <alignment vertical="center"/>
    </xf>
    <xf numFmtId="173" fontId="8" fillId="0" borderId="184" xfId="0" applyNumberFormat="1" applyFont="1" applyFill="1" applyBorder="1" applyAlignment="1">
      <alignment vertical="center"/>
    </xf>
    <xf numFmtId="0" fontId="8" fillId="0" borderId="183" xfId="0" applyFont="1" applyFill="1" applyBorder="1" applyAlignment="1">
      <alignment vertical="center"/>
    </xf>
    <xf numFmtId="167" fontId="8" fillId="0" borderId="171" xfId="2363" applyFont="1" applyFill="1" applyBorder="1" applyAlignment="1">
      <alignment vertical="center"/>
    </xf>
    <xf numFmtId="2" fontId="8" fillId="0" borderId="184" xfId="0" applyNumberFormat="1" applyFont="1" applyFill="1" applyBorder="1" applyAlignment="1">
      <alignment vertical="center"/>
    </xf>
    <xf numFmtId="172" fontId="8" fillId="0" borderId="184" xfId="0" applyNumberFormat="1" applyFont="1" applyFill="1" applyBorder="1" applyAlignment="1">
      <alignment vertical="center"/>
    </xf>
    <xf numFmtId="2" fontId="142" fillId="0" borderId="171" xfId="0" applyNumberFormat="1" applyFont="1" applyFill="1" applyBorder="1" applyAlignment="1">
      <alignment vertical="center"/>
    </xf>
    <xf numFmtId="0" fontId="159" fillId="0" borderId="184" xfId="0" applyFont="1" applyFill="1" applyBorder="1"/>
    <xf numFmtId="0" fontId="8" fillId="0" borderId="170" xfId="0" applyFont="1" applyFill="1" applyBorder="1" applyAlignment="1">
      <alignment horizontal="center"/>
    </xf>
    <xf numFmtId="0" fontId="8" fillId="0" borderId="171" xfId="0" applyFont="1" applyFill="1" applyBorder="1" applyAlignment="1">
      <alignment horizontal="center"/>
    </xf>
    <xf numFmtId="0" fontId="8" fillId="0" borderId="183" xfId="0" applyFont="1" applyFill="1" applyBorder="1" applyAlignment="1">
      <alignment horizontal="center"/>
    </xf>
    <xf numFmtId="0" fontId="2" fillId="0" borderId="184" xfId="0" applyFont="1" applyFill="1" applyBorder="1" applyAlignment="1">
      <alignment horizontal="center" wrapText="1"/>
    </xf>
    <xf numFmtId="2" fontId="8" fillId="0" borderId="183" xfId="0" applyNumberFormat="1" applyFont="1" applyFill="1" applyBorder="1" applyAlignment="1">
      <alignment horizontal="right"/>
    </xf>
    <xf numFmtId="172" fontId="8" fillId="0" borderId="171" xfId="0" applyNumberFormat="1" applyFont="1" applyFill="1" applyBorder="1" applyAlignment="1">
      <alignment horizontal="center"/>
    </xf>
    <xf numFmtId="0" fontId="8" fillId="0" borderId="172" xfId="0" applyFont="1" applyFill="1" applyBorder="1" applyAlignment="1"/>
    <xf numFmtId="4" fontId="8" fillId="0" borderId="171" xfId="0" applyNumberFormat="1" applyFont="1" applyFill="1" applyBorder="1"/>
    <xf numFmtId="4" fontId="8" fillId="0" borderId="170" xfId="0" applyNumberFormat="1" applyFont="1" applyFill="1" applyBorder="1"/>
    <xf numFmtId="4" fontId="8" fillId="0" borderId="183" xfId="0" applyNumberFormat="1" applyFont="1" applyFill="1" applyBorder="1"/>
    <xf numFmtId="171" fontId="8" fillId="0" borderId="171" xfId="2363" applyNumberFormat="1" applyFont="1" applyFill="1" applyBorder="1"/>
    <xf numFmtId="2" fontId="8" fillId="0" borderId="172" xfId="2363" applyNumberFormat="1" applyFont="1" applyFill="1" applyBorder="1" applyAlignment="1">
      <alignment horizontal="right" vertical="center"/>
    </xf>
    <xf numFmtId="2" fontId="8" fillId="0" borderId="171" xfId="2363" applyNumberFormat="1" applyFont="1" applyFill="1" applyBorder="1" applyAlignment="1">
      <alignment vertical="center"/>
    </xf>
    <xf numFmtId="173" fontId="8" fillId="0" borderId="170" xfId="2363" applyNumberFormat="1" applyFont="1" applyFill="1" applyBorder="1" applyAlignment="1">
      <alignment horizontal="right" vertical="center"/>
    </xf>
    <xf numFmtId="2" fontId="8" fillId="0" borderId="172" xfId="2363" applyNumberFormat="1" applyFont="1" applyFill="1" applyBorder="1" applyAlignment="1">
      <alignment horizontal="center" vertical="center"/>
    </xf>
    <xf numFmtId="167" fontId="8" fillId="0" borderId="171" xfId="2363" applyFont="1" applyFill="1" applyBorder="1" applyAlignment="1">
      <alignment horizontal="center" vertical="center"/>
    </xf>
    <xf numFmtId="173" fontId="8" fillId="0" borderId="165" xfId="0" applyNumberFormat="1" applyFont="1" applyFill="1" applyBorder="1" applyAlignment="1">
      <alignment horizontal="center" vertical="center"/>
    </xf>
    <xf numFmtId="173" fontId="8" fillId="0" borderId="170" xfId="0" applyNumberFormat="1" applyFont="1" applyFill="1" applyBorder="1" applyAlignment="1">
      <alignment horizontal="center" vertical="center"/>
    </xf>
    <xf numFmtId="4" fontId="8" fillId="0" borderId="172" xfId="0" applyNumberFormat="1" applyFont="1" applyFill="1" applyBorder="1"/>
    <xf numFmtId="173" fontId="8" fillId="0" borderId="170" xfId="2363" applyNumberFormat="1" applyFont="1" applyFill="1" applyBorder="1"/>
    <xf numFmtId="173" fontId="8" fillId="0" borderId="183" xfId="2363" applyNumberFormat="1" applyFont="1" applyFill="1" applyBorder="1"/>
    <xf numFmtId="1" fontId="2" fillId="0" borderId="171" xfId="2363" applyNumberFormat="1" applyFont="1" applyFill="1" applyBorder="1" applyAlignment="1">
      <alignment horizontal="center" vertical="center" wrapText="1"/>
    </xf>
    <xf numFmtId="2" fontId="2" fillId="0" borderId="165" xfId="2363" applyNumberFormat="1" applyFont="1" applyFill="1" applyBorder="1" applyAlignment="1">
      <alignment horizontal="center" vertical="center" wrapText="1"/>
    </xf>
    <xf numFmtId="172" fontId="8" fillId="0" borderId="171" xfId="0" applyNumberFormat="1" applyFont="1" applyFill="1" applyBorder="1"/>
    <xf numFmtId="2" fontId="8" fillId="0" borderId="170" xfId="0" applyNumberFormat="1" applyFont="1" applyFill="1" applyBorder="1" applyAlignment="1">
      <alignment vertical="center"/>
    </xf>
    <xf numFmtId="167" fontId="2" fillId="0" borderId="171" xfId="2363" applyFont="1" applyFill="1" applyBorder="1" applyAlignment="1">
      <alignment vertical="center" wrapText="1"/>
    </xf>
    <xf numFmtId="205" fontId="8" fillId="0" borderId="171" xfId="0" applyNumberFormat="1" applyFont="1" applyFill="1" applyBorder="1"/>
    <xf numFmtId="173" fontId="8" fillId="0" borderId="171" xfId="2363" applyNumberFormat="1" applyFont="1" applyFill="1" applyBorder="1" applyAlignment="1">
      <alignment vertical="center"/>
    </xf>
    <xf numFmtId="211" fontId="8" fillId="0" borderId="171" xfId="0" applyNumberFormat="1" applyFont="1" applyFill="1" applyBorder="1" applyAlignment="1">
      <alignment vertical="center"/>
    </xf>
    <xf numFmtId="0" fontId="159" fillId="0" borderId="184" xfId="0" applyFont="1" applyFill="1" applyBorder="1" applyAlignment="1">
      <alignment vertical="center"/>
    </xf>
    <xf numFmtId="2" fontId="8" fillId="0" borderId="184" xfId="0" applyNumberFormat="1" applyFont="1" applyFill="1" applyBorder="1" applyAlignment="1">
      <alignment horizontal="right" vertical="center"/>
    </xf>
    <xf numFmtId="172" fontId="8" fillId="0" borderId="172" xfId="0" applyNumberFormat="1" applyFont="1" applyFill="1" applyBorder="1"/>
    <xf numFmtId="172" fontId="8" fillId="0" borderId="170" xfId="0" applyNumberFormat="1" applyFont="1" applyFill="1" applyBorder="1"/>
    <xf numFmtId="172" fontId="8" fillId="0" borderId="183" xfId="0" applyNumberFormat="1" applyFont="1" applyFill="1" applyBorder="1"/>
    <xf numFmtId="2" fontId="8" fillId="0" borderId="165" xfId="0" applyNumberFormat="1" applyFont="1" applyFill="1" applyBorder="1"/>
    <xf numFmtId="211" fontId="8" fillId="0" borderId="170" xfId="0" applyNumberFormat="1" applyFont="1" applyFill="1" applyBorder="1" applyAlignment="1">
      <alignment vertical="center"/>
    </xf>
    <xf numFmtId="173" fontId="8" fillId="0" borderId="184" xfId="0" applyNumberFormat="1" applyFont="1" applyFill="1" applyBorder="1" applyAlignment="1">
      <alignment horizontal="right" vertical="center"/>
    </xf>
    <xf numFmtId="173" fontId="137" fillId="0" borderId="171" xfId="0" applyNumberFormat="1" applyFont="1" applyFill="1" applyBorder="1" applyAlignment="1">
      <alignment vertical="center"/>
    </xf>
    <xf numFmtId="166" fontId="2" fillId="0" borderId="171" xfId="1751" applyFont="1" applyFill="1" applyBorder="1" applyAlignment="1">
      <alignment vertical="center" wrapText="1"/>
    </xf>
    <xf numFmtId="216" fontId="2" fillId="0" borderId="171" xfId="2363" applyNumberFormat="1" applyFont="1" applyFill="1" applyBorder="1" applyAlignment="1">
      <alignment vertical="center" wrapText="1"/>
    </xf>
    <xf numFmtId="0" fontId="2" fillId="0" borderId="183" xfId="2028" applyFont="1" applyFill="1" applyBorder="1" applyAlignment="1">
      <alignment horizontal="center" vertical="center" wrapText="1"/>
    </xf>
    <xf numFmtId="2" fontId="145" fillId="0" borderId="172" xfId="0" applyNumberFormat="1" applyFont="1" applyFill="1" applyBorder="1" applyAlignment="1">
      <alignment horizontal="right"/>
    </xf>
    <xf numFmtId="1" fontId="8" fillId="0" borderId="171" xfId="0" applyNumberFormat="1" applyFont="1" applyFill="1" applyBorder="1"/>
    <xf numFmtId="0" fontId="8" fillId="0" borderId="171" xfId="0" applyFont="1" applyFill="1" applyBorder="1" applyAlignment="1">
      <alignment horizontal="right" vertical="center"/>
    </xf>
    <xf numFmtId="0" fontId="8" fillId="0" borderId="170" xfId="0" applyFont="1" applyFill="1" applyBorder="1" applyAlignment="1">
      <alignment horizontal="right" vertical="center"/>
    </xf>
    <xf numFmtId="0" fontId="8" fillId="0" borderId="172" xfId="0" applyFont="1" applyFill="1" applyBorder="1" applyAlignment="1">
      <alignment horizontal="right" vertical="center"/>
    </xf>
    <xf numFmtId="0" fontId="8" fillId="0" borderId="183" xfId="0" applyFont="1" applyFill="1" applyBorder="1" applyAlignment="1">
      <alignment horizontal="right" vertical="center"/>
    </xf>
    <xf numFmtId="0" fontId="8" fillId="0" borderId="184" xfId="0" applyFont="1" applyFill="1" applyBorder="1" applyAlignment="1">
      <alignment horizontal="right" vertical="center"/>
    </xf>
    <xf numFmtId="172" fontId="8" fillId="0" borderId="184" xfId="0" applyNumberFormat="1" applyFont="1" applyFill="1" applyBorder="1" applyAlignment="1">
      <alignment horizontal="right" vertical="center"/>
    </xf>
    <xf numFmtId="171" fontId="8" fillId="0" borderId="171" xfId="2363" applyNumberFormat="1" applyFont="1" applyFill="1" applyBorder="1" applyAlignment="1">
      <alignment horizontal="right" vertical="center"/>
    </xf>
    <xf numFmtId="2" fontId="142" fillId="0" borderId="171" xfId="0" applyNumberFormat="1" applyFont="1" applyFill="1" applyBorder="1" applyAlignment="1">
      <alignment horizontal="right" vertical="center"/>
    </xf>
    <xf numFmtId="0" fontId="2" fillId="0" borderId="171" xfId="2028" applyNumberFormat="1" applyFont="1" applyFill="1" applyBorder="1" applyAlignment="1">
      <alignment horizontal="center" vertical="center" wrapText="1"/>
    </xf>
    <xf numFmtId="2" fontId="2" fillId="0" borderId="165" xfId="2028" applyNumberFormat="1" applyFont="1" applyFill="1" applyBorder="1" applyAlignment="1">
      <alignment horizontal="center" vertical="center" wrapText="1"/>
    </xf>
    <xf numFmtId="2" fontId="8" fillId="0" borderId="183" xfId="0" applyNumberFormat="1" applyFont="1" applyFill="1" applyBorder="1" applyAlignment="1">
      <alignment horizontal="center" vertical="center" wrapText="1"/>
    </xf>
    <xf numFmtId="2" fontId="8" fillId="0" borderId="171" xfId="0" applyNumberFormat="1" applyFont="1" applyFill="1" applyBorder="1" applyAlignment="1">
      <alignment horizontal="center" vertical="center" wrapText="1"/>
    </xf>
    <xf numFmtId="167" fontId="8" fillId="0" borderId="172" xfId="2363" applyFont="1" applyFill="1" applyBorder="1" applyAlignment="1">
      <alignment vertical="center"/>
    </xf>
    <xf numFmtId="172" fontId="8" fillId="0" borderId="172" xfId="0" applyNumberFormat="1" applyFont="1" applyFill="1" applyBorder="1" applyAlignment="1">
      <alignment vertical="center"/>
    </xf>
    <xf numFmtId="0" fontId="8" fillId="62" borderId="184" xfId="0" applyFont="1" applyFill="1" applyBorder="1"/>
    <xf numFmtId="0" fontId="8" fillId="95" borderId="171" xfId="0" applyFont="1" applyFill="1" applyBorder="1"/>
    <xf numFmtId="215" fontId="8" fillId="95" borderId="171" xfId="0" applyNumberFormat="1" applyFont="1" applyFill="1" applyBorder="1"/>
    <xf numFmtId="0" fontId="8" fillId="55" borderId="171" xfId="0" applyFont="1" applyFill="1" applyBorder="1"/>
    <xf numFmtId="0" fontId="8" fillId="62" borderId="171" xfId="0" applyFont="1" applyFill="1" applyBorder="1"/>
    <xf numFmtId="2" fontId="8" fillId="62" borderId="184" xfId="0" applyNumberFormat="1" applyFont="1" applyFill="1" applyBorder="1"/>
    <xf numFmtId="0" fontId="8" fillId="88" borderId="171" xfId="0" applyFont="1" applyFill="1" applyBorder="1"/>
    <xf numFmtId="167" fontId="8" fillId="63" borderId="171" xfId="2363" applyFont="1" applyFill="1" applyBorder="1"/>
    <xf numFmtId="167" fontId="8" fillId="55" borderId="171" xfId="2363" applyFont="1" applyFill="1" applyBorder="1"/>
    <xf numFmtId="1" fontId="8" fillId="0" borderId="171" xfId="0" applyNumberFormat="1" applyFont="1" applyFill="1" applyBorder="1" applyAlignment="1">
      <alignment vertical="center"/>
    </xf>
    <xf numFmtId="0" fontId="8" fillId="62" borderId="184" xfId="0" applyFont="1" applyFill="1" applyBorder="1" applyAlignment="1">
      <alignment vertical="center"/>
    </xf>
    <xf numFmtId="0" fontId="8" fillId="95" borderId="171" xfId="0" applyFont="1" applyFill="1" applyBorder="1" applyAlignment="1">
      <alignment vertical="center"/>
    </xf>
    <xf numFmtId="0" fontId="8" fillId="62" borderId="171" xfId="0" applyFont="1" applyFill="1" applyBorder="1" applyAlignment="1">
      <alignment vertical="center"/>
    </xf>
    <xf numFmtId="0" fontId="8" fillId="88" borderId="171" xfId="0" applyFont="1" applyFill="1" applyBorder="1" applyAlignment="1">
      <alignment vertical="center"/>
    </xf>
    <xf numFmtId="167" fontId="8" fillId="0" borderId="170" xfId="2363" applyFont="1" applyFill="1" applyBorder="1" applyAlignment="1">
      <alignment vertical="center"/>
    </xf>
    <xf numFmtId="4" fontId="8" fillId="0" borderId="171" xfId="0" applyNumberFormat="1" applyFont="1" applyFill="1" applyBorder="1" applyAlignment="1">
      <alignment vertical="center"/>
    </xf>
    <xf numFmtId="167" fontId="8" fillId="0" borderId="172" xfId="2363" applyFont="1" applyFill="1" applyBorder="1" applyAlignment="1">
      <alignment horizontal="right" vertical="center"/>
    </xf>
    <xf numFmtId="167" fontId="8" fillId="0" borderId="183" xfId="2363" applyFont="1" applyFill="1" applyBorder="1" applyAlignment="1">
      <alignment vertical="center"/>
    </xf>
    <xf numFmtId="167" fontId="8" fillId="0" borderId="165" xfId="2363" applyFont="1" applyFill="1" applyBorder="1" applyAlignment="1">
      <alignment vertical="center"/>
    </xf>
    <xf numFmtId="167" fontId="8" fillId="95" borderId="171" xfId="2363" applyFont="1" applyFill="1" applyBorder="1" applyAlignment="1">
      <alignment vertical="center"/>
    </xf>
    <xf numFmtId="0" fontId="8" fillId="55" borderId="171" xfId="0" applyFont="1" applyFill="1" applyBorder="1" applyAlignment="1">
      <alignment vertical="center"/>
    </xf>
    <xf numFmtId="167" fontId="8" fillId="63" borderId="171" xfId="2363" applyFont="1" applyFill="1" applyBorder="1" applyAlignment="1">
      <alignment vertical="center"/>
    </xf>
    <xf numFmtId="167" fontId="8" fillId="93" borderId="171" xfId="2363" applyFont="1" applyFill="1" applyBorder="1"/>
    <xf numFmtId="215" fontId="8" fillId="0" borderId="171" xfId="0" applyNumberFormat="1" applyFont="1" applyFill="1" applyBorder="1"/>
    <xf numFmtId="211" fontId="8" fillId="0" borderId="171" xfId="0" applyNumberFormat="1" applyFont="1" applyFill="1" applyBorder="1"/>
    <xf numFmtId="0" fontId="2" fillId="0" borderId="184" xfId="2028" applyFont="1" applyFill="1" applyBorder="1" applyAlignment="1">
      <alignment horizontal="center" vertical="center" wrapText="1"/>
    </xf>
    <xf numFmtId="0" fontId="2" fillId="0" borderId="184" xfId="2028" applyFont="1" applyFill="1" applyBorder="1" applyAlignment="1">
      <alignment wrapText="1"/>
    </xf>
    <xf numFmtId="167" fontId="2" fillId="0" borderId="184" xfId="2363" applyFont="1" applyFill="1" applyBorder="1"/>
    <xf numFmtId="0" fontId="8" fillId="58" borderId="184" xfId="0" applyFont="1" applyFill="1" applyBorder="1"/>
    <xf numFmtId="0" fontId="2" fillId="0" borderId="184" xfId="0" applyFont="1" applyFill="1" applyBorder="1"/>
    <xf numFmtId="167" fontId="8" fillId="58" borderId="184" xfId="0" applyNumberFormat="1" applyFont="1" applyFill="1" applyBorder="1"/>
    <xf numFmtId="173" fontId="8" fillId="95" borderId="184" xfId="0" applyNumberFormat="1" applyFont="1" applyFill="1" applyBorder="1"/>
    <xf numFmtId="167" fontId="8" fillId="95" borderId="184" xfId="2363" applyFont="1" applyFill="1" applyBorder="1"/>
    <xf numFmtId="167" fontId="8" fillId="55" borderId="184" xfId="2363" applyFont="1" applyFill="1" applyBorder="1"/>
    <xf numFmtId="173" fontId="8" fillId="58" borderId="184" xfId="0" applyNumberFormat="1" applyFont="1" applyFill="1" applyBorder="1"/>
    <xf numFmtId="173" fontId="8" fillId="62" borderId="184" xfId="0" applyNumberFormat="1" applyFont="1" applyFill="1" applyBorder="1"/>
    <xf numFmtId="173" fontId="142" fillId="0" borderId="184" xfId="0" applyNumberFormat="1" applyFont="1" applyFill="1" applyBorder="1"/>
    <xf numFmtId="167" fontId="8" fillId="58" borderId="184" xfId="2363" applyFont="1" applyFill="1" applyBorder="1"/>
    <xf numFmtId="173" fontId="8" fillId="55" borderId="184" xfId="0" applyNumberFormat="1" applyFont="1" applyFill="1" applyBorder="1"/>
    <xf numFmtId="167" fontId="8" fillId="67" borderId="171" xfId="2363" applyFont="1" applyFill="1" applyBorder="1" applyAlignment="1">
      <alignment horizontal="right"/>
    </xf>
    <xf numFmtId="167" fontId="8" fillId="67" borderId="171" xfId="2363" applyFont="1" applyFill="1" applyBorder="1" applyAlignment="1"/>
    <xf numFmtId="214" fontId="8" fillId="62" borderId="184" xfId="0" applyNumberFormat="1" applyFont="1" applyFill="1" applyBorder="1"/>
    <xf numFmtId="0" fontId="8" fillId="55" borderId="184" xfId="0" applyFont="1" applyFill="1" applyBorder="1"/>
    <xf numFmtId="172" fontId="8" fillId="62" borderId="184" xfId="0" applyNumberFormat="1" applyFont="1" applyFill="1" applyBorder="1"/>
    <xf numFmtId="43" fontId="8" fillId="95" borderId="171" xfId="0" applyNumberFormat="1" applyFont="1" applyFill="1" applyBorder="1"/>
    <xf numFmtId="2" fontId="142" fillId="62" borderId="171" xfId="0" applyNumberFormat="1" applyFont="1" applyFill="1" applyBorder="1"/>
    <xf numFmtId="43" fontId="8" fillId="88" borderId="171" xfId="0" applyNumberFormat="1" applyFont="1" applyFill="1" applyBorder="1"/>
    <xf numFmtId="43" fontId="8" fillId="62" borderId="171" xfId="0" applyNumberFormat="1" applyFont="1" applyFill="1" applyBorder="1"/>
    <xf numFmtId="167" fontId="6" fillId="0" borderId="184" xfId="2363" applyFont="1" applyFill="1" applyBorder="1" applyAlignment="1">
      <alignment vertical="center"/>
    </xf>
    <xf numFmtId="167" fontId="8" fillId="0" borderId="184" xfId="2363" applyNumberFormat="1" applyFont="1" applyFill="1" applyBorder="1"/>
    <xf numFmtId="4" fontId="2" fillId="0" borderId="184" xfId="0" applyNumberFormat="1" applyFont="1" applyFill="1" applyBorder="1"/>
    <xf numFmtId="173" fontId="8" fillId="0" borderId="184" xfId="2363" applyNumberFormat="1" applyFont="1" applyFill="1" applyBorder="1"/>
    <xf numFmtId="213" fontId="4" fillId="0" borderId="184" xfId="2363" applyNumberFormat="1" applyFont="1" applyFill="1" applyBorder="1"/>
    <xf numFmtId="167" fontId="2" fillId="62" borderId="184" xfId="2363" applyFont="1" applyFill="1" applyBorder="1"/>
    <xf numFmtId="167" fontId="8" fillId="62" borderId="184" xfId="2363" applyFont="1" applyFill="1" applyBorder="1"/>
    <xf numFmtId="167" fontId="8" fillId="95" borderId="171" xfId="2363" applyFont="1" applyFill="1" applyBorder="1"/>
    <xf numFmtId="167" fontId="8" fillId="62" borderId="171" xfId="2363" applyFont="1" applyFill="1" applyBorder="1"/>
    <xf numFmtId="167" fontId="142" fillId="62" borderId="171" xfId="2363" applyFont="1" applyFill="1" applyBorder="1"/>
    <xf numFmtId="0" fontId="2" fillId="0" borderId="184" xfId="2028" applyFont="1" applyFill="1" applyBorder="1"/>
    <xf numFmtId="4" fontId="2" fillId="0" borderId="184" xfId="0" applyNumberFormat="1" applyFont="1" applyFill="1" applyBorder="1" applyAlignment="1">
      <alignment vertical="center"/>
    </xf>
    <xf numFmtId="167" fontId="8" fillId="0" borderId="184" xfId="0" applyNumberFormat="1" applyFont="1" applyFill="1" applyBorder="1"/>
    <xf numFmtId="167" fontId="8" fillId="62" borderId="184" xfId="0" applyNumberFormat="1" applyFont="1" applyFill="1" applyBorder="1"/>
    <xf numFmtId="0" fontId="142" fillId="62" borderId="171" xfId="0" applyFont="1" applyFill="1" applyBorder="1"/>
    <xf numFmtId="0" fontId="8" fillId="0" borderId="184" xfId="0" applyFont="1" applyFill="1" applyBorder="1" applyAlignment="1">
      <alignment horizontal="right"/>
    </xf>
    <xf numFmtId="2" fontId="137" fillId="62" borderId="171" xfId="0" applyNumberFormat="1" applyFont="1" applyFill="1" applyBorder="1"/>
    <xf numFmtId="2" fontId="5" fillId="62" borderId="171" xfId="0" applyNumberFormat="1" applyFont="1" applyFill="1" applyBorder="1"/>
    <xf numFmtId="2" fontId="137" fillId="95" borderId="171" xfId="0" applyNumberFormat="1" applyFont="1" applyFill="1" applyBorder="1"/>
    <xf numFmtId="2" fontId="143" fillId="62" borderId="171" xfId="0" applyNumberFormat="1" applyFont="1" applyFill="1" applyBorder="1"/>
    <xf numFmtId="2" fontId="8" fillId="62" borderId="171" xfId="0" applyNumberFormat="1" applyFont="1" applyFill="1" applyBorder="1"/>
    <xf numFmtId="167" fontId="8" fillId="62" borderId="171" xfId="0" applyNumberFormat="1" applyFont="1" applyFill="1" applyBorder="1"/>
    <xf numFmtId="167" fontId="144" fillId="62" borderId="171" xfId="0" applyNumberFormat="1" applyFont="1" applyFill="1" applyBorder="1"/>
    <xf numFmtId="2" fontId="144" fillId="62" borderId="171" xfId="0" applyNumberFormat="1" applyFont="1" applyFill="1" applyBorder="1"/>
    <xf numFmtId="0" fontId="2" fillId="0" borderId="151" xfId="2028" applyFont="1" applyFill="1" applyBorder="1"/>
    <xf numFmtId="0" fontId="0" fillId="0" borderId="151" xfId="0" applyBorder="1"/>
    <xf numFmtId="167" fontId="8" fillId="0" borderId="151" xfId="2363" applyNumberFormat="1" applyFont="1" applyFill="1" applyBorder="1"/>
    <xf numFmtId="43" fontId="8" fillId="0" borderId="151" xfId="0" applyNumberFormat="1" applyFont="1" applyFill="1" applyBorder="1"/>
    <xf numFmtId="0" fontId="8" fillId="62" borderId="151" xfId="0" applyFont="1" applyFill="1" applyBorder="1"/>
    <xf numFmtId="2" fontId="137" fillId="62" borderId="151" xfId="0" applyNumberFormat="1" applyFont="1" applyFill="1" applyBorder="1"/>
    <xf numFmtId="2" fontId="137" fillId="62" borderId="185" xfId="0" applyNumberFormat="1" applyFont="1" applyFill="1" applyBorder="1" applyAlignment="1">
      <alignment horizontal="center"/>
    </xf>
    <xf numFmtId="167" fontId="137" fillId="62" borderId="151" xfId="0" applyNumberFormat="1" applyFont="1" applyFill="1" applyBorder="1"/>
    <xf numFmtId="167" fontId="8" fillId="62" borderId="151" xfId="0" applyNumberFormat="1" applyFont="1" applyFill="1" applyBorder="1"/>
    <xf numFmtId="0" fontId="8" fillId="95" borderId="185" xfId="0" applyFont="1" applyFill="1" applyBorder="1"/>
    <xf numFmtId="2" fontId="8" fillId="95" borderId="185" xfId="0" applyNumberFormat="1" applyFont="1" applyFill="1" applyBorder="1"/>
    <xf numFmtId="0" fontId="8" fillId="55" borderId="185" xfId="0" applyFont="1" applyFill="1" applyBorder="1"/>
    <xf numFmtId="0" fontId="8" fillId="62" borderId="185" xfId="0" applyFont="1" applyFill="1" applyBorder="1"/>
    <xf numFmtId="2" fontId="8" fillId="62" borderId="185" xfId="0" applyNumberFormat="1" applyFont="1" applyFill="1" applyBorder="1"/>
    <xf numFmtId="215" fontId="8" fillId="62" borderId="185" xfId="0" applyNumberFormat="1" applyFont="1" applyFill="1" applyBorder="1"/>
    <xf numFmtId="0" fontId="142" fillId="62" borderId="185" xfId="0" applyFont="1" applyFill="1" applyBorder="1"/>
    <xf numFmtId="0" fontId="144" fillId="62" borderId="185" xfId="0" applyFont="1" applyFill="1" applyBorder="1"/>
    <xf numFmtId="215" fontId="144" fillId="62" borderId="185" xfId="0" applyNumberFormat="1" applyFont="1" applyFill="1" applyBorder="1"/>
    <xf numFmtId="167" fontId="8" fillId="62" borderId="185" xfId="0" applyNumberFormat="1" applyFont="1" applyFill="1" applyBorder="1"/>
    <xf numFmtId="172" fontId="144" fillId="62" borderId="185" xfId="0" applyNumberFormat="1" applyFont="1" applyFill="1" applyBorder="1"/>
    <xf numFmtId="0" fontId="154" fillId="0" borderId="0" xfId="0" applyFont="1" applyFill="1" applyBorder="1"/>
    <xf numFmtId="2" fontId="8" fillId="0" borderId="0" xfId="2363" applyNumberFormat="1" applyFont="1" applyFill="1" applyBorder="1"/>
    <xf numFmtId="0" fontId="159" fillId="0" borderId="0" xfId="0" applyFont="1" applyFill="1" applyBorder="1"/>
    <xf numFmtId="0" fontId="159" fillId="0" borderId="0" xfId="0" applyFont="1" applyFill="1" applyBorder="1" applyAlignment="1">
      <alignment vertical="center"/>
    </xf>
    <xf numFmtId="0" fontId="0" fillId="0" borderId="0" xfId="0" applyBorder="1"/>
    <xf numFmtId="217" fontId="8" fillId="88" borderId="171" xfId="2363" applyNumberFormat="1" applyFont="1" applyFill="1" applyBorder="1" applyAlignment="1">
      <alignment horizontal="center" vertical="center"/>
    </xf>
    <xf numFmtId="2" fontId="8" fillId="88" borderId="171" xfId="0" applyNumberFormat="1" applyFont="1" applyFill="1" applyBorder="1"/>
    <xf numFmtId="173" fontId="8" fillId="88" borderId="171" xfId="0" applyNumberFormat="1" applyFont="1" applyFill="1" applyBorder="1" applyAlignment="1">
      <alignment vertical="center"/>
    </xf>
    <xf numFmtId="167" fontId="8" fillId="88" borderId="171" xfId="2363" applyFont="1" applyFill="1" applyBorder="1" applyAlignment="1">
      <alignment vertical="center"/>
    </xf>
    <xf numFmtId="0" fontId="8" fillId="88" borderId="171" xfId="0" applyFont="1" applyFill="1" applyBorder="1" applyAlignment="1">
      <alignment horizontal="right" vertical="center"/>
    </xf>
    <xf numFmtId="173" fontId="8" fillId="88" borderId="184" xfId="0" applyNumberFormat="1" applyFont="1" applyFill="1" applyBorder="1"/>
    <xf numFmtId="167" fontId="8" fillId="88" borderId="171" xfId="2363" applyFont="1" applyFill="1" applyBorder="1"/>
    <xf numFmtId="2" fontId="137" fillId="88" borderId="171" xfId="0" applyNumberFormat="1" applyFont="1" applyFill="1" applyBorder="1"/>
    <xf numFmtId="0" fontId="8" fillId="88" borderId="185" xfId="0" applyFont="1" applyFill="1" applyBorder="1"/>
    <xf numFmtId="2" fontId="8" fillId="88" borderId="185" xfId="0" applyNumberFormat="1" applyFont="1" applyFill="1" applyBorder="1"/>
    <xf numFmtId="0" fontId="2" fillId="0" borderId="127" xfId="2028" applyFont="1" applyFill="1" applyBorder="1" applyAlignment="1">
      <alignment horizontal="center" vertical="center" wrapText="1"/>
    </xf>
    <xf numFmtId="173" fontId="8" fillId="0" borderId="127" xfId="0" applyNumberFormat="1" applyFont="1" applyFill="1" applyBorder="1"/>
    <xf numFmtId="167" fontId="8" fillId="0" borderId="186" xfId="2363" applyFont="1" applyFill="1" applyBorder="1"/>
    <xf numFmtId="167" fontId="2" fillId="0" borderId="127" xfId="2363" applyFont="1" applyFill="1" applyBorder="1"/>
    <xf numFmtId="167" fontId="8" fillId="0" borderId="127" xfId="2363" applyFont="1" applyFill="1" applyBorder="1"/>
    <xf numFmtId="172" fontId="8" fillId="0" borderId="127" xfId="0" applyNumberFormat="1" applyFont="1" applyFill="1" applyBorder="1"/>
    <xf numFmtId="43" fontId="8" fillId="0" borderId="127" xfId="0" applyNumberFormat="1" applyFont="1" applyFill="1" applyBorder="1"/>
    <xf numFmtId="0" fontId="8" fillId="62" borderId="127" xfId="0" applyFont="1" applyFill="1" applyBorder="1"/>
    <xf numFmtId="0" fontId="8" fillId="95" borderId="48" xfId="0" applyFont="1" applyFill="1" applyBorder="1"/>
    <xf numFmtId="0" fontId="8" fillId="55" borderId="48" xfId="0" applyFont="1" applyFill="1" applyBorder="1"/>
    <xf numFmtId="0" fontId="8" fillId="62" borderId="48" xfId="0" applyFont="1" applyFill="1" applyBorder="1"/>
    <xf numFmtId="0" fontId="2" fillId="0" borderId="73" xfId="2028" applyFont="1" applyFill="1" applyBorder="1" applyAlignment="1">
      <alignment horizontal="center" vertical="center" wrapText="1"/>
    </xf>
    <xf numFmtId="2" fontId="8" fillId="0" borderId="70" xfId="0" applyNumberFormat="1" applyFont="1" applyFill="1" applyBorder="1" applyAlignment="1">
      <alignment vertical="center"/>
    </xf>
    <xf numFmtId="0" fontId="8" fillId="0" borderId="73" xfId="0" applyFont="1" applyFill="1" applyBorder="1" applyAlignment="1">
      <alignment vertical="center"/>
    </xf>
    <xf numFmtId="2" fontId="8" fillId="0" borderId="73" xfId="0" applyNumberFormat="1" applyFont="1" applyFill="1" applyBorder="1" applyAlignment="1">
      <alignment vertical="center"/>
    </xf>
    <xf numFmtId="0" fontId="8" fillId="0" borderId="173" xfId="0" applyFont="1" applyFill="1" applyBorder="1" applyAlignment="1">
      <alignment vertical="center"/>
    </xf>
    <xf numFmtId="173" fontId="8" fillId="0" borderId="69" xfId="0" applyNumberFormat="1" applyFont="1" applyFill="1" applyBorder="1"/>
    <xf numFmtId="0" fontId="8" fillId="0" borderId="73" xfId="0" applyFont="1" applyFill="1" applyBorder="1"/>
    <xf numFmtId="0" fontId="2" fillId="0" borderId="73" xfId="0" applyFont="1" applyFill="1" applyBorder="1"/>
    <xf numFmtId="173" fontId="8" fillId="0" borderId="173" xfId="0" applyNumberFormat="1" applyFont="1" applyFill="1" applyBorder="1"/>
    <xf numFmtId="173" fontId="8" fillId="0" borderId="70" xfId="0" applyNumberFormat="1" applyFont="1" applyFill="1" applyBorder="1"/>
    <xf numFmtId="173" fontId="8" fillId="0" borderId="187" xfId="0" applyNumberFormat="1" applyFont="1" applyFill="1" applyBorder="1"/>
    <xf numFmtId="172" fontId="8" fillId="0" borderId="73" xfId="0" applyNumberFormat="1" applyFont="1" applyFill="1" applyBorder="1"/>
    <xf numFmtId="0" fontId="8" fillId="0" borderId="173" xfId="0" applyFont="1" applyFill="1" applyBorder="1"/>
    <xf numFmtId="173" fontId="8" fillId="0" borderId="153" xfId="0" applyNumberFormat="1" applyFont="1" applyFill="1" applyBorder="1"/>
    <xf numFmtId="0" fontId="8" fillId="0" borderId="69" xfId="0" applyFont="1" applyFill="1" applyBorder="1"/>
    <xf numFmtId="0" fontId="8" fillId="0" borderId="70" xfId="0" applyFont="1" applyFill="1" applyBorder="1"/>
    <xf numFmtId="2" fontId="8" fillId="0" borderId="73" xfId="0" applyNumberFormat="1" applyFont="1" applyFill="1" applyBorder="1"/>
    <xf numFmtId="0" fontId="8" fillId="0" borderId="153" xfId="0" applyFont="1" applyFill="1" applyBorder="1"/>
    <xf numFmtId="2" fontId="8" fillId="0" borderId="153" xfId="0" applyNumberFormat="1" applyFont="1" applyFill="1" applyBorder="1"/>
    <xf numFmtId="172" fontId="8" fillId="0" borderId="153" xfId="0" applyNumberFormat="1" applyFont="1" applyFill="1" applyBorder="1"/>
    <xf numFmtId="0" fontId="8" fillId="95" borderId="73" xfId="0" applyFont="1" applyFill="1" applyBorder="1"/>
    <xf numFmtId="0" fontId="8" fillId="55" borderId="73" xfId="0" applyFont="1" applyFill="1" applyBorder="1"/>
    <xf numFmtId="0" fontId="8" fillId="93" borderId="73" xfId="0" applyFont="1" applyFill="1" applyBorder="1"/>
    <xf numFmtId="0" fontId="2" fillId="0" borderId="127" xfId="2028" applyFont="1" applyFill="1" applyBorder="1" applyAlignment="1">
      <alignment wrapText="1"/>
    </xf>
    <xf numFmtId="0" fontId="159" fillId="0" borderId="184" xfId="0" applyFont="1" applyBorder="1"/>
    <xf numFmtId="0" fontId="159" fillId="0" borderId="0" xfId="0" applyFont="1" applyBorder="1"/>
    <xf numFmtId="2" fontId="142" fillId="62" borderId="171" xfId="0" applyNumberFormat="1" applyFont="1" applyFill="1" applyBorder="1" applyAlignment="1">
      <alignment vertical="center"/>
    </xf>
    <xf numFmtId="0" fontId="2" fillId="0" borderId="171" xfId="0" applyFont="1" applyFill="1" applyBorder="1" applyAlignment="1">
      <alignment horizontal="center" vertical="center" wrapText="1"/>
    </xf>
    <xf numFmtId="167" fontId="8" fillId="0" borderId="184" xfId="2363" applyFont="1" applyFill="1" applyBorder="1" applyAlignment="1">
      <alignment vertical="center"/>
    </xf>
    <xf numFmtId="2" fontId="8" fillId="0" borderId="69" xfId="0" applyNumberFormat="1" applyFont="1" applyFill="1" applyBorder="1" applyAlignment="1">
      <alignment horizontal="right" vertical="center"/>
    </xf>
    <xf numFmtId="0" fontId="8" fillId="0" borderId="73" xfId="0" applyFont="1" applyFill="1" applyBorder="1" applyAlignment="1">
      <alignment horizontal="right" vertical="center"/>
    </xf>
    <xf numFmtId="2" fontId="8" fillId="0" borderId="73" xfId="0" applyNumberFormat="1" applyFont="1" applyFill="1" applyBorder="1" applyAlignment="1">
      <alignment horizontal="right" vertical="center"/>
    </xf>
    <xf numFmtId="0" fontId="159" fillId="0" borderId="153" xfId="0" applyFont="1" applyBorder="1"/>
    <xf numFmtId="2" fontId="142" fillId="93" borderId="73" xfId="0" applyNumberFormat="1" applyFont="1" applyFill="1" applyBorder="1"/>
    <xf numFmtId="0" fontId="159" fillId="0" borderId="127" xfId="0" applyFont="1" applyFill="1" applyBorder="1"/>
    <xf numFmtId="2" fontId="142" fillId="62" borderId="48" xfId="0" applyNumberFormat="1" applyFont="1" applyFill="1" applyBorder="1"/>
    <xf numFmtId="0" fontId="8" fillId="67" borderId="6" xfId="0" applyFont="1" applyFill="1" applyBorder="1" applyAlignment="1">
      <alignment horizontal="center" vertical="center"/>
    </xf>
    <xf numFmtId="0" fontId="8" fillId="67" borderId="32" xfId="0" applyFont="1" applyFill="1" applyBorder="1" applyAlignment="1">
      <alignment vertical="center"/>
    </xf>
    <xf numFmtId="0" fontId="8" fillId="67" borderId="28" xfId="0" applyFont="1" applyFill="1" applyBorder="1" applyAlignment="1">
      <alignment vertical="center"/>
    </xf>
    <xf numFmtId="0" fontId="8" fillId="67" borderId="171" xfId="0" applyFont="1" applyFill="1" applyBorder="1"/>
    <xf numFmtId="173" fontId="8" fillId="67" borderId="171" xfId="0" applyNumberFormat="1" applyFont="1" applyFill="1" applyBorder="1"/>
    <xf numFmtId="4" fontId="8" fillId="67" borderId="171" xfId="0" applyNumberFormat="1" applyFont="1" applyFill="1" applyBorder="1" applyAlignment="1">
      <alignment horizontal="center" vertical="center"/>
    </xf>
    <xf numFmtId="173" fontId="8" fillId="67" borderId="171" xfId="0" applyNumberFormat="1" applyFont="1" applyFill="1" applyBorder="1" applyAlignment="1">
      <alignment horizontal="right" vertical="center"/>
    </xf>
    <xf numFmtId="167" fontId="8" fillId="67" borderId="171" xfId="2363" applyFont="1" applyFill="1" applyBorder="1" applyAlignment="1">
      <alignment vertical="center"/>
    </xf>
    <xf numFmtId="0" fontId="8" fillId="67" borderId="171" xfId="0" applyFont="1" applyFill="1" applyBorder="1" applyAlignment="1">
      <alignment vertical="center"/>
    </xf>
    <xf numFmtId="2" fontId="8" fillId="67" borderId="171" xfId="0" applyNumberFormat="1" applyFont="1" applyFill="1" applyBorder="1" applyAlignment="1">
      <alignment vertical="center"/>
    </xf>
    <xf numFmtId="0" fontId="8" fillId="67" borderId="171" xfId="0" applyFont="1" applyFill="1" applyBorder="1" applyAlignment="1">
      <alignment horizontal="center"/>
    </xf>
    <xf numFmtId="173" fontId="8" fillId="67" borderId="171" xfId="0" applyNumberFormat="1" applyFont="1" applyFill="1" applyBorder="1" applyAlignment="1">
      <alignment vertical="center"/>
    </xf>
    <xf numFmtId="2" fontId="8" fillId="67" borderId="171" xfId="0" applyNumberFormat="1" applyFont="1" applyFill="1" applyBorder="1"/>
    <xf numFmtId="167" fontId="8" fillId="67" borderId="171" xfId="2363" applyFont="1" applyFill="1" applyBorder="1" applyAlignment="1">
      <alignment horizontal="right" vertical="center"/>
    </xf>
    <xf numFmtId="0" fontId="8" fillId="67" borderId="73" xfId="0" applyFont="1" applyFill="1" applyBorder="1"/>
    <xf numFmtId="0" fontId="197" fillId="0" borderId="171" xfId="2028" applyFont="1" applyFill="1" applyBorder="1" applyAlignment="1">
      <alignment horizontal="center" vertical="center" wrapText="1"/>
    </xf>
    <xf numFmtId="0" fontId="8" fillId="0" borderId="171" xfId="2028" applyFont="1" applyFill="1" applyBorder="1" applyAlignment="1">
      <alignment horizontal="center" vertical="center" wrapText="1"/>
    </xf>
    <xf numFmtId="0" fontId="8" fillId="86" borderId="171" xfId="0" applyFont="1" applyFill="1" applyBorder="1"/>
    <xf numFmtId="171" fontId="8" fillId="86" borderId="183" xfId="2363" applyNumberFormat="1" applyFont="1" applyFill="1" applyBorder="1"/>
    <xf numFmtId="171" fontId="8" fillId="86" borderId="171" xfId="2363" applyNumberFormat="1" applyFont="1" applyFill="1" applyBorder="1"/>
    <xf numFmtId="214" fontId="8" fillId="86" borderId="171" xfId="0" applyNumberFormat="1" applyFont="1" applyFill="1" applyBorder="1"/>
    <xf numFmtId="0" fontId="136" fillId="0" borderId="0" xfId="0" applyFont="1" applyAlignment="1">
      <alignment horizontal="center" vertical="center"/>
    </xf>
    <xf numFmtId="2" fontId="8" fillId="0" borderId="183" xfId="2363" applyNumberFormat="1" applyFont="1" applyFill="1" applyBorder="1" applyAlignment="1">
      <alignment horizontal="center" vertical="center"/>
    </xf>
    <xf numFmtId="2" fontId="8" fillId="0" borderId="171" xfId="2363" applyNumberFormat="1" applyFont="1" applyFill="1" applyBorder="1" applyAlignment="1">
      <alignment horizontal="center" vertical="center"/>
    </xf>
    <xf numFmtId="173" fontId="8" fillId="0" borderId="171" xfId="0" applyNumberFormat="1" applyFont="1" applyFill="1" applyBorder="1" applyAlignment="1">
      <alignment horizontal="center"/>
    </xf>
    <xf numFmtId="173" fontId="8" fillId="67" borderId="171" xfId="0" applyNumberFormat="1" applyFont="1" applyFill="1" applyBorder="1" applyAlignment="1">
      <alignment horizontal="center"/>
    </xf>
    <xf numFmtId="1" fontId="8" fillId="0" borderId="171" xfId="0" applyNumberFormat="1" applyFont="1" applyFill="1" applyBorder="1" applyAlignment="1">
      <alignment horizontal="center" vertical="center"/>
    </xf>
    <xf numFmtId="224" fontId="8" fillId="0" borderId="172" xfId="0" applyNumberFormat="1" applyFont="1" applyFill="1" applyBorder="1" applyAlignment="1">
      <alignment vertical="center"/>
    </xf>
    <xf numFmtId="0" fontId="2" fillId="55" borderId="171" xfId="2028" applyFont="1" applyFill="1" applyBorder="1" applyAlignment="1">
      <alignment horizontal="center" vertical="center" wrapText="1"/>
    </xf>
    <xf numFmtId="2" fontId="8" fillId="88" borderId="171" xfId="0" applyNumberFormat="1" applyFont="1" applyFill="1" applyBorder="1" applyAlignment="1">
      <alignment vertical="center"/>
    </xf>
    <xf numFmtId="0" fontId="145" fillId="55" borderId="171" xfId="2028" applyFont="1" applyFill="1" applyBorder="1" applyAlignment="1">
      <alignment horizontal="center" vertical="center" wrapText="1"/>
    </xf>
    <xf numFmtId="0" fontId="2" fillId="55" borderId="165" xfId="2028" applyFont="1" applyFill="1" applyBorder="1" applyAlignment="1">
      <alignment horizontal="center" vertical="center" wrapText="1"/>
    </xf>
    <xf numFmtId="2" fontId="8" fillId="0" borderId="183" xfId="0" applyNumberFormat="1" applyFont="1" applyFill="1" applyBorder="1" applyAlignment="1">
      <alignment horizontal="center"/>
    </xf>
    <xf numFmtId="167" fontId="209" fillId="55" borderId="171" xfId="2363" applyFont="1" applyFill="1" applyBorder="1" applyAlignment="1">
      <alignment horizontal="center" vertical="center" wrapText="1"/>
    </xf>
    <xf numFmtId="0" fontId="209" fillId="55" borderId="171" xfId="2028" applyFont="1" applyFill="1" applyBorder="1" applyAlignment="1">
      <alignment horizontal="center" vertical="center" wrapText="1"/>
    </xf>
    <xf numFmtId="4" fontId="8" fillId="88" borderId="171" xfId="0" applyNumberFormat="1" applyFont="1" applyFill="1" applyBorder="1"/>
    <xf numFmtId="4" fontId="8" fillId="67" borderId="171" xfId="0" applyNumberFormat="1" applyFont="1" applyFill="1" applyBorder="1"/>
    <xf numFmtId="173" fontId="8" fillId="88" borderId="171" xfId="0" applyNumberFormat="1" applyFont="1" applyFill="1" applyBorder="1"/>
    <xf numFmtId="0" fontId="2" fillId="55" borderId="73" xfId="2028" applyFont="1" applyFill="1" applyBorder="1" applyAlignment="1">
      <alignment horizontal="center" vertical="center" wrapText="1"/>
    </xf>
    <xf numFmtId="0" fontId="2" fillId="55" borderId="187" xfId="2028" applyFont="1" applyFill="1" applyBorder="1" applyAlignment="1">
      <alignment horizontal="center" vertical="center" wrapText="1"/>
    </xf>
    <xf numFmtId="0" fontId="191" fillId="55" borderId="171" xfId="0" applyFont="1" applyFill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67" fontId="8" fillId="0" borderId="171" xfId="2363" applyNumberFormat="1" applyFont="1" applyFill="1" applyBorder="1" applyAlignment="1">
      <alignment vertical="center"/>
    </xf>
    <xf numFmtId="171" fontId="8" fillId="0" borderId="183" xfId="2363" applyNumberFormat="1" applyFont="1" applyFill="1" applyBorder="1" applyAlignment="1">
      <alignment vertical="center"/>
    </xf>
    <xf numFmtId="167" fontId="8" fillId="88" borderId="171" xfId="0" applyNumberFormat="1" applyFont="1" applyFill="1" applyBorder="1" applyAlignment="1">
      <alignment vertical="center"/>
    </xf>
    <xf numFmtId="43" fontId="8" fillId="88" borderId="171" xfId="0" applyNumberFormat="1" applyFont="1" applyFill="1" applyBorder="1" applyAlignment="1">
      <alignment vertical="center"/>
    </xf>
    <xf numFmtId="0" fontId="191" fillId="55" borderId="171" xfId="0" applyFont="1" applyFill="1" applyBorder="1" applyAlignment="1">
      <alignment horizontal="center"/>
    </xf>
    <xf numFmtId="0" fontId="2" fillId="58" borderId="163" xfId="2028" applyFont="1" applyFill="1" applyBorder="1" applyAlignment="1">
      <alignment horizontal="center" vertical="center" wrapText="1"/>
    </xf>
    <xf numFmtId="224" fontId="8" fillId="0" borderId="0" xfId="0" applyNumberFormat="1" applyFont="1" applyFill="1"/>
    <xf numFmtId="0" fontId="197" fillId="0" borderId="0" xfId="2028" applyFont="1" applyFill="1"/>
    <xf numFmtId="2" fontId="8" fillId="0" borderId="179" xfId="0" applyNumberFormat="1" applyFont="1" applyFill="1" applyBorder="1" applyAlignment="1">
      <alignment horizontal="right" vertical="center"/>
    </xf>
    <xf numFmtId="2" fontId="8" fillId="0" borderId="180" xfId="0" applyNumberFormat="1" applyFont="1" applyFill="1" applyBorder="1" applyAlignment="1">
      <alignment horizontal="right" vertical="center"/>
    </xf>
    <xf numFmtId="2" fontId="8" fillId="0" borderId="179" xfId="0" applyNumberFormat="1" applyFont="1" applyFill="1" applyBorder="1" applyAlignment="1">
      <alignment vertical="center"/>
    </xf>
    <xf numFmtId="2" fontId="8" fillId="0" borderId="180" xfId="0" applyNumberFormat="1" applyFont="1" applyFill="1" applyBorder="1" applyAlignment="1">
      <alignment vertical="center"/>
    </xf>
    <xf numFmtId="2" fontId="8" fillId="0" borderId="179" xfId="0" applyNumberFormat="1" applyFont="1" applyFill="1" applyBorder="1" applyAlignment="1">
      <alignment horizontal="right" vertical="center" wrapText="1"/>
    </xf>
    <xf numFmtId="2" fontId="8" fillId="0" borderId="180" xfId="0" applyNumberFormat="1" applyFont="1" applyFill="1" applyBorder="1" applyAlignment="1">
      <alignment horizontal="right" vertical="center" wrapText="1"/>
    </xf>
    <xf numFmtId="2" fontId="8" fillId="0" borderId="65" xfId="2363" applyNumberFormat="1" applyFont="1" applyFill="1" applyBorder="1" applyAlignment="1">
      <alignment horizontal="right" vertical="center"/>
    </xf>
    <xf numFmtId="2" fontId="8" fillId="0" borderId="48" xfId="2363" applyNumberFormat="1" applyFont="1" applyFill="1" applyBorder="1" applyAlignment="1">
      <alignment horizontal="right" vertical="center"/>
    </xf>
    <xf numFmtId="2" fontId="8" fillId="0" borderId="65" xfId="0" applyNumberFormat="1" applyFont="1" applyFill="1" applyBorder="1" applyAlignment="1">
      <alignment horizontal="right" vertical="center"/>
    </xf>
    <xf numFmtId="2" fontId="8" fillId="0" borderId="48" xfId="0" applyNumberFormat="1" applyFont="1" applyFill="1" applyBorder="1" applyAlignment="1">
      <alignment horizontal="right" vertical="center"/>
    </xf>
    <xf numFmtId="2" fontId="8" fillId="0" borderId="79" xfId="0" applyNumberFormat="1" applyFont="1" applyFill="1" applyBorder="1" applyAlignment="1">
      <alignment horizontal="right" vertical="center"/>
    </xf>
    <xf numFmtId="2" fontId="8" fillId="0" borderId="1" xfId="0" applyNumberFormat="1" applyFont="1" applyFill="1" applyBorder="1" applyAlignment="1">
      <alignment horizontal="right" vertical="center"/>
    </xf>
    <xf numFmtId="2" fontId="8" fillId="0" borderId="79" xfId="2363" applyNumberFormat="1" applyFont="1" applyFill="1" applyBorder="1" applyAlignment="1">
      <alignment horizontal="right" vertical="center"/>
    </xf>
    <xf numFmtId="2" fontId="8" fillId="0" borderId="65" xfId="0" applyNumberFormat="1" applyFont="1" applyFill="1" applyBorder="1" applyAlignment="1">
      <alignment vertical="center"/>
    </xf>
    <xf numFmtId="2" fontId="8" fillId="0" borderId="48" xfId="0" applyNumberFormat="1" applyFont="1" applyFill="1" applyBorder="1" applyAlignment="1">
      <alignment vertical="center"/>
    </xf>
    <xf numFmtId="0" fontId="197" fillId="0" borderId="6" xfId="2028" applyFont="1" applyFill="1" applyBorder="1" applyAlignment="1">
      <alignment vertical="center"/>
    </xf>
    <xf numFmtId="0" fontId="197" fillId="0" borderId="6" xfId="0" applyFont="1" applyFill="1" applyBorder="1" applyAlignment="1">
      <alignment vertical="center"/>
    </xf>
    <xf numFmtId="211" fontId="2" fillId="0" borderId="0" xfId="0" applyNumberFormat="1" applyFont="1" applyFill="1"/>
    <xf numFmtId="2" fontId="139" fillId="0" borderId="164" xfId="0" applyNumberFormat="1" applyFont="1" applyFill="1" applyBorder="1" applyAlignment="1">
      <alignment vertical="center"/>
    </xf>
    <xf numFmtId="2" fontId="139" fillId="0" borderId="168" xfId="0" applyNumberFormat="1" applyFont="1" applyFill="1" applyBorder="1" applyAlignment="1">
      <alignment vertical="center"/>
    </xf>
    <xf numFmtId="0" fontId="2" fillId="58" borderId="168" xfId="2028" applyFont="1" applyFill="1" applyBorder="1" applyAlignment="1">
      <alignment horizontal="center" vertical="center" wrapText="1"/>
    </xf>
    <xf numFmtId="0" fontId="2" fillId="58" borderId="171" xfId="2028" applyFont="1" applyFill="1" applyBorder="1" applyAlignment="1">
      <alignment horizontal="center" vertical="center" wrapText="1"/>
    </xf>
    <xf numFmtId="2" fontId="204" fillId="0" borderId="171" xfId="0" applyNumberFormat="1" applyFont="1" applyFill="1" applyBorder="1" applyAlignment="1">
      <alignment horizontal="right" vertical="center"/>
    </xf>
    <xf numFmtId="2" fontId="139" fillId="0" borderId="171" xfId="0" applyNumberFormat="1" applyFont="1" applyFill="1" applyBorder="1" applyAlignment="1">
      <alignment horizontal="right" vertical="center"/>
    </xf>
    <xf numFmtId="2" fontId="194" fillId="0" borderId="184" xfId="0" applyNumberFormat="1" applyFont="1" applyFill="1" applyBorder="1" applyAlignment="1">
      <alignment vertical="center"/>
    </xf>
    <xf numFmtId="2" fontId="194" fillId="0" borderId="171" xfId="0" applyNumberFormat="1" applyFont="1" applyFill="1" applyBorder="1" applyAlignment="1">
      <alignment horizontal="right" vertical="center"/>
    </xf>
    <xf numFmtId="2" fontId="191" fillId="0" borderId="172" xfId="0" applyNumberFormat="1" applyFont="1" applyFill="1" applyBorder="1" applyAlignment="1">
      <alignment horizontal="right" vertical="center"/>
    </xf>
    <xf numFmtId="2" fontId="210" fillId="0" borderId="179" xfId="0" applyNumberFormat="1" applyFont="1" applyFill="1" applyBorder="1" applyAlignment="1">
      <alignment horizontal="right" vertical="center"/>
    </xf>
    <xf numFmtId="2" fontId="210" fillId="0" borderId="180" xfId="0" applyNumberFormat="1" applyFont="1" applyFill="1" applyBorder="1" applyAlignment="1">
      <alignment horizontal="right" vertical="center"/>
    </xf>
    <xf numFmtId="2" fontId="210" fillId="0" borderId="171" xfId="0" applyNumberFormat="1" applyFont="1" applyFill="1" applyBorder="1" applyAlignment="1">
      <alignment horizontal="right" vertical="center"/>
    </xf>
    <xf numFmtId="2" fontId="210" fillId="0" borderId="172" xfId="0" applyNumberFormat="1" applyFont="1" applyFill="1" applyBorder="1" applyAlignment="1">
      <alignment horizontal="right" vertical="center"/>
    </xf>
    <xf numFmtId="2" fontId="191" fillId="0" borderId="171" xfId="0" applyNumberFormat="1" applyFont="1" applyFill="1" applyBorder="1" applyAlignment="1">
      <alignment vertical="center"/>
    </xf>
    <xf numFmtId="2" fontId="194" fillId="0" borderId="171" xfId="0" applyNumberFormat="1" applyFont="1" applyFill="1" applyBorder="1" applyAlignment="1">
      <alignment vertical="center"/>
    </xf>
    <xf numFmtId="223" fontId="8" fillId="0" borderId="171" xfId="0" applyNumberFormat="1" applyFont="1" applyFill="1" applyBorder="1" applyAlignment="1">
      <alignment vertical="center"/>
    </xf>
    <xf numFmtId="0" fontId="139" fillId="0" borderId="171" xfId="0" applyFont="1" applyFill="1" applyBorder="1" applyAlignment="1">
      <alignment vertical="center"/>
    </xf>
    <xf numFmtId="173" fontId="139" fillId="0" borderId="172" xfId="0" applyNumberFormat="1" applyFont="1" applyFill="1" applyBorder="1" applyAlignment="1">
      <alignment vertical="center"/>
    </xf>
    <xf numFmtId="2" fontId="8" fillId="0" borderId="169" xfId="0" applyNumberFormat="1" applyFont="1" applyFill="1" applyBorder="1" applyAlignment="1">
      <alignment horizontal="right" vertical="center"/>
    </xf>
    <xf numFmtId="0" fontId="8" fillId="0" borderId="168" xfId="0" applyFont="1" applyFill="1" applyBorder="1" applyAlignment="1">
      <alignment vertical="center"/>
    </xf>
    <xf numFmtId="173" fontId="8" fillId="0" borderId="169" xfId="0" applyNumberFormat="1" applyFont="1" applyFill="1" applyBorder="1" applyAlignment="1">
      <alignment vertical="center"/>
    </xf>
    <xf numFmtId="173" fontId="8" fillId="0" borderId="163" xfId="0" applyNumberFormat="1" applyFont="1" applyFill="1" applyBorder="1" applyAlignment="1">
      <alignment vertical="center"/>
    </xf>
    <xf numFmtId="0" fontId="8" fillId="0" borderId="169" xfId="0" applyFont="1" applyFill="1" applyBorder="1" applyAlignment="1">
      <alignment vertical="center"/>
    </xf>
    <xf numFmtId="173" fontId="8" fillId="0" borderId="182" xfId="0" applyNumberFormat="1" applyFont="1" applyFill="1" applyBorder="1" applyAlignment="1">
      <alignment vertical="center"/>
    </xf>
    <xf numFmtId="0" fontId="8" fillId="0" borderId="167" xfId="0" applyFont="1" applyFill="1" applyBorder="1" applyAlignment="1">
      <alignment vertical="center"/>
    </xf>
    <xf numFmtId="0" fontId="8" fillId="67" borderId="168" xfId="0" applyFont="1" applyFill="1" applyBorder="1" applyAlignment="1">
      <alignment vertical="center"/>
    </xf>
    <xf numFmtId="0" fontId="8" fillId="0" borderId="127" xfId="0" applyFont="1" applyFill="1" applyBorder="1" applyAlignment="1">
      <alignment vertical="center"/>
    </xf>
    <xf numFmtId="2" fontId="142" fillId="0" borderId="168" xfId="0" applyNumberFormat="1" applyFont="1" applyFill="1" applyBorder="1" applyAlignment="1">
      <alignment vertical="center"/>
    </xf>
    <xf numFmtId="0" fontId="8" fillId="88" borderId="168" xfId="0" applyFont="1" applyFill="1" applyBorder="1" applyAlignment="1">
      <alignment vertical="center"/>
    </xf>
    <xf numFmtId="167" fontId="8" fillId="0" borderId="168" xfId="2363" applyFont="1" applyFill="1" applyBorder="1" applyAlignment="1">
      <alignment vertical="center"/>
    </xf>
    <xf numFmtId="2" fontId="8" fillId="0" borderId="184" xfId="2363" applyNumberFormat="1" applyFont="1" applyFill="1" applyBorder="1" applyAlignment="1">
      <alignment vertical="center"/>
    </xf>
    <xf numFmtId="2" fontId="8" fillId="0" borderId="0" xfId="2363" applyNumberFormat="1" applyFont="1" applyFill="1" applyBorder="1" applyAlignment="1">
      <alignment vertical="center"/>
    </xf>
    <xf numFmtId="2" fontId="8" fillId="0" borderId="0" xfId="2363" applyNumberFormat="1" applyFont="1" applyFill="1" applyAlignment="1">
      <alignment vertical="center"/>
    </xf>
    <xf numFmtId="173" fontId="139" fillId="63" borderId="171" xfId="0" applyNumberFormat="1" applyFont="1" applyFill="1" applyBorder="1" applyAlignment="1">
      <alignment vertical="center"/>
    </xf>
    <xf numFmtId="173" fontId="139" fillId="0" borderId="183" xfId="0" applyNumberFormat="1" applyFont="1" applyFill="1" applyBorder="1" applyAlignment="1">
      <alignment horizontal="right" vertical="center"/>
    </xf>
    <xf numFmtId="173" fontId="139" fillId="0" borderId="171" xfId="2363" applyNumberFormat="1" applyFont="1" applyFill="1" applyBorder="1" applyAlignment="1">
      <alignment horizontal="right" vertical="center"/>
    </xf>
    <xf numFmtId="173" fontId="139" fillId="0" borderId="170" xfId="0" applyNumberFormat="1" applyFont="1" applyFill="1" applyBorder="1" applyAlignment="1">
      <alignment horizontal="right" vertical="center"/>
    </xf>
    <xf numFmtId="173" fontId="139" fillId="0" borderId="171" xfId="0" applyNumberFormat="1" applyFont="1" applyFill="1" applyBorder="1" applyAlignment="1">
      <alignment horizontal="right" vertical="center"/>
    </xf>
    <xf numFmtId="173" fontId="139" fillId="63" borderId="171" xfId="0" applyNumberFormat="1" applyFont="1" applyFill="1" applyBorder="1" applyAlignment="1">
      <alignment horizontal="right" vertical="center"/>
    </xf>
    <xf numFmtId="173" fontId="8" fillId="63" borderId="172" xfId="0" applyNumberFormat="1" applyFont="1" applyFill="1" applyBorder="1" applyAlignment="1">
      <alignment vertical="center"/>
    </xf>
    <xf numFmtId="173" fontId="139" fillId="63" borderId="183" xfId="0" applyNumberFormat="1" applyFont="1" applyFill="1" applyBorder="1" applyAlignment="1">
      <alignment horizontal="right" vertical="center"/>
    </xf>
    <xf numFmtId="173" fontId="139" fillId="63" borderId="171" xfId="2363" applyNumberFormat="1" applyFont="1" applyFill="1" applyBorder="1" applyAlignment="1">
      <alignment horizontal="right" vertical="center"/>
    </xf>
    <xf numFmtId="171" fontId="139" fillId="63" borderId="170" xfId="2363" applyNumberFormat="1" applyFont="1" applyFill="1" applyBorder="1" applyAlignment="1">
      <alignment horizontal="right" vertical="center"/>
    </xf>
    <xf numFmtId="171" fontId="139" fillId="63" borderId="171" xfId="2363" applyNumberFormat="1" applyFont="1" applyFill="1" applyBorder="1" applyAlignment="1">
      <alignment horizontal="right" vertical="center"/>
    </xf>
    <xf numFmtId="171" fontId="139" fillId="63" borderId="171" xfId="2363" applyNumberFormat="1" applyFont="1" applyFill="1" applyBorder="1" applyAlignment="1">
      <alignment horizontal="center" vertical="center"/>
    </xf>
    <xf numFmtId="173" fontId="139" fillId="95" borderId="183" xfId="0" applyNumberFormat="1" applyFont="1" applyFill="1" applyBorder="1" applyAlignment="1">
      <alignment horizontal="right" vertical="center"/>
    </xf>
    <xf numFmtId="173" fontId="139" fillId="95" borderId="171" xfId="2363" applyNumberFormat="1" applyFont="1" applyFill="1" applyBorder="1" applyAlignment="1">
      <alignment horizontal="right" vertical="center"/>
    </xf>
    <xf numFmtId="173" fontId="139" fillId="95" borderId="171" xfId="0" applyNumberFormat="1" applyFont="1" applyFill="1" applyBorder="1" applyAlignment="1">
      <alignment horizontal="right" vertical="center"/>
    </xf>
    <xf numFmtId="173" fontId="139" fillId="63" borderId="170" xfId="0" applyNumberFormat="1" applyFont="1" applyFill="1" applyBorder="1" applyAlignment="1">
      <alignment vertical="center"/>
    </xf>
    <xf numFmtId="173" fontId="139" fillId="63" borderId="183" xfId="0" applyNumberFormat="1" applyFont="1" applyFill="1" applyBorder="1" applyAlignment="1">
      <alignment vertical="center"/>
    </xf>
    <xf numFmtId="0" fontId="2" fillId="63" borderId="171" xfId="2028" applyFont="1" applyFill="1" applyBorder="1" applyAlignment="1">
      <alignment horizontal="center" vertical="center" wrapText="1"/>
    </xf>
    <xf numFmtId="173" fontId="139" fillId="63" borderId="167" xfId="0" applyNumberFormat="1" applyFont="1" applyFill="1" applyBorder="1" applyAlignment="1">
      <alignment vertical="center"/>
    </xf>
    <xf numFmtId="173" fontId="139" fillId="0" borderId="165" xfId="0" applyNumberFormat="1" applyFont="1" applyFill="1" applyBorder="1" applyAlignment="1">
      <alignment vertical="center"/>
    </xf>
    <xf numFmtId="0" fontId="139" fillId="0" borderId="168" xfId="0" applyFont="1" applyFill="1" applyBorder="1" applyAlignment="1">
      <alignment vertical="center"/>
    </xf>
    <xf numFmtId="2" fontId="139" fillId="0" borderId="65" xfId="0" applyNumberFormat="1" applyFont="1" applyFill="1" applyBorder="1" applyAlignment="1">
      <alignment horizontal="right" vertical="center"/>
    </xf>
    <xf numFmtId="2" fontId="139" fillId="0" borderId="170" xfId="2363" applyNumberFormat="1" applyFont="1" applyFill="1" applyBorder="1" applyAlignment="1">
      <alignment horizontal="right" vertical="center"/>
    </xf>
    <xf numFmtId="2" fontId="139" fillId="0" borderId="179" xfId="2363" applyNumberFormat="1" applyFont="1" applyFill="1" applyBorder="1" applyAlignment="1">
      <alignment horizontal="right" vertical="center"/>
    </xf>
    <xf numFmtId="2" fontId="139" fillId="0" borderId="48" xfId="0" applyNumberFormat="1" applyFont="1" applyFill="1" applyBorder="1" applyAlignment="1">
      <alignment horizontal="right" vertical="center"/>
    </xf>
    <xf numFmtId="2" fontId="139" fillId="0" borderId="180" xfId="0" applyNumberFormat="1" applyFont="1" applyFill="1" applyBorder="1" applyAlignment="1">
      <alignment horizontal="right" vertical="center"/>
    </xf>
    <xf numFmtId="2" fontId="139" fillId="0" borderId="171" xfId="2363" applyNumberFormat="1" applyFont="1" applyFill="1" applyBorder="1" applyAlignment="1">
      <alignment horizontal="right" vertical="center"/>
    </xf>
    <xf numFmtId="2" fontId="139" fillId="0" borderId="183" xfId="0" applyNumberFormat="1" applyFont="1" applyFill="1" applyBorder="1" applyAlignment="1">
      <alignment horizontal="right" vertical="center"/>
    </xf>
    <xf numFmtId="2" fontId="139" fillId="0" borderId="171" xfId="0" applyNumberFormat="1" applyFont="1" applyFill="1" applyBorder="1"/>
    <xf numFmtId="2" fontId="139" fillId="0" borderId="170" xfId="0" applyNumberFormat="1" applyFont="1" applyFill="1" applyBorder="1"/>
    <xf numFmtId="173" fontId="139" fillId="0" borderId="172" xfId="0" applyNumberFormat="1" applyFont="1" applyFill="1" applyBorder="1"/>
    <xf numFmtId="2" fontId="139" fillId="0" borderId="183" xfId="0" applyNumberFormat="1" applyFont="1" applyFill="1" applyBorder="1"/>
    <xf numFmtId="173" fontId="139" fillId="0" borderId="165" xfId="0" applyNumberFormat="1" applyFont="1" applyFill="1" applyBorder="1"/>
    <xf numFmtId="2" fontId="139" fillId="0" borderId="171" xfId="2363" applyNumberFormat="1" applyFont="1" applyFill="1" applyBorder="1"/>
    <xf numFmtId="2" fontId="139" fillId="0" borderId="170" xfId="2363" applyNumberFormat="1" applyFont="1" applyFill="1" applyBorder="1"/>
    <xf numFmtId="2" fontId="139" fillId="0" borderId="183" xfId="2363" applyNumberFormat="1" applyFont="1" applyFill="1" applyBorder="1"/>
    <xf numFmtId="2" fontId="139" fillId="0" borderId="172" xfId="2363" applyNumberFormat="1" applyFont="1" applyFill="1" applyBorder="1" applyAlignment="1">
      <alignment horizontal="right"/>
    </xf>
    <xf numFmtId="2" fontId="139" fillId="0" borderId="171" xfId="2363" applyNumberFormat="1" applyFont="1" applyFill="1" applyBorder="1" applyAlignment="1">
      <alignment horizontal="right"/>
    </xf>
    <xf numFmtId="173" fontId="139" fillId="0" borderId="170" xfId="0" applyNumberFormat="1" applyFont="1" applyFill="1" applyBorder="1"/>
    <xf numFmtId="0" fontId="139" fillId="0" borderId="171" xfId="0" applyFont="1" applyFill="1" applyBorder="1"/>
    <xf numFmtId="0" fontId="139" fillId="0" borderId="172" xfId="0" applyFont="1" applyFill="1" applyBorder="1"/>
    <xf numFmtId="173" fontId="139" fillId="0" borderId="184" xfId="0" applyNumberFormat="1" applyFont="1" applyFill="1" applyBorder="1"/>
    <xf numFmtId="0" fontId="139" fillId="0" borderId="170" xfId="0" applyFont="1" applyFill="1" applyBorder="1"/>
    <xf numFmtId="167" fontId="139" fillId="0" borderId="171" xfId="2363" applyFont="1" applyFill="1" applyBorder="1"/>
    <xf numFmtId="2" fontId="2" fillId="95" borderId="171" xfId="2028" applyNumberFormat="1" applyFont="1" applyFill="1" applyBorder="1" applyAlignment="1">
      <alignment horizontal="center" vertical="center" wrapText="1"/>
    </xf>
    <xf numFmtId="2" fontId="2" fillId="95" borderId="171" xfId="2363" applyNumberFormat="1" applyFont="1" applyFill="1" applyBorder="1" applyAlignment="1">
      <alignment horizontal="center" vertical="center" wrapText="1"/>
    </xf>
    <xf numFmtId="0" fontId="2" fillId="95" borderId="171" xfId="2028" applyFont="1" applyFill="1" applyBorder="1" applyAlignment="1">
      <alignment horizontal="center" vertical="center" wrapText="1"/>
    </xf>
    <xf numFmtId="2" fontId="139" fillId="0" borderId="170" xfId="0" applyNumberFormat="1" applyFont="1" applyFill="1" applyBorder="1" applyAlignment="1">
      <alignment horizontal="right" vertical="center"/>
    </xf>
    <xf numFmtId="2" fontId="139" fillId="0" borderId="172" xfId="0" applyNumberFormat="1" applyFont="1" applyFill="1" applyBorder="1" applyAlignment="1">
      <alignment horizontal="right" vertical="center"/>
    </xf>
    <xf numFmtId="167" fontId="139" fillId="0" borderId="171" xfId="2363" applyFont="1" applyFill="1" applyBorder="1" applyAlignment="1">
      <alignment vertical="center"/>
    </xf>
    <xf numFmtId="167" fontId="139" fillId="0" borderId="170" xfId="2363" applyFont="1" applyFill="1" applyBorder="1" applyAlignment="1">
      <alignment vertical="center"/>
    </xf>
    <xf numFmtId="167" fontId="139" fillId="0" borderId="172" xfId="2363" applyFont="1" applyFill="1" applyBorder="1" applyAlignment="1">
      <alignment vertical="center"/>
    </xf>
    <xf numFmtId="0" fontId="139" fillId="0" borderId="171" xfId="0" applyFont="1" applyFill="1" applyBorder="1" applyAlignment="1">
      <alignment horizontal="right" vertical="center"/>
    </xf>
    <xf numFmtId="173" fontId="139" fillId="0" borderId="172" xfId="0" applyNumberFormat="1" applyFont="1" applyFill="1" applyBorder="1" applyAlignment="1">
      <alignment horizontal="right" vertical="center"/>
    </xf>
    <xf numFmtId="173" fontId="139" fillId="0" borderId="165" xfId="0" applyNumberFormat="1" applyFont="1" applyFill="1" applyBorder="1" applyAlignment="1">
      <alignment horizontal="right" vertical="center"/>
    </xf>
    <xf numFmtId="0" fontId="2" fillId="95" borderId="165" xfId="2028" applyFont="1" applyFill="1" applyBorder="1" applyAlignment="1">
      <alignment horizontal="center" vertical="center" wrapText="1"/>
    </xf>
    <xf numFmtId="0" fontId="146" fillId="95" borderId="165" xfId="2028" applyFont="1" applyFill="1" applyBorder="1" applyAlignment="1">
      <alignment horizontal="center" vertical="center" wrapText="1"/>
    </xf>
    <xf numFmtId="2" fontId="139" fillId="0" borderId="171" xfId="0" applyNumberFormat="1" applyFont="1" applyFill="1" applyBorder="1" applyAlignment="1">
      <alignment horizontal="right"/>
    </xf>
    <xf numFmtId="2" fontId="139" fillId="0" borderId="172" xfId="0" applyNumberFormat="1" applyFont="1" applyFill="1" applyBorder="1" applyAlignment="1">
      <alignment horizontal="right"/>
    </xf>
    <xf numFmtId="2" fontId="139" fillId="0" borderId="172" xfId="0" applyNumberFormat="1" applyFont="1" applyFill="1" applyBorder="1"/>
    <xf numFmtId="2" fontId="139" fillId="0" borderId="65" xfId="0" applyNumberFormat="1" applyFont="1" applyFill="1" applyBorder="1" applyAlignment="1">
      <alignment horizontal="right" vertical="center" wrapText="1"/>
    </xf>
    <xf numFmtId="2" fontId="139" fillId="0" borderId="48" xfId="0" applyNumberFormat="1" applyFont="1" applyFill="1" applyBorder="1" applyAlignment="1">
      <alignment horizontal="right" vertical="center" wrapText="1"/>
    </xf>
    <xf numFmtId="2" fontId="139" fillId="0" borderId="171" xfId="0" applyNumberFormat="1" applyFont="1" applyFill="1" applyBorder="1" applyAlignment="1">
      <alignment horizontal="right" vertical="center" wrapText="1"/>
    </xf>
    <xf numFmtId="2" fontId="139" fillId="0" borderId="172" xfId="0" applyNumberFormat="1" applyFont="1" applyFill="1" applyBorder="1" applyAlignment="1">
      <alignment horizontal="right" vertical="center" wrapText="1"/>
    </xf>
    <xf numFmtId="2" fontId="139" fillId="0" borderId="183" xfId="0" applyNumberFormat="1" applyFont="1" applyFill="1" applyBorder="1" applyAlignment="1">
      <alignment horizontal="right" vertical="center" wrapText="1"/>
    </xf>
    <xf numFmtId="2" fontId="139" fillId="0" borderId="179" xfId="0" applyNumberFormat="1" applyFont="1" applyFill="1" applyBorder="1" applyAlignment="1">
      <alignment horizontal="right" vertical="center"/>
    </xf>
    <xf numFmtId="2" fontId="139" fillId="0" borderId="170" xfId="0" applyNumberFormat="1" applyFont="1" applyFill="1" applyBorder="1" applyAlignment="1">
      <alignment vertical="center"/>
    </xf>
    <xf numFmtId="2" fontId="139" fillId="0" borderId="171" xfId="0" applyNumberFormat="1" applyFont="1" applyFill="1" applyBorder="1" applyAlignment="1">
      <alignment vertical="center"/>
    </xf>
    <xf numFmtId="2" fontId="139" fillId="0" borderId="183" xfId="0" applyNumberFormat="1" applyFont="1" applyFill="1" applyBorder="1" applyAlignment="1">
      <alignment vertical="center"/>
    </xf>
    <xf numFmtId="0" fontId="3" fillId="62" borderId="33" xfId="2028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wrapText="1"/>
    </xf>
    <xf numFmtId="167" fontId="2" fillId="0" borderId="6" xfId="2363" applyFont="1" applyFill="1" applyBorder="1" applyAlignment="1">
      <alignment horizontal="center" vertical="center" wrapText="1"/>
    </xf>
    <xf numFmtId="2" fontId="137" fillId="62" borderId="36" xfId="0" applyNumberFormat="1" applyFont="1" applyFill="1" applyBorder="1" applyAlignment="1">
      <alignment horizontal="center"/>
    </xf>
    <xf numFmtId="0" fontId="139" fillId="63" borderId="171" xfId="0" applyFont="1" applyFill="1" applyBorder="1" applyAlignment="1">
      <alignment vertical="center"/>
    </xf>
    <xf numFmtId="173" fontId="139" fillId="63" borderId="170" xfId="2363" applyNumberFormat="1" applyFont="1" applyFill="1" applyBorder="1" applyAlignment="1">
      <alignment vertical="center"/>
    </xf>
    <xf numFmtId="2" fontId="139" fillId="63" borderId="171" xfId="2363" applyNumberFormat="1" applyFont="1" applyFill="1" applyBorder="1" applyAlignment="1">
      <alignment vertical="center"/>
    </xf>
    <xf numFmtId="173" fontId="139" fillId="63" borderId="183" xfId="2363" applyNumberFormat="1" applyFont="1" applyFill="1" applyBorder="1" applyAlignment="1">
      <alignment vertical="center"/>
    </xf>
    <xf numFmtId="0" fontId="139" fillId="63" borderId="170" xfId="0" applyFont="1" applyFill="1" applyBorder="1" applyAlignment="1">
      <alignment vertical="center"/>
    </xf>
    <xf numFmtId="0" fontId="139" fillId="63" borderId="183" xfId="0" applyFont="1" applyFill="1" applyBorder="1" applyAlignment="1">
      <alignment vertical="center"/>
    </xf>
    <xf numFmtId="173" fontId="139" fillId="63" borderId="170" xfId="2363" applyNumberFormat="1" applyFont="1" applyFill="1" applyBorder="1" applyAlignment="1">
      <alignment horizontal="right" vertical="center"/>
    </xf>
    <xf numFmtId="167" fontId="139" fillId="63" borderId="171" xfId="2363" applyFont="1" applyFill="1" applyBorder="1" applyAlignment="1">
      <alignment horizontal="right" vertical="center"/>
    </xf>
    <xf numFmtId="167" fontId="139" fillId="63" borderId="171" xfId="2363" applyFont="1" applyFill="1" applyBorder="1" applyAlignment="1">
      <alignment vertical="center"/>
    </xf>
    <xf numFmtId="173" fontId="139" fillId="63" borderId="170" xfId="2363" applyNumberFormat="1" applyFont="1" applyFill="1" applyBorder="1" applyAlignment="1">
      <alignment horizontal="center" vertical="center"/>
    </xf>
    <xf numFmtId="167" fontId="139" fillId="63" borderId="171" xfId="2363" applyFont="1" applyFill="1" applyBorder="1" applyAlignment="1">
      <alignment horizontal="center" vertical="center"/>
    </xf>
    <xf numFmtId="173" fontId="139" fillId="63" borderId="183" xfId="2363" applyNumberFormat="1" applyFont="1" applyFill="1" applyBorder="1" applyAlignment="1">
      <alignment horizontal="center" vertical="center"/>
    </xf>
    <xf numFmtId="173" fontId="139" fillId="63" borderId="170" xfId="0" applyNumberFormat="1" applyFont="1" applyFill="1" applyBorder="1" applyAlignment="1">
      <alignment horizontal="right" vertical="center"/>
    </xf>
    <xf numFmtId="211" fontId="139" fillId="63" borderId="171" xfId="0" applyNumberFormat="1" applyFont="1" applyFill="1" applyBorder="1" applyAlignment="1">
      <alignment horizontal="right" vertical="center"/>
    </xf>
    <xf numFmtId="0" fontId="139" fillId="63" borderId="171" xfId="0" applyFont="1" applyFill="1" applyBorder="1" applyAlignment="1">
      <alignment horizontal="center" vertical="center"/>
    </xf>
    <xf numFmtId="173" fontId="139" fillId="63" borderId="183" xfId="0" applyNumberFormat="1" applyFont="1" applyFill="1" applyBorder="1" applyAlignment="1">
      <alignment horizontal="center" vertical="center"/>
    </xf>
    <xf numFmtId="173" fontId="139" fillId="63" borderId="171" xfId="0" applyNumberFormat="1" applyFont="1" applyFill="1" applyBorder="1" applyAlignment="1">
      <alignment horizontal="center" vertical="center"/>
    </xf>
    <xf numFmtId="2" fontId="139" fillId="63" borderId="171" xfId="2028" applyNumberFormat="1" applyFont="1" applyFill="1" applyBorder="1" applyAlignment="1">
      <alignment horizontal="center" vertical="center"/>
    </xf>
    <xf numFmtId="2" fontId="139" fillId="63" borderId="171" xfId="0" applyNumberFormat="1" applyFont="1" applyFill="1" applyBorder="1" applyAlignment="1">
      <alignment vertical="center"/>
    </xf>
    <xf numFmtId="2" fontId="139" fillId="63" borderId="170" xfId="0" applyNumberFormat="1" applyFont="1" applyFill="1" applyBorder="1" applyAlignment="1">
      <alignment vertical="center"/>
    </xf>
    <xf numFmtId="2" fontId="139" fillId="63" borderId="183" xfId="0" applyNumberFormat="1" applyFont="1" applyFill="1" applyBorder="1" applyAlignment="1">
      <alignment vertical="center"/>
    </xf>
    <xf numFmtId="0" fontId="8" fillId="63" borderId="171" xfId="0" applyFont="1" applyFill="1" applyBorder="1" applyAlignment="1">
      <alignment vertical="center"/>
    </xf>
    <xf numFmtId="173" fontId="8" fillId="63" borderId="183" xfId="0" applyNumberFormat="1" applyFont="1" applyFill="1" applyBorder="1" applyAlignment="1">
      <alignment vertical="center"/>
    </xf>
    <xf numFmtId="211" fontId="139" fillId="63" borderId="171" xfId="0" applyNumberFormat="1" applyFont="1" applyFill="1" applyBorder="1" applyAlignment="1">
      <alignment vertical="center"/>
    </xf>
    <xf numFmtId="173" fontId="139" fillId="63" borderId="170" xfId="0" applyNumberFormat="1" applyFont="1" applyFill="1" applyBorder="1" applyAlignment="1">
      <alignment horizontal="center" vertical="center"/>
    </xf>
    <xf numFmtId="2" fontId="139" fillId="63" borderId="171" xfId="0" applyNumberFormat="1" applyFont="1" applyFill="1" applyBorder="1" applyAlignment="1">
      <alignment horizontal="center" vertical="center"/>
    </xf>
    <xf numFmtId="171" fontId="139" fillId="63" borderId="170" xfId="2363" applyNumberFormat="1" applyFont="1" applyFill="1" applyBorder="1" applyAlignment="1">
      <alignment horizontal="center" vertical="center"/>
    </xf>
    <xf numFmtId="0" fontId="146" fillId="97" borderId="168" xfId="2028" applyFont="1" applyFill="1" applyBorder="1" applyAlignment="1">
      <alignment horizontal="center" vertical="center" wrapText="1"/>
    </xf>
    <xf numFmtId="0" fontId="146" fillId="97" borderId="171" xfId="2028" applyFont="1" applyFill="1" applyBorder="1" applyAlignment="1">
      <alignment horizontal="center" vertical="center" wrapText="1"/>
    </xf>
    <xf numFmtId="0" fontId="2" fillId="97" borderId="171" xfId="2028" applyFont="1" applyFill="1" applyBorder="1" applyAlignment="1">
      <alignment horizontal="center" vertical="center" wrapText="1"/>
    </xf>
    <xf numFmtId="0" fontId="2" fillId="97" borderId="171" xfId="2028" applyFont="1" applyFill="1" applyBorder="1" applyAlignment="1">
      <alignment vertical="center" wrapText="1"/>
    </xf>
    <xf numFmtId="173" fontId="8" fillId="97" borderId="172" xfId="0" applyNumberFormat="1" applyFont="1" applyFill="1" applyBorder="1" applyAlignment="1">
      <alignment vertical="center"/>
    </xf>
    <xf numFmtId="173" fontId="139" fillId="97" borderId="172" xfId="0" applyNumberFormat="1" applyFont="1" applyFill="1" applyBorder="1" applyAlignment="1">
      <alignment vertical="center"/>
    </xf>
    <xf numFmtId="166" fontId="2" fillId="97" borderId="171" xfId="1751" applyFont="1" applyFill="1" applyBorder="1" applyAlignment="1">
      <alignment horizontal="center" vertical="center" wrapText="1"/>
    </xf>
    <xf numFmtId="173" fontId="8" fillId="97" borderId="172" xfId="0" applyNumberFormat="1" applyFont="1" applyFill="1" applyBorder="1" applyAlignment="1">
      <alignment horizontal="center" vertical="center"/>
    </xf>
    <xf numFmtId="2" fontId="8" fillId="97" borderId="0" xfId="0" applyNumberFormat="1" applyFont="1" applyFill="1"/>
    <xf numFmtId="0" fontId="8" fillId="97" borderId="0" xfId="0" applyFont="1" applyFill="1"/>
    <xf numFmtId="0" fontId="2" fillId="0" borderId="32" xfId="2028" applyFont="1" applyFill="1" applyBorder="1" applyAlignment="1">
      <alignment horizontal="center" vertical="center" wrapText="1"/>
    </xf>
    <xf numFmtId="2" fontId="172" fillId="0" borderId="0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right"/>
    </xf>
    <xf numFmtId="0" fontId="2" fillId="62" borderId="168" xfId="2028" applyFont="1" applyFill="1" applyBorder="1" applyAlignment="1">
      <alignment horizontal="center" vertical="center" wrapText="1"/>
    </xf>
    <xf numFmtId="0" fontId="2" fillId="62" borderId="163" xfId="2028" applyFont="1" applyFill="1" applyBorder="1" applyAlignment="1">
      <alignment horizontal="center" vertical="center" wrapText="1"/>
    </xf>
    <xf numFmtId="0" fontId="2" fillId="62" borderId="171" xfId="2028" applyFont="1" applyFill="1" applyBorder="1" applyAlignment="1">
      <alignment horizontal="center" vertical="center" wrapText="1"/>
    </xf>
    <xf numFmtId="167" fontId="2" fillId="62" borderId="171" xfId="2363" applyFont="1" applyFill="1" applyBorder="1" applyAlignment="1">
      <alignment horizontal="center" vertical="center" wrapText="1"/>
    </xf>
    <xf numFmtId="0" fontId="2" fillId="62" borderId="171" xfId="2028" applyFont="1" applyFill="1" applyBorder="1" applyAlignment="1">
      <alignment vertical="center" wrapText="1"/>
    </xf>
    <xf numFmtId="2" fontId="2" fillId="62" borderId="171" xfId="2028" applyNumberFormat="1" applyFont="1" applyFill="1" applyBorder="1" applyAlignment="1">
      <alignment horizontal="center" vertical="center" wrapText="1"/>
    </xf>
    <xf numFmtId="0" fontId="2" fillId="62" borderId="165" xfId="2028" applyFont="1" applyFill="1" applyBorder="1" applyAlignment="1">
      <alignment horizontal="center" vertical="center" wrapText="1"/>
    </xf>
    <xf numFmtId="2" fontId="2" fillId="62" borderId="171" xfId="2363" applyNumberFormat="1" applyFont="1" applyFill="1" applyBorder="1" applyAlignment="1">
      <alignment horizontal="center" vertical="center" wrapText="1"/>
    </xf>
    <xf numFmtId="0" fontId="2" fillId="62" borderId="184" xfId="0" applyFont="1" applyFill="1" applyBorder="1" applyAlignment="1">
      <alignment horizontal="center" wrapText="1"/>
    </xf>
    <xf numFmtId="166" fontId="2" fillId="62" borderId="171" xfId="1751" applyFont="1" applyFill="1" applyBorder="1" applyAlignment="1">
      <alignment horizontal="center" vertical="center" wrapText="1"/>
    </xf>
    <xf numFmtId="2" fontId="2" fillId="62" borderId="165" xfId="2363" applyNumberFormat="1" applyFont="1" applyFill="1" applyBorder="1" applyAlignment="1">
      <alignment horizontal="center" vertical="center" wrapText="1"/>
    </xf>
    <xf numFmtId="167" fontId="2" fillId="62" borderId="171" xfId="2363" applyFont="1" applyFill="1" applyBorder="1" applyAlignment="1">
      <alignment vertical="center" wrapText="1"/>
    </xf>
    <xf numFmtId="167" fontId="2" fillId="62" borderId="1" xfId="2363" applyFont="1" applyFill="1" applyBorder="1" applyAlignment="1">
      <alignment horizontal="center" vertical="center" wrapText="1"/>
    </xf>
    <xf numFmtId="166" fontId="2" fillId="62" borderId="171" xfId="1751" applyFont="1" applyFill="1" applyBorder="1" applyAlignment="1">
      <alignment vertical="center" wrapText="1"/>
    </xf>
    <xf numFmtId="0" fontId="2" fillId="62" borderId="183" xfId="2028" applyFont="1" applyFill="1" applyBorder="1" applyAlignment="1">
      <alignment horizontal="center" vertical="center" wrapText="1"/>
    </xf>
    <xf numFmtId="2" fontId="2" fillId="62" borderId="165" xfId="2028" applyNumberFormat="1" applyFont="1" applyFill="1" applyBorder="1" applyAlignment="1">
      <alignment horizontal="center" vertical="center" wrapText="1"/>
    </xf>
    <xf numFmtId="0" fontId="2" fillId="62" borderId="73" xfId="2028" applyFont="1" applyFill="1" applyBorder="1" applyAlignment="1">
      <alignment horizontal="center" vertical="center" wrapText="1"/>
    </xf>
    <xf numFmtId="0" fontId="2" fillId="62" borderId="187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2" fontId="8" fillId="0" borderId="60" xfId="0" applyNumberFormat="1" applyFont="1" applyFill="1" applyBorder="1" applyAlignment="1">
      <alignment horizontal="right" vertical="center"/>
    </xf>
    <xf numFmtId="2" fontId="8" fillId="0" borderId="58" xfId="0" applyNumberFormat="1" applyFont="1" applyFill="1" applyBorder="1" applyAlignment="1">
      <alignment horizontal="right" vertical="center"/>
    </xf>
    <xf numFmtId="2" fontId="2" fillId="0" borderId="6" xfId="2028" applyNumberFormat="1" applyFont="1" applyFill="1" applyBorder="1" applyAlignment="1">
      <alignment vertical="center"/>
    </xf>
    <xf numFmtId="2" fontId="2" fillId="0" borderId="6" xfId="0" applyNumberFormat="1" applyFont="1" applyFill="1" applyBorder="1" applyAlignment="1">
      <alignment vertical="center"/>
    </xf>
    <xf numFmtId="2" fontId="8" fillId="0" borderId="25" xfId="0" applyNumberFormat="1" applyFont="1" applyFill="1" applyBorder="1" applyAlignment="1">
      <alignment horizontal="right" vertical="center"/>
    </xf>
    <xf numFmtId="2" fontId="8" fillId="0" borderId="25" xfId="2363" applyNumberFormat="1" applyFont="1" applyFill="1" applyBorder="1" applyAlignment="1">
      <alignment horizontal="right" vertical="center"/>
    </xf>
    <xf numFmtId="2" fontId="8" fillId="0" borderId="25" xfId="0" applyNumberFormat="1" applyFont="1" applyFill="1" applyBorder="1" applyAlignment="1">
      <alignment horizontal="right" vertical="center" wrapText="1"/>
    </xf>
    <xf numFmtId="0" fontId="2" fillId="62" borderId="29" xfId="2028" applyFont="1" applyFill="1" applyBorder="1" applyAlignment="1">
      <alignment horizontal="center" vertical="center" wrapText="1"/>
    </xf>
    <xf numFmtId="167" fontId="2" fillId="62" borderId="29" xfId="2363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2" fontId="8" fillId="0" borderId="26" xfId="0" applyNumberFormat="1" applyFont="1" applyFill="1" applyBorder="1" applyAlignment="1">
      <alignment horizontal="right" vertical="center"/>
    </xf>
    <xf numFmtId="0" fontId="2" fillId="0" borderId="66" xfId="0" applyFont="1" applyFill="1" applyBorder="1" applyAlignment="1">
      <alignment vertical="center"/>
    </xf>
    <xf numFmtId="2" fontId="8" fillId="0" borderId="66" xfId="0" applyNumberFormat="1" applyFont="1" applyFill="1" applyBorder="1" applyAlignment="1">
      <alignment horizontal="right" vertical="center"/>
    </xf>
    <xf numFmtId="0" fontId="2" fillId="0" borderId="66" xfId="2028" applyFont="1" applyFill="1" applyBorder="1" applyAlignment="1">
      <alignment vertical="center"/>
    </xf>
    <xf numFmtId="2" fontId="8" fillId="0" borderId="66" xfId="0" applyNumberFormat="1" applyFont="1" applyFill="1" applyBorder="1" applyAlignment="1">
      <alignment vertical="center"/>
    </xf>
    <xf numFmtId="2" fontId="8" fillId="0" borderId="166" xfId="0" applyNumberFormat="1" applyFont="1" applyFill="1" applyBorder="1" applyAlignment="1">
      <alignment horizontal="right" vertical="center"/>
    </xf>
    <xf numFmtId="2" fontId="8" fillId="0" borderId="85" xfId="0" applyNumberFormat="1" applyFont="1" applyFill="1" applyBorder="1" applyAlignment="1">
      <alignment horizontal="center" vertical="center"/>
    </xf>
    <xf numFmtId="2" fontId="191" fillId="0" borderId="85" xfId="0" applyNumberFormat="1" applyFont="1" applyFill="1" applyBorder="1" applyAlignment="1">
      <alignment horizontal="right" vertical="center"/>
    </xf>
    <xf numFmtId="2" fontId="2" fillId="0" borderId="25" xfId="2028" applyNumberFormat="1" applyFont="1" applyFill="1" applyBorder="1" applyAlignment="1">
      <alignment vertical="center"/>
    </xf>
    <xf numFmtId="2" fontId="8" fillId="0" borderId="59" xfId="0" applyNumberFormat="1" applyFont="1" applyFill="1" applyBorder="1" applyAlignment="1">
      <alignment vertical="center"/>
    </xf>
    <xf numFmtId="0" fontId="170" fillId="55" borderId="49" xfId="0" applyFont="1" applyFill="1" applyBorder="1" applyAlignment="1">
      <alignment horizontal="center" vertical="center"/>
    </xf>
    <xf numFmtId="0" fontId="170" fillId="55" borderId="52" xfId="0" applyFont="1" applyFill="1" applyBorder="1" applyAlignment="1">
      <alignment horizontal="center" vertical="center"/>
    </xf>
    <xf numFmtId="0" fontId="170" fillId="55" borderId="53" xfId="0" applyFont="1" applyFill="1" applyBorder="1" applyAlignment="1">
      <alignment horizontal="center" vertical="center"/>
    </xf>
    <xf numFmtId="0" fontId="213" fillId="55" borderId="49" xfId="0" applyFont="1" applyFill="1" applyBorder="1" applyAlignment="1">
      <alignment horizontal="center" vertical="center"/>
    </xf>
    <xf numFmtId="0" fontId="213" fillId="55" borderId="52" xfId="0" applyFont="1" applyFill="1" applyBorder="1" applyAlignment="1">
      <alignment horizontal="center" vertical="center"/>
    </xf>
    <xf numFmtId="0" fontId="213" fillId="55" borderId="53" xfId="0" applyFont="1" applyFill="1" applyBorder="1" applyAlignment="1">
      <alignment horizontal="center" vertical="center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1" xfId="2028" applyFont="1" applyFill="1" applyBorder="1" applyAlignment="1">
      <alignment horizontal="center" vertical="center" wrapText="1"/>
    </xf>
    <xf numFmtId="0" fontId="2" fillId="0" borderId="176" xfId="2028" applyFont="1" applyFill="1" applyBorder="1" applyAlignment="1">
      <alignment horizontal="center" vertical="center" wrapText="1"/>
    </xf>
    <xf numFmtId="0" fontId="2" fillId="0" borderId="188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2" fillId="0" borderId="29" xfId="2028" applyFont="1" applyFill="1" applyBorder="1" applyAlignment="1">
      <alignment horizontal="center" vertical="center"/>
    </xf>
    <xf numFmtId="0" fontId="2" fillId="0" borderId="27" xfId="2028" applyFont="1" applyFill="1" applyBorder="1" applyAlignment="1">
      <alignment horizontal="center" vertical="center"/>
    </xf>
    <xf numFmtId="0" fontId="2" fillId="0" borderId="31" xfId="2028" applyFont="1" applyFill="1" applyBorder="1" applyAlignment="1">
      <alignment horizontal="center" vertical="center" wrapText="1"/>
    </xf>
    <xf numFmtId="0" fontId="2" fillId="0" borderId="17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32" xfId="2028" applyFont="1" applyFill="1" applyBorder="1" applyAlignment="1">
      <alignment horizontal="center" vertical="center" textRotation="90" wrapText="1"/>
    </xf>
    <xf numFmtId="0" fontId="2" fillId="0" borderId="1" xfId="2028" applyFont="1" applyFill="1" applyBorder="1" applyAlignment="1">
      <alignment horizontal="center" vertical="center" textRotation="90" wrapText="1"/>
    </xf>
    <xf numFmtId="0" fontId="2" fillId="0" borderId="28" xfId="2028" applyFont="1" applyFill="1" applyBorder="1" applyAlignment="1">
      <alignment horizontal="center" vertical="center" textRotation="90" wrapText="1"/>
    </xf>
    <xf numFmtId="0" fontId="5" fillId="62" borderId="32" xfId="2028" applyFont="1" applyFill="1" applyBorder="1" applyAlignment="1">
      <alignment horizontal="center" vertical="center" wrapText="1"/>
    </xf>
    <xf numFmtId="0" fontId="2" fillId="0" borderId="21" xfId="2028" applyFont="1" applyFill="1" applyBorder="1" applyAlignment="1">
      <alignment horizontal="center" vertical="center" wrapText="1"/>
    </xf>
    <xf numFmtId="0" fontId="2" fillId="0" borderId="30" xfId="2028" applyFont="1" applyFill="1" applyBorder="1" applyAlignment="1">
      <alignment horizontal="center" vertical="center" wrapText="1"/>
    </xf>
    <xf numFmtId="0" fontId="5" fillId="62" borderId="174" xfId="2028" applyFont="1" applyFill="1" applyBorder="1" applyAlignment="1">
      <alignment horizontal="center" vertical="center"/>
    </xf>
    <xf numFmtId="0" fontId="5" fillId="62" borderId="175" xfId="2028" applyFont="1" applyFill="1" applyBorder="1" applyAlignment="1">
      <alignment horizontal="center" vertical="center"/>
    </xf>
    <xf numFmtId="0" fontId="5" fillId="62" borderId="62" xfId="2028" applyFont="1" applyFill="1" applyBorder="1" applyAlignment="1">
      <alignment horizontal="center" vertical="center"/>
    </xf>
    <xf numFmtId="0" fontId="2" fillId="0" borderId="25" xfId="2028" applyFont="1" applyFill="1" applyBorder="1" applyAlignment="1">
      <alignment horizontal="center" vertical="center" wrapText="1"/>
    </xf>
    <xf numFmtId="0" fontId="2" fillId="0" borderId="64" xfId="2028" applyFont="1" applyFill="1" applyBorder="1" applyAlignment="1">
      <alignment horizontal="center" vertical="center" wrapText="1"/>
    </xf>
    <xf numFmtId="0" fontId="148" fillId="55" borderId="17" xfId="0" applyFont="1" applyFill="1" applyBorder="1" applyAlignment="1">
      <alignment horizontal="center" vertical="center" textRotation="90"/>
    </xf>
    <xf numFmtId="0" fontId="5" fillId="0" borderId="6" xfId="2028" applyFont="1" applyFill="1" applyBorder="1" applyAlignment="1">
      <alignment horizontal="center" vertical="center" wrapText="1"/>
    </xf>
    <xf numFmtId="173" fontId="137" fillId="0" borderId="6" xfId="0" applyNumberFormat="1" applyFont="1" applyFill="1" applyBorder="1" applyAlignment="1">
      <alignment horizontal="center" vertical="center"/>
    </xf>
    <xf numFmtId="0" fontId="199" fillId="0" borderId="29" xfId="2028" applyFont="1" applyFill="1" applyBorder="1" applyAlignment="1">
      <alignment horizontal="center" vertical="center"/>
    </xf>
    <xf numFmtId="0" fontId="199" fillId="0" borderId="33" xfId="2028" applyFont="1" applyFill="1" applyBorder="1" applyAlignment="1">
      <alignment horizontal="center" vertical="center"/>
    </xf>
    <xf numFmtId="0" fontId="199" fillId="0" borderId="27" xfId="2028" applyFont="1" applyFill="1" applyBorder="1" applyAlignment="1">
      <alignment horizontal="center" vertical="center"/>
    </xf>
    <xf numFmtId="0" fontId="137" fillId="0" borderId="29" xfId="0" applyFont="1" applyFill="1" applyBorder="1" applyAlignment="1">
      <alignment horizontal="center" vertical="center"/>
    </xf>
    <xf numFmtId="0" fontId="137" fillId="0" borderId="33" xfId="0" applyFont="1" applyFill="1" applyBorder="1" applyAlignment="1">
      <alignment horizontal="center" vertical="center"/>
    </xf>
    <xf numFmtId="0" fontId="137" fillId="0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/>
    </xf>
    <xf numFmtId="0" fontId="137" fillId="59" borderId="29" xfId="0" applyFont="1" applyFill="1" applyBorder="1" applyAlignment="1">
      <alignment horizontal="center" wrapText="1"/>
    </xf>
    <xf numFmtId="0" fontId="137" fillId="59" borderId="33" xfId="0" applyFont="1" applyFill="1" applyBorder="1" applyAlignment="1">
      <alignment horizontal="center" wrapText="1"/>
    </xf>
    <xf numFmtId="0" fontId="137" fillId="59" borderId="27" xfId="0" applyFont="1" applyFill="1" applyBorder="1" applyAlignment="1">
      <alignment horizontal="center" wrapText="1"/>
    </xf>
    <xf numFmtId="173" fontId="2" fillId="0" borderId="32" xfId="2028" applyNumberFormat="1" applyFont="1" applyFill="1" applyBorder="1" applyAlignment="1">
      <alignment horizontal="center" vertical="center" wrapText="1"/>
    </xf>
    <xf numFmtId="173" fontId="2" fillId="0" borderId="28" xfId="2028" applyNumberFormat="1" applyFont="1" applyFill="1" applyBorder="1" applyAlignment="1">
      <alignment horizontal="center" vertical="center" wrapText="1"/>
    </xf>
    <xf numFmtId="0" fontId="8" fillId="62" borderId="29" xfId="0" applyFont="1" applyFill="1" applyBorder="1" applyAlignment="1">
      <alignment horizontal="center"/>
    </xf>
    <xf numFmtId="0" fontId="8" fillId="62" borderId="33" xfId="0" applyFont="1" applyFill="1" applyBorder="1" applyAlignment="1">
      <alignment horizontal="center"/>
    </xf>
    <xf numFmtId="0" fontId="8" fillId="62" borderId="27" xfId="0" applyFont="1" applyFill="1" applyBorder="1" applyAlignment="1">
      <alignment horizontal="center"/>
    </xf>
    <xf numFmtId="173" fontId="3" fillId="0" borderId="29" xfId="2028" applyNumberFormat="1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173" fontId="3" fillId="0" borderId="27" xfId="2028" applyNumberFormat="1" applyFont="1" applyFill="1" applyBorder="1" applyAlignment="1">
      <alignment horizontal="center" vertical="center"/>
    </xf>
    <xf numFmtId="0" fontId="3" fillId="0" borderId="29" xfId="2028" applyFont="1" applyFill="1" applyBorder="1" applyAlignment="1">
      <alignment horizontal="center" vertical="center"/>
    </xf>
    <xf numFmtId="0" fontId="3" fillId="0" borderId="33" xfId="2028" applyFont="1" applyFill="1" applyBorder="1" applyAlignment="1">
      <alignment horizontal="center" vertical="center"/>
    </xf>
    <xf numFmtId="0" fontId="3" fillId="0" borderId="27" xfId="2028" applyFont="1" applyFill="1" applyBorder="1" applyAlignment="1">
      <alignment horizontal="center" vertical="center"/>
    </xf>
    <xf numFmtId="0" fontId="3" fillId="62" borderId="29" xfId="2028" applyFont="1" applyFill="1" applyBorder="1" applyAlignment="1">
      <alignment horizontal="center" vertical="center"/>
    </xf>
    <xf numFmtId="0" fontId="3" fillId="62" borderId="33" xfId="2028" applyFont="1" applyFill="1" applyBorder="1" applyAlignment="1">
      <alignment horizontal="center" vertical="center"/>
    </xf>
    <xf numFmtId="0" fontId="3" fillId="62" borderId="27" xfId="2028" applyFont="1" applyFill="1" applyBorder="1" applyAlignment="1">
      <alignment horizontal="center" vertical="center"/>
    </xf>
    <xf numFmtId="0" fontId="138" fillId="62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/>
    </xf>
    <xf numFmtId="0" fontId="143" fillId="62" borderId="6" xfId="0" applyFont="1" applyFill="1" applyBorder="1" applyAlignment="1">
      <alignment horizontal="center" wrapText="1"/>
    </xf>
    <xf numFmtId="0" fontId="143" fillId="62" borderId="32" xfId="0" applyFont="1" applyFill="1" applyBorder="1" applyAlignment="1">
      <alignment horizontal="center" wrapText="1"/>
    </xf>
    <xf numFmtId="0" fontId="143" fillId="62" borderId="1" xfId="0" applyFont="1" applyFill="1" applyBorder="1" applyAlignment="1">
      <alignment horizontal="center" wrapText="1"/>
    </xf>
    <xf numFmtId="0" fontId="143" fillId="62" borderId="28" xfId="0" applyFont="1" applyFill="1" applyBorder="1" applyAlignment="1">
      <alignment horizontal="center" wrapText="1"/>
    </xf>
    <xf numFmtId="0" fontId="5" fillId="58" borderId="29" xfId="0" applyFont="1" applyFill="1" applyBorder="1" applyAlignment="1">
      <alignment horizontal="center" wrapText="1"/>
    </xf>
    <xf numFmtId="0" fontId="5" fillId="58" borderId="33" xfId="0" applyFont="1" applyFill="1" applyBorder="1" applyAlignment="1">
      <alignment horizontal="center" wrapText="1"/>
    </xf>
    <xf numFmtId="0" fontId="5" fillId="58" borderId="27" xfId="0" applyFont="1" applyFill="1" applyBorder="1" applyAlignment="1">
      <alignment horizontal="center" wrapText="1"/>
    </xf>
    <xf numFmtId="0" fontId="143" fillId="58" borderId="32" xfId="0" applyFont="1" applyFill="1" applyBorder="1" applyAlignment="1">
      <alignment horizontal="center" vertical="center"/>
    </xf>
    <xf numFmtId="0" fontId="143" fillId="58" borderId="1" xfId="0" applyFont="1" applyFill="1" applyBorder="1" applyAlignment="1">
      <alignment horizontal="center" vertical="center"/>
    </xf>
    <xf numFmtId="0" fontId="143" fillId="58" borderId="28" xfId="0" applyFont="1" applyFill="1" applyBorder="1" applyAlignment="1">
      <alignment horizontal="center" vertical="center"/>
    </xf>
    <xf numFmtId="0" fontId="8" fillId="62" borderId="32" xfId="0" applyFont="1" applyFill="1" applyBorder="1" applyAlignment="1">
      <alignment horizontal="center"/>
    </xf>
    <xf numFmtId="0" fontId="8" fillId="62" borderId="1" xfId="0" applyFont="1" applyFill="1" applyBorder="1" applyAlignment="1">
      <alignment horizontal="center"/>
    </xf>
    <xf numFmtId="0" fontId="8" fillId="62" borderId="28" xfId="0" applyFont="1" applyFill="1" applyBorder="1" applyAlignment="1">
      <alignment horizontal="center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2" fillId="62" borderId="29" xfId="2028" applyFont="1" applyFill="1" applyBorder="1" applyAlignment="1">
      <alignment horizontal="center" vertical="center"/>
    </xf>
    <xf numFmtId="0" fontId="2" fillId="62" borderId="27" xfId="2028" applyFont="1" applyFill="1" applyBorder="1" applyAlignment="1">
      <alignment horizontal="center" vertical="center"/>
    </xf>
    <xf numFmtId="167" fontId="2" fillId="0" borderId="6" xfId="2363" applyFont="1" applyFill="1" applyBorder="1" applyAlignment="1">
      <alignment horizontal="center" vertical="center" wrapText="1"/>
    </xf>
    <xf numFmtId="167" fontId="2" fillId="0" borderId="1" xfId="2363" applyFont="1" applyFill="1" applyBorder="1" applyAlignment="1">
      <alignment horizontal="center" vertical="center" wrapText="1"/>
    </xf>
    <xf numFmtId="167" fontId="2" fillId="0" borderId="28" xfId="2363" applyFont="1" applyFill="1" applyBorder="1" applyAlignment="1">
      <alignment horizontal="center" vertical="center" wrapText="1"/>
    </xf>
    <xf numFmtId="0" fontId="146" fillId="0" borderId="28" xfId="2028" applyFont="1" applyFill="1" applyBorder="1" applyAlignment="1">
      <alignment horizontal="center" vertical="center" wrapText="1"/>
    </xf>
    <xf numFmtId="0" fontId="2" fillId="62" borderId="35" xfId="2028" applyFont="1" applyFill="1" applyBorder="1" applyAlignment="1">
      <alignment horizontal="center" vertical="center" wrapText="1"/>
    </xf>
    <xf numFmtId="0" fontId="2" fillId="62" borderId="30" xfId="2028" applyFont="1" applyFill="1" applyBorder="1" applyAlignment="1">
      <alignment horizontal="center" vertical="center" wrapText="1"/>
    </xf>
    <xf numFmtId="0" fontId="173" fillId="0" borderId="1" xfId="2028" applyFont="1" applyFill="1" applyBorder="1" applyAlignment="1">
      <alignment horizontal="center" vertical="center" wrapText="1"/>
    </xf>
    <xf numFmtId="167" fontId="2" fillId="0" borderId="32" xfId="2363" applyFont="1" applyFill="1" applyBorder="1" applyAlignment="1">
      <alignment horizontal="center"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2" fontId="2" fillId="0" borderId="1" xfId="2363" applyNumberFormat="1" applyFont="1" applyFill="1" applyBorder="1" applyAlignment="1">
      <alignment horizontal="center" vertical="center" wrapText="1"/>
    </xf>
    <xf numFmtId="2" fontId="2" fillId="0" borderId="28" xfId="2363" applyNumberFormat="1" applyFont="1" applyFill="1" applyBorder="1" applyAlignment="1">
      <alignment horizontal="center" vertical="center" wrapText="1"/>
    </xf>
    <xf numFmtId="0" fontId="146" fillId="0" borderId="1" xfId="2028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166" fontId="2" fillId="0" borderId="32" xfId="1751" applyFont="1" applyFill="1" applyBorder="1" applyAlignment="1">
      <alignment horizontal="center" vertical="center" wrapText="1"/>
    </xf>
    <xf numFmtId="166" fontId="2" fillId="0" borderId="1" xfId="1751" applyFont="1" applyFill="1" applyBorder="1" applyAlignment="1">
      <alignment horizontal="center" vertical="center" wrapText="1"/>
    </xf>
    <xf numFmtId="166" fontId="2" fillId="0" borderId="28" xfId="1751" applyFont="1" applyFill="1" applyBorder="1" applyAlignment="1">
      <alignment horizontal="center" vertical="center" wrapText="1"/>
    </xf>
    <xf numFmtId="0" fontId="173" fillId="0" borderId="1" xfId="2028" applyFont="1" applyFill="1" applyBorder="1" applyAlignment="1">
      <alignment vertical="center" wrapText="1"/>
    </xf>
    <xf numFmtId="0" fontId="2" fillId="0" borderId="28" xfId="2028" applyFont="1" applyFill="1" applyBorder="1" applyAlignment="1">
      <alignment vertical="center" wrapText="1"/>
    </xf>
    <xf numFmtId="0" fontId="2" fillId="86" borderId="6" xfId="2028" applyFont="1" applyFill="1" applyBorder="1" applyAlignment="1">
      <alignment horizontal="center" vertical="center" wrapText="1"/>
    </xf>
    <xf numFmtId="2" fontId="137" fillId="62" borderId="6" xfId="0" applyNumberFormat="1" applyFont="1" applyFill="1" applyBorder="1" applyAlignment="1">
      <alignment horizontal="center"/>
    </xf>
    <xf numFmtId="2" fontId="137" fillId="62" borderId="36" xfId="0" applyNumberFormat="1" applyFont="1" applyFill="1" applyBorder="1" applyAlignment="1">
      <alignment horizontal="center"/>
    </xf>
    <xf numFmtId="0" fontId="173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198" fillId="62" borderId="29" xfId="0" applyFont="1" applyFill="1" applyBorder="1" applyAlignment="1">
      <alignment horizontal="center" vertical="center"/>
    </xf>
    <xf numFmtId="0" fontId="198" fillId="62" borderId="33" xfId="0" applyFont="1" applyFill="1" applyBorder="1" applyAlignment="1">
      <alignment horizontal="center" vertical="center"/>
    </xf>
    <xf numFmtId="0" fontId="198" fillId="62" borderId="27" xfId="0" applyFont="1" applyFill="1" applyBorder="1" applyAlignment="1">
      <alignment horizontal="center" vertical="center"/>
    </xf>
    <xf numFmtId="0" fontId="2" fillId="0" borderId="177" xfId="2028" applyFont="1" applyFill="1" applyBorder="1" applyAlignment="1">
      <alignment horizontal="center" vertical="center" wrapText="1"/>
    </xf>
    <xf numFmtId="0" fontId="2" fillId="88" borderId="29" xfId="2028" applyFont="1" applyFill="1" applyBorder="1" applyAlignment="1">
      <alignment horizontal="center" vertical="center"/>
    </xf>
    <xf numFmtId="0" fontId="2" fillId="88" borderId="27" xfId="2028" applyFont="1" applyFill="1" applyBorder="1" applyAlignment="1">
      <alignment horizontal="center" vertical="center"/>
    </xf>
    <xf numFmtId="173" fontId="2" fillId="0" borderId="31" xfId="2028" applyNumberFormat="1" applyFont="1" applyFill="1" applyBorder="1" applyAlignment="1">
      <alignment horizontal="center" vertical="center" wrapText="1"/>
    </xf>
    <xf numFmtId="173" fontId="2" fillId="0" borderId="34" xfId="2028" applyNumberFormat="1" applyFont="1" applyFill="1" applyBorder="1" applyAlignment="1">
      <alignment horizontal="center" vertical="center" wrapText="1"/>
    </xf>
    <xf numFmtId="0" fontId="143" fillId="88" borderId="32" xfId="0" applyFont="1" applyFill="1" applyBorder="1" applyAlignment="1">
      <alignment horizontal="center" vertical="center"/>
    </xf>
    <xf numFmtId="0" fontId="143" fillId="88" borderId="1" xfId="0" applyFont="1" applyFill="1" applyBorder="1" applyAlignment="1">
      <alignment horizontal="center" vertical="center"/>
    </xf>
    <xf numFmtId="0" fontId="143" fillId="88" borderId="28" xfId="0" applyFont="1" applyFill="1" applyBorder="1" applyAlignment="1">
      <alignment horizontal="center" vertical="center"/>
    </xf>
    <xf numFmtId="0" fontId="2" fillId="0" borderId="34" xfId="2028" applyFont="1" applyFill="1" applyBorder="1" applyAlignment="1">
      <alignment horizontal="center" vertical="center" wrapText="1"/>
    </xf>
    <xf numFmtId="0" fontId="143" fillId="88" borderId="32" xfId="0" applyFont="1" applyFill="1" applyBorder="1" applyAlignment="1">
      <alignment horizontal="center" vertical="center" wrapText="1"/>
    </xf>
    <xf numFmtId="0" fontId="143" fillId="88" borderId="1" xfId="0" applyFont="1" applyFill="1" applyBorder="1" applyAlignment="1">
      <alignment horizontal="center" vertical="center" wrapText="1"/>
    </xf>
    <xf numFmtId="0" fontId="143" fillId="88" borderId="28" xfId="0" applyFont="1" applyFill="1" applyBorder="1" applyAlignment="1">
      <alignment horizontal="center" vertical="center" wrapText="1"/>
    </xf>
    <xf numFmtId="0" fontId="5" fillId="88" borderId="29" xfId="0" applyFont="1" applyFill="1" applyBorder="1" applyAlignment="1">
      <alignment horizontal="center" wrapText="1"/>
    </xf>
    <xf numFmtId="0" fontId="5" fillId="88" borderId="33" xfId="0" applyFont="1" applyFill="1" applyBorder="1" applyAlignment="1">
      <alignment horizontal="center" wrapText="1"/>
    </xf>
    <xf numFmtId="0" fontId="5" fillId="88" borderId="27" xfId="0" applyFont="1" applyFill="1" applyBorder="1" applyAlignment="1">
      <alignment horizontal="center" wrapText="1"/>
    </xf>
    <xf numFmtId="0" fontId="137" fillId="59" borderId="29" xfId="0" applyFont="1" applyFill="1" applyBorder="1" applyAlignment="1">
      <alignment horizontal="center" vertical="center" wrapText="1"/>
    </xf>
    <xf numFmtId="0" fontId="137" fillId="59" borderId="33" xfId="0" applyFont="1" applyFill="1" applyBorder="1" applyAlignment="1">
      <alignment horizontal="center" vertical="center" wrapText="1"/>
    </xf>
    <xf numFmtId="0" fontId="137" fillId="59" borderId="27" xfId="0" applyFont="1" applyFill="1" applyBorder="1" applyAlignment="1">
      <alignment horizontal="center" vertical="center" wrapText="1"/>
    </xf>
    <xf numFmtId="0" fontId="200" fillId="65" borderId="174" xfId="2028" applyFont="1" applyFill="1" applyBorder="1" applyAlignment="1">
      <alignment horizontal="center" vertical="center"/>
    </xf>
    <xf numFmtId="0" fontId="200" fillId="65" borderId="175" xfId="2028" applyFont="1" applyFill="1" applyBorder="1" applyAlignment="1">
      <alignment horizontal="center" vertical="center"/>
    </xf>
    <xf numFmtId="0" fontId="200" fillId="65" borderId="62" xfId="2028" applyFont="1" applyFill="1" applyBorder="1" applyAlignment="1">
      <alignment horizontal="center" vertical="center"/>
    </xf>
    <xf numFmtId="173" fontId="3" fillId="63" borderId="174" xfId="2028" applyNumberFormat="1" applyFont="1" applyFill="1" applyBorder="1" applyAlignment="1">
      <alignment horizontal="center" vertical="center"/>
    </xf>
    <xf numFmtId="173" fontId="3" fillId="63" borderId="175" xfId="2028" applyNumberFormat="1" applyFont="1" applyFill="1" applyBorder="1" applyAlignment="1">
      <alignment horizontal="center" vertical="center"/>
    </xf>
    <xf numFmtId="173" fontId="3" fillId="63" borderId="62" xfId="2028" applyNumberFormat="1" applyFont="1" applyFill="1" applyBorder="1" applyAlignment="1">
      <alignment horizontal="center" vertical="center"/>
    </xf>
    <xf numFmtId="0" fontId="3" fillId="88" borderId="29" xfId="2028" applyFont="1" applyFill="1" applyBorder="1" applyAlignment="1">
      <alignment horizontal="center" vertical="center"/>
    </xf>
    <xf numFmtId="0" fontId="3" fillId="88" borderId="33" xfId="2028" applyFont="1" applyFill="1" applyBorder="1" applyAlignment="1">
      <alignment horizontal="center" vertical="center"/>
    </xf>
    <xf numFmtId="0" fontId="3" fillId="88" borderId="27" xfId="2028" applyFont="1" applyFill="1" applyBorder="1" applyAlignment="1">
      <alignment horizontal="center" vertical="center"/>
    </xf>
    <xf numFmtId="0" fontId="5" fillId="65" borderId="32" xfId="2028" applyFont="1" applyFill="1" applyBorder="1" applyAlignment="1">
      <alignment horizontal="center" vertical="center" wrapText="1"/>
    </xf>
    <xf numFmtId="173" fontId="137" fillId="63" borderId="32" xfId="0" applyNumberFormat="1" applyFont="1" applyFill="1" applyBorder="1" applyAlignment="1">
      <alignment horizontal="center" vertical="center"/>
    </xf>
    <xf numFmtId="0" fontId="137" fillId="88" borderId="29" xfId="0" applyFont="1" applyFill="1" applyBorder="1" applyAlignment="1">
      <alignment horizontal="center" vertical="center"/>
    </xf>
    <xf numFmtId="0" fontId="137" fillId="88" borderId="33" xfId="0" applyFont="1" applyFill="1" applyBorder="1" applyAlignment="1">
      <alignment horizontal="center" vertical="center"/>
    </xf>
    <xf numFmtId="0" fontId="137" fillId="88" borderId="27" xfId="0" applyFont="1" applyFill="1" applyBorder="1" applyAlignment="1">
      <alignment horizontal="center" vertical="center"/>
    </xf>
    <xf numFmtId="173" fontId="2" fillId="0" borderId="64" xfId="2028" applyNumberFormat="1" applyFont="1" applyFill="1" applyBorder="1" applyAlignment="1">
      <alignment horizontal="center" vertical="center" wrapText="1"/>
    </xf>
    <xf numFmtId="173" fontId="2" fillId="0" borderId="45" xfId="2028" applyNumberFormat="1" applyFont="1" applyFill="1" applyBorder="1" applyAlignment="1">
      <alignment horizontal="center" vertical="center" wrapText="1"/>
    </xf>
    <xf numFmtId="0" fontId="2" fillId="62" borderId="176" xfId="2028" applyFont="1" applyFill="1" applyBorder="1" applyAlignment="1">
      <alignment horizontal="center" vertical="center" wrapText="1"/>
    </xf>
    <xf numFmtId="0" fontId="2" fillId="62" borderId="177" xfId="2028" applyFont="1" applyFill="1" applyBorder="1" applyAlignment="1">
      <alignment horizontal="center" vertical="center" wrapText="1"/>
    </xf>
    <xf numFmtId="0" fontId="143" fillId="62" borderId="32" xfId="0" applyFont="1" applyFill="1" applyBorder="1" applyAlignment="1">
      <alignment horizontal="center" vertical="center" wrapText="1"/>
    </xf>
    <xf numFmtId="0" fontId="143" fillId="62" borderId="1" xfId="0" applyFont="1" applyFill="1" applyBorder="1" applyAlignment="1">
      <alignment horizontal="center" vertical="center" wrapText="1"/>
    </xf>
    <xf numFmtId="0" fontId="143" fillId="62" borderId="28" xfId="0" applyFont="1" applyFill="1" applyBorder="1" applyAlignment="1">
      <alignment horizontal="center" vertical="center" wrapText="1"/>
    </xf>
    <xf numFmtId="0" fontId="5" fillId="95" borderId="29" xfId="0" applyFont="1" applyFill="1" applyBorder="1" applyAlignment="1">
      <alignment horizontal="center" vertical="center" wrapText="1"/>
    </xf>
    <xf numFmtId="0" fontId="5" fillId="95" borderId="33" xfId="0" applyFont="1" applyFill="1" applyBorder="1" applyAlignment="1">
      <alignment horizontal="center" vertical="center" wrapText="1"/>
    </xf>
    <xf numFmtId="0" fontId="5" fillId="95" borderId="27" xfId="0" applyFont="1" applyFill="1" applyBorder="1" applyAlignment="1">
      <alignment horizontal="center" vertical="center" wrapText="1"/>
    </xf>
    <xf numFmtId="0" fontId="143" fillId="95" borderId="32" xfId="0" applyFont="1" applyFill="1" applyBorder="1" applyAlignment="1">
      <alignment horizontal="center" vertical="center"/>
    </xf>
    <xf numFmtId="0" fontId="143" fillId="95" borderId="1" xfId="0" applyFont="1" applyFill="1" applyBorder="1" applyAlignment="1">
      <alignment horizontal="center" vertical="center"/>
    </xf>
    <xf numFmtId="0" fontId="143" fillId="95" borderId="28" xfId="0" applyFont="1" applyFill="1" applyBorder="1" applyAlignment="1">
      <alignment horizontal="center" vertical="center"/>
    </xf>
    <xf numFmtId="0" fontId="2" fillId="62" borderId="64" xfId="2028" applyFont="1" applyFill="1" applyBorder="1" applyAlignment="1">
      <alignment horizontal="center" vertical="center" wrapText="1"/>
    </xf>
    <xf numFmtId="0" fontId="2" fillId="62" borderId="45" xfId="2028" applyFont="1" applyFill="1" applyBorder="1" applyAlignment="1">
      <alignment horizontal="center" vertical="center" wrapText="1"/>
    </xf>
    <xf numFmtId="0" fontId="2" fillId="0" borderId="35" xfId="2028" applyFont="1" applyFill="1" applyBorder="1" applyAlignment="1">
      <alignment horizontal="center" vertical="center" wrapText="1"/>
    </xf>
    <xf numFmtId="0" fontId="8" fillId="62" borderId="32" xfId="0" applyFont="1" applyFill="1" applyBorder="1" applyAlignment="1">
      <alignment horizontal="center" vertical="center"/>
    </xf>
    <xf numFmtId="0" fontId="8" fillId="62" borderId="1" xfId="0" applyFont="1" applyFill="1" applyBorder="1" applyAlignment="1">
      <alignment horizontal="center" vertical="center"/>
    </xf>
    <xf numFmtId="0" fontId="8" fillId="62" borderId="28" xfId="0" applyFont="1" applyFill="1" applyBorder="1" applyAlignment="1">
      <alignment horizontal="center" vertical="center"/>
    </xf>
    <xf numFmtId="0" fontId="8" fillId="62" borderId="29" xfId="0" applyFont="1" applyFill="1" applyBorder="1" applyAlignment="1">
      <alignment horizontal="center" vertical="center"/>
    </xf>
    <xf numFmtId="0" fontId="8" fillId="62" borderId="33" xfId="0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5" fillId="88" borderId="29" xfId="0" applyFont="1" applyFill="1" applyBorder="1" applyAlignment="1">
      <alignment horizontal="center" vertical="center" wrapText="1"/>
    </xf>
    <xf numFmtId="0" fontId="5" fillId="88" borderId="33" xfId="0" applyFont="1" applyFill="1" applyBorder="1" applyAlignment="1">
      <alignment horizontal="center" vertical="center" wrapText="1"/>
    </xf>
    <xf numFmtId="0" fontId="5" fillId="88" borderId="27" xfId="0" applyFont="1" applyFill="1" applyBorder="1" applyAlignment="1">
      <alignment horizontal="center" vertical="center" wrapText="1"/>
    </xf>
    <xf numFmtId="0" fontId="5" fillId="95" borderId="174" xfId="2028" applyFont="1" applyFill="1" applyBorder="1" applyAlignment="1">
      <alignment horizontal="center" vertical="center"/>
    </xf>
    <xf numFmtId="0" fontId="5" fillId="95" borderId="175" xfId="2028" applyFont="1" applyFill="1" applyBorder="1" applyAlignment="1">
      <alignment horizontal="center" vertical="center"/>
    </xf>
    <xf numFmtId="0" fontId="5" fillId="95" borderId="62" xfId="2028" applyFont="1" applyFill="1" applyBorder="1" applyAlignment="1">
      <alignment horizontal="center" vertical="center"/>
    </xf>
    <xf numFmtId="173" fontId="3" fillId="96" borderId="174" xfId="2028" applyNumberFormat="1" applyFont="1" applyFill="1" applyBorder="1" applyAlignment="1">
      <alignment horizontal="center" vertical="center"/>
    </xf>
    <xf numFmtId="173" fontId="3" fillId="96" borderId="175" xfId="2028" applyNumberFormat="1" applyFont="1" applyFill="1" applyBorder="1" applyAlignment="1">
      <alignment horizontal="center" vertical="center"/>
    </xf>
    <xf numFmtId="173" fontId="3" fillId="96" borderId="62" xfId="2028" applyNumberFormat="1" applyFont="1" applyFill="1" applyBorder="1" applyAlignment="1">
      <alignment horizontal="center" vertical="center"/>
    </xf>
    <xf numFmtId="0" fontId="3" fillId="88" borderId="181" xfId="2028" applyFont="1" applyFill="1" applyBorder="1" applyAlignment="1">
      <alignment horizontal="center" vertical="center"/>
    </xf>
    <xf numFmtId="0" fontId="143" fillId="65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 vertical="center" wrapText="1"/>
    </xf>
    <xf numFmtId="0" fontId="138" fillId="65" borderId="6" xfId="0" applyFont="1" applyFill="1" applyBorder="1" applyAlignment="1">
      <alignment horizontal="center" vertical="center"/>
    </xf>
    <xf numFmtId="0" fontId="5" fillId="95" borderId="32" xfId="2028" applyFont="1" applyFill="1" applyBorder="1" applyAlignment="1">
      <alignment horizontal="center" vertical="center" wrapText="1"/>
    </xf>
    <xf numFmtId="173" fontId="137" fillId="96" borderId="32" xfId="0" applyNumberFormat="1" applyFont="1" applyFill="1" applyBorder="1" applyAlignment="1">
      <alignment horizontal="center" vertical="center"/>
    </xf>
    <xf numFmtId="173" fontId="137" fillId="96" borderId="35" xfId="0" applyNumberFormat="1" applyFont="1" applyFill="1" applyBorder="1" applyAlignment="1">
      <alignment horizontal="center" vertical="center"/>
    </xf>
    <xf numFmtId="0" fontId="137" fillId="88" borderId="174" xfId="0" applyFont="1" applyFill="1" applyBorder="1" applyAlignment="1">
      <alignment horizontal="center" vertical="center"/>
    </xf>
    <xf numFmtId="0" fontId="137" fillId="88" borderId="175" xfId="0" applyFont="1" applyFill="1" applyBorder="1" applyAlignment="1">
      <alignment horizontal="center" vertical="center"/>
    </xf>
    <xf numFmtId="0" fontId="137" fillId="88" borderId="62" xfId="0" applyFont="1" applyFill="1" applyBorder="1" applyAlignment="1">
      <alignment horizontal="center" vertical="center"/>
    </xf>
    <xf numFmtId="0" fontId="5" fillId="56" borderId="26" xfId="0" applyFont="1" applyFill="1" applyBorder="1" applyAlignment="1">
      <alignment horizontal="center" vertical="center"/>
    </xf>
    <xf numFmtId="0" fontId="5" fillId="56" borderId="66" xfId="0" applyFont="1" applyFill="1" applyBorder="1" applyAlignment="1">
      <alignment horizontal="center" vertical="center"/>
    </xf>
    <xf numFmtId="0" fontId="5" fillId="56" borderId="166" xfId="0" applyFont="1" applyFill="1" applyBorder="1" applyAlignment="1">
      <alignment horizontal="center" vertical="center"/>
    </xf>
    <xf numFmtId="0" fontId="3" fillId="62" borderId="82" xfId="2028" applyFont="1" applyFill="1" applyBorder="1" applyAlignment="1">
      <alignment horizontal="center" vertical="center"/>
    </xf>
    <xf numFmtId="0" fontId="3" fillId="62" borderId="181" xfId="2028" applyFont="1" applyFill="1" applyBorder="1" applyAlignment="1">
      <alignment horizontal="center" vertical="center"/>
    </xf>
    <xf numFmtId="0" fontId="3" fillId="81" borderId="24" xfId="0" applyFont="1" applyFill="1" applyBorder="1" applyAlignment="1" applyProtection="1">
      <alignment horizontal="center" vertical="center" wrapText="1"/>
    </xf>
    <xf numFmtId="0" fontId="3" fillId="81" borderId="92" xfId="0" applyFont="1" applyFill="1" applyBorder="1" applyAlignment="1" applyProtection="1">
      <alignment horizontal="center" vertical="center" wrapText="1"/>
    </xf>
    <xf numFmtId="0" fontId="3" fillId="81" borderId="55" xfId="0" applyFont="1" applyFill="1" applyBorder="1" applyAlignment="1" applyProtection="1">
      <alignment horizontal="center" vertical="center" wrapText="1"/>
    </xf>
    <xf numFmtId="0" fontId="3" fillId="81" borderId="84" xfId="0" applyFont="1" applyFill="1" applyBorder="1" applyAlignment="1" applyProtection="1">
      <alignment horizontal="center" vertical="center" wrapText="1"/>
    </xf>
    <xf numFmtId="0" fontId="195" fillId="55" borderId="49" xfId="0" applyFont="1" applyFill="1" applyBorder="1" applyAlignment="1" applyProtection="1">
      <alignment horizontal="center" vertical="center" wrapText="1"/>
    </xf>
    <xf numFmtId="0" fontId="195" fillId="55" borderId="52" xfId="0" applyFont="1" applyFill="1" applyBorder="1" applyAlignment="1" applyProtection="1">
      <alignment horizontal="center" vertical="center" wrapText="1"/>
    </xf>
    <xf numFmtId="0" fontId="177" fillId="55" borderId="49" xfId="0" applyFont="1" applyFill="1" applyBorder="1" applyAlignment="1" applyProtection="1">
      <alignment horizontal="center" vertical="center" wrapText="1"/>
    </xf>
    <xf numFmtId="0" fontId="177" fillId="55" borderId="52" xfId="0" applyFont="1" applyFill="1" applyBorder="1" applyAlignment="1" applyProtection="1">
      <alignment horizontal="center" vertical="center" wrapText="1"/>
    </xf>
    <xf numFmtId="2" fontId="178" fillId="55" borderId="49" xfId="0" applyNumberFormat="1" applyFont="1" applyFill="1" applyBorder="1" applyAlignment="1" applyProtection="1">
      <alignment horizontal="center" vertical="center" wrapText="1"/>
    </xf>
    <xf numFmtId="2" fontId="178" fillId="55" borderId="52" xfId="0" applyNumberFormat="1" applyFont="1" applyFill="1" applyBorder="1" applyAlignment="1" applyProtection="1">
      <alignment horizontal="center" vertical="center" wrapText="1"/>
    </xf>
    <xf numFmtId="0" fontId="153" fillId="55" borderId="37" xfId="0" applyFont="1" applyFill="1" applyBorder="1" applyAlignment="1">
      <alignment horizontal="center"/>
    </xf>
    <xf numFmtId="0" fontId="153" fillId="55" borderId="41" xfId="0" applyFont="1" applyFill="1" applyBorder="1" applyAlignment="1">
      <alignment horizontal="center"/>
    </xf>
    <xf numFmtId="0" fontId="153" fillId="55" borderId="38" xfId="0" applyFont="1" applyFill="1" applyBorder="1" applyAlignment="1">
      <alignment horizontal="center"/>
    </xf>
    <xf numFmtId="2" fontId="178" fillId="55" borderId="54" xfId="0" applyNumberFormat="1" applyFont="1" applyFill="1" applyBorder="1" applyAlignment="1" applyProtection="1">
      <alignment horizontal="center" vertical="center" wrapText="1"/>
    </xf>
    <xf numFmtId="2" fontId="178" fillId="55" borderId="39" xfId="0" applyNumberFormat="1" applyFont="1" applyFill="1" applyBorder="1" applyAlignment="1" applyProtection="1">
      <alignment horizontal="center" vertical="center" wrapText="1"/>
    </xf>
    <xf numFmtId="2" fontId="178" fillId="55" borderId="55" xfId="0" applyNumberFormat="1" applyFont="1" applyFill="1" applyBorder="1" applyAlignment="1" applyProtection="1">
      <alignment horizontal="center" vertical="center" wrapText="1"/>
    </xf>
    <xf numFmtId="2" fontId="178" fillId="55" borderId="77" xfId="0" applyNumberFormat="1" applyFont="1" applyFill="1" applyBorder="1" applyAlignment="1" applyProtection="1">
      <alignment horizontal="center" vertical="center" wrapText="1"/>
    </xf>
    <xf numFmtId="2" fontId="178" fillId="55" borderId="12" xfId="0" applyNumberFormat="1" applyFont="1" applyFill="1" applyBorder="1" applyAlignment="1" applyProtection="1">
      <alignment horizontal="center" vertical="center" wrapText="1"/>
    </xf>
    <xf numFmtId="2" fontId="178" fillId="55" borderId="63" xfId="0" applyNumberFormat="1" applyFont="1" applyFill="1" applyBorder="1" applyAlignment="1" applyProtection="1">
      <alignment horizontal="center" vertical="center" wrapText="1"/>
    </xf>
    <xf numFmtId="2" fontId="3" fillId="55" borderId="54" xfId="0" applyNumberFormat="1" applyFont="1" applyFill="1" applyBorder="1" applyAlignment="1" applyProtection="1">
      <alignment horizontal="center" vertical="center"/>
    </xf>
    <xf numFmtId="2" fontId="3" fillId="55" borderId="39" xfId="0" applyNumberFormat="1" applyFont="1" applyFill="1" applyBorder="1" applyAlignment="1" applyProtection="1">
      <alignment horizontal="center" vertical="center"/>
    </xf>
    <xf numFmtId="2" fontId="3" fillId="55" borderId="55" xfId="0" applyNumberFormat="1" applyFont="1" applyFill="1" applyBorder="1" applyAlignment="1" applyProtection="1">
      <alignment horizontal="center" vertical="center"/>
    </xf>
    <xf numFmtId="2" fontId="3" fillId="55" borderId="77" xfId="0" applyNumberFormat="1" applyFont="1" applyFill="1" applyBorder="1" applyAlignment="1" applyProtection="1">
      <alignment horizontal="center" vertical="center"/>
    </xf>
    <xf numFmtId="2" fontId="3" fillId="55" borderId="12" xfId="0" applyNumberFormat="1" applyFont="1" applyFill="1" applyBorder="1" applyAlignment="1" applyProtection="1">
      <alignment horizontal="center" vertical="center"/>
    </xf>
    <xf numFmtId="2" fontId="3" fillId="55" borderId="63" xfId="0" applyNumberFormat="1" applyFont="1" applyFill="1" applyBorder="1" applyAlignment="1" applyProtection="1">
      <alignment horizontal="center" vertical="center"/>
    </xf>
    <xf numFmtId="2" fontId="178" fillId="75" borderId="54" xfId="0" applyNumberFormat="1" applyFont="1" applyFill="1" applyBorder="1" applyAlignment="1" applyProtection="1">
      <alignment horizontal="center" vertical="center" wrapText="1"/>
    </xf>
    <xf numFmtId="2" fontId="178" fillId="75" borderId="39" xfId="0" applyNumberFormat="1" applyFont="1" applyFill="1" applyBorder="1" applyAlignment="1" applyProtection="1">
      <alignment horizontal="center" vertical="center" wrapText="1"/>
    </xf>
    <xf numFmtId="2" fontId="178" fillId="75" borderId="55" xfId="0" applyNumberFormat="1" applyFont="1" applyFill="1" applyBorder="1" applyAlignment="1" applyProtection="1">
      <alignment horizontal="center" vertical="center" wrapText="1"/>
    </xf>
    <xf numFmtId="2" fontId="178" fillId="75" borderId="77" xfId="0" applyNumberFormat="1" applyFont="1" applyFill="1" applyBorder="1" applyAlignment="1" applyProtection="1">
      <alignment horizontal="center" vertical="center" wrapText="1"/>
    </xf>
    <xf numFmtId="2" fontId="178" fillId="75" borderId="12" xfId="0" applyNumberFormat="1" applyFont="1" applyFill="1" applyBorder="1" applyAlignment="1" applyProtection="1">
      <alignment horizontal="center" vertical="center" wrapText="1"/>
    </xf>
    <xf numFmtId="2" fontId="178" fillId="75" borderId="63" xfId="0" applyNumberFormat="1" applyFont="1" applyFill="1" applyBorder="1" applyAlignment="1" applyProtection="1">
      <alignment horizontal="center" vertical="center" wrapText="1"/>
    </xf>
    <xf numFmtId="2" fontId="3" fillId="75" borderId="54" xfId="0" applyNumberFormat="1" applyFont="1" applyFill="1" applyBorder="1" applyAlignment="1" applyProtection="1">
      <alignment horizontal="center" vertical="center"/>
    </xf>
    <xf numFmtId="2" fontId="3" fillId="75" borderId="39" xfId="0" applyNumberFormat="1" applyFont="1" applyFill="1" applyBorder="1" applyAlignment="1" applyProtection="1">
      <alignment horizontal="center" vertical="center"/>
    </xf>
    <xf numFmtId="2" fontId="3" fillId="75" borderId="77" xfId="0" applyNumberFormat="1" applyFont="1" applyFill="1" applyBorder="1" applyAlignment="1" applyProtection="1">
      <alignment horizontal="center" vertical="center"/>
    </xf>
    <xf numFmtId="2" fontId="3" fillId="75" borderId="12" xfId="0" applyNumberFormat="1" applyFont="1" applyFill="1" applyBorder="1" applyAlignment="1" applyProtection="1">
      <alignment horizontal="center" vertical="center"/>
    </xf>
    <xf numFmtId="2" fontId="3" fillId="73" borderId="49" xfId="0" applyNumberFormat="1" applyFont="1" applyFill="1" applyBorder="1" applyAlignment="1" applyProtection="1">
      <alignment horizontal="center" vertical="center"/>
    </xf>
    <xf numFmtId="2" fontId="3" fillId="73" borderId="53" xfId="0" applyNumberFormat="1" applyFont="1" applyFill="1" applyBorder="1" applyAlignment="1" applyProtection="1">
      <alignment horizontal="center" vertical="center"/>
    </xf>
    <xf numFmtId="2" fontId="3" fillId="75" borderId="55" xfId="0" applyNumberFormat="1" applyFont="1" applyFill="1" applyBorder="1" applyAlignment="1" applyProtection="1">
      <alignment horizontal="center" vertical="center"/>
    </xf>
    <xf numFmtId="2" fontId="3" fillId="75" borderId="63" xfId="0" applyNumberFormat="1" applyFont="1" applyFill="1" applyBorder="1" applyAlignment="1" applyProtection="1">
      <alignment horizontal="center" vertical="center"/>
    </xf>
    <xf numFmtId="0" fontId="178" fillId="77" borderId="54" xfId="0" applyFont="1" applyFill="1" applyBorder="1" applyAlignment="1" applyProtection="1">
      <alignment horizontal="center" vertical="center" wrapText="1"/>
    </xf>
    <xf numFmtId="0" fontId="178" fillId="77" borderId="39" xfId="0" applyFont="1" applyFill="1" applyBorder="1" applyAlignment="1" applyProtection="1">
      <alignment horizontal="center" vertical="center" wrapText="1"/>
    </xf>
    <xf numFmtId="0" fontId="178" fillId="56" borderId="49" xfId="0" applyFont="1" applyFill="1" applyBorder="1" applyAlignment="1" applyProtection="1">
      <alignment horizontal="center" vertical="center" wrapText="1"/>
    </xf>
    <xf numFmtId="0" fontId="178" fillId="56" borderId="83" xfId="0" applyFont="1" applyFill="1" applyBorder="1" applyAlignment="1" applyProtection="1">
      <alignment horizontal="center" vertical="center" wrapText="1"/>
    </xf>
    <xf numFmtId="0" fontId="178" fillId="72" borderId="55" xfId="0" applyFont="1" applyFill="1" applyBorder="1" applyAlignment="1" applyProtection="1">
      <alignment horizontal="center" vertical="center" wrapText="1"/>
    </xf>
    <xf numFmtId="0" fontId="178" fillId="72" borderId="84" xfId="0" applyFont="1" applyFill="1" applyBorder="1" applyAlignment="1" applyProtection="1">
      <alignment horizontal="center" vertical="center" wrapText="1"/>
    </xf>
    <xf numFmtId="0" fontId="3" fillId="74" borderId="39" xfId="0" applyFont="1" applyFill="1" applyBorder="1" applyAlignment="1" applyProtection="1">
      <alignment horizontal="center" vertical="center" wrapText="1"/>
    </xf>
    <xf numFmtId="0" fontId="3" fillId="69" borderId="24" xfId="0" applyFont="1" applyFill="1" applyBorder="1" applyAlignment="1" applyProtection="1">
      <alignment horizontal="center" vertical="center" wrapText="1"/>
    </xf>
    <xf numFmtId="0" fontId="3" fillId="69" borderId="92" xfId="0" applyFont="1" applyFill="1" applyBorder="1" applyAlignment="1" applyProtection="1">
      <alignment horizontal="center" vertical="center" wrapText="1"/>
    </xf>
    <xf numFmtId="0" fontId="3" fillId="69" borderId="55" xfId="0" applyFont="1" applyFill="1" applyBorder="1" applyAlignment="1" applyProtection="1">
      <alignment horizontal="center" vertical="center" wrapText="1"/>
    </xf>
    <xf numFmtId="0" fontId="3" fillId="69" borderId="84" xfId="0" applyFont="1" applyFill="1" applyBorder="1" applyAlignment="1" applyProtection="1">
      <alignment horizontal="center" vertical="center" wrapText="1"/>
    </xf>
    <xf numFmtId="2" fontId="3" fillId="73" borderId="54" xfId="0" applyNumberFormat="1" applyFont="1" applyFill="1" applyBorder="1" applyAlignment="1" applyProtection="1">
      <alignment horizontal="center" vertical="center"/>
    </xf>
    <xf numFmtId="2" fontId="3" fillId="73" borderId="77" xfId="0" applyNumberFormat="1" applyFont="1" applyFill="1" applyBorder="1" applyAlignment="1" applyProtection="1">
      <alignment horizontal="center" vertical="center"/>
    </xf>
    <xf numFmtId="2" fontId="3" fillId="55" borderId="49" xfId="0" applyNumberFormat="1" applyFont="1" applyFill="1" applyBorder="1" applyAlignment="1" applyProtection="1">
      <alignment horizontal="center" vertical="center"/>
    </xf>
    <xf numFmtId="2" fontId="3" fillId="55" borderId="53" xfId="0" applyNumberFormat="1" applyFont="1" applyFill="1" applyBorder="1" applyAlignment="1" applyProtection="1">
      <alignment horizontal="center" vertical="center"/>
    </xf>
    <xf numFmtId="0" fontId="177" fillId="56" borderId="49" xfId="0" applyFont="1" applyFill="1" applyBorder="1" applyAlignment="1" applyProtection="1">
      <alignment horizontal="center" vertical="center" wrapText="1"/>
    </xf>
    <xf numFmtId="0" fontId="177" fillId="56" borderId="52" xfId="0" applyFont="1" applyFill="1" applyBorder="1" applyAlignment="1" applyProtection="1">
      <alignment horizontal="center" vertical="center" wrapText="1"/>
    </xf>
    <xf numFmtId="0" fontId="178" fillId="74" borderId="49" xfId="0" applyFont="1" applyFill="1" applyBorder="1" applyAlignment="1" applyProtection="1">
      <alignment horizontal="center" vertical="center" wrapText="1"/>
    </xf>
    <xf numFmtId="0" fontId="178" fillId="74" borderId="52" xfId="0" applyFont="1" applyFill="1" applyBorder="1" applyAlignment="1" applyProtection="1">
      <alignment horizontal="center" vertical="center" wrapText="1"/>
    </xf>
    <xf numFmtId="0" fontId="178" fillId="75" borderId="24" xfId="0" applyFont="1" applyFill="1" applyBorder="1" applyAlignment="1" applyProtection="1">
      <alignment horizontal="center" vertical="center" wrapText="1"/>
    </xf>
    <xf numFmtId="0" fontId="178" fillId="75" borderId="79" xfId="0" applyFont="1" applyFill="1" applyBorder="1" applyAlignment="1" applyProtection="1">
      <alignment horizontal="center" vertical="center" wrapText="1"/>
    </xf>
    <xf numFmtId="0" fontId="153" fillId="75" borderId="41" xfId="0" applyFont="1" applyFill="1" applyBorder="1" applyAlignment="1">
      <alignment horizontal="center"/>
    </xf>
    <xf numFmtId="0" fontId="153" fillId="75" borderId="38" xfId="0" applyFont="1" applyFill="1" applyBorder="1" applyAlignment="1">
      <alignment horizontal="center"/>
    </xf>
    <xf numFmtId="0" fontId="2" fillId="62" borderId="171" xfId="2363" applyNumberFormat="1" applyFont="1" applyFill="1" applyBorder="1" applyAlignment="1">
      <alignment horizontal="center" vertical="center" wrapText="1"/>
    </xf>
    <xf numFmtId="1" fontId="2" fillId="62" borderId="171" xfId="2028" applyNumberFormat="1" applyFont="1" applyFill="1" applyBorder="1" applyAlignment="1">
      <alignment horizontal="center" vertical="center" wrapText="1"/>
    </xf>
    <xf numFmtId="0" fontId="2" fillId="62" borderId="180" xfId="2028" applyFont="1" applyFill="1" applyBorder="1" applyAlignment="1">
      <alignment horizontal="center" vertical="center" wrapText="1"/>
    </xf>
    <xf numFmtId="0" fontId="2" fillId="62" borderId="59" xfId="2028" applyFont="1" applyFill="1" applyBorder="1" applyAlignment="1">
      <alignment horizontal="center" vertical="center" wrapText="1"/>
    </xf>
  </cellXfs>
  <cellStyles count="2448">
    <cellStyle name=" 1" xfId="1"/>
    <cellStyle name=" 1 2" xfId="2"/>
    <cellStyle name=" 1_Stage1" xfId="3"/>
    <cellStyle name="_x000a_bidires=100_x000d_" xfId="4"/>
    <cellStyle name="%" xfId="5"/>
    <cellStyle name="%_Inputs" xfId="6"/>
    <cellStyle name="%_Inputs (const)" xfId="7"/>
    <cellStyle name="%_Inputs Co" xfId="8"/>
    <cellStyle name="?…?ж?Ш?и [0.00]" xfId="9"/>
    <cellStyle name="?W??_‘O’с?р??" xfId="10"/>
    <cellStyle name="_CashFlow_2007_проект_02_02_final" xfId="11"/>
    <cellStyle name="_Model_RAB Мой" xfId="12"/>
    <cellStyle name="_Model_RAB Мой 2" xfId="13"/>
    <cellStyle name="_Model_RAB Мой 2_OREP.KU.2011.MONTHLY.02(v0.1)" xfId="14"/>
    <cellStyle name="_Model_RAB Мой 2_OREP.KU.2011.MONTHLY.02(v0.4)" xfId="15"/>
    <cellStyle name="_Model_RAB Мой 2_OREP.KU.2011.MONTHLY.11(v1.4)" xfId="16"/>
    <cellStyle name="_Model_RAB Мой 2_OREP.KU.2011.MONTHLY.11(v1.4)_UPDATE.BALANCE.WARM.2012YEAR.TO.1.1" xfId="17"/>
    <cellStyle name="_Model_RAB Мой 2_OREP.KU.2011.MONTHLY.11(v1.4)_UPDATE.CALC.WARM.2012YEAR.TO.1.1" xfId="18"/>
    <cellStyle name="_Model_RAB Мой 2_UPDATE.BALANCE.WARM.2012YEAR.TO.1.1" xfId="19"/>
    <cellStyle name="_Model_RAB Мой 2_UPDATE.CALC.WARM.2012YEAR.TO.1.1" xfId="20"/>
    <cellStyle name="_Model_RAB Мой 2_UPDATE.MONITORING.OS.EE.2.02.TO.1.3.64" xfId="21"/>
    <cellStyle name="_Model_RAB Мой 2_UPDATE.OREP.KU.2011.MONTHLY.02.TO.1.2" xfId="22"/>
    <cellStyle name="_Model_RAB Мой_46EE.2011(v1.0)" xfId="23"/>
    <cellStyle name="_Model_RAB Мой_46EE.2011(v1.0)_46TE.2011(v1.0)" xfId="24"/>
    <cellStyle name="_Model_RAB Мой_46EE.2011(v1.0)_INDEX.STATION.2012(v1.0)_" xfId="25"/>
    <cellStyle name="_Model_RAB Мой_46EE.2011(v1.0)_INDEX.STATION.2012(v2.0)" xfId="26"/>
    <cellStyle name="_Model_RAB Мой_46EE.2011(v1.0)_INDEX.STATION.2012(v2.1)" xfId="27"/>
    <cellStyle name="_Model_RAB Мой_46EE.2011(v1.0)_TEPLO.PREDEL.2012.M(v1.1)_test" xfId="28"/>
    <cellStyle name="_Model_RAB Мой_46EE.2011(v1.2)" xfId="29"/>
    <cellStyle name="_Model_RAB Мой_46EP.2011(v2.0)" xfId="30"/>
    <cellStyle name="_Model_RAB Мой_46EP.2012(v0.1)" xfId="31"/>
    <cellStyle name="_Model_RAB Мой_46TE.2011(v1.0)" xfId="32"/>
    <cellStyle name="_Model_RAB Мой_4DNS.UPDATE.EXAMPLE" xfId="33"/>
    <cellStyle name="_Model_RAB Мой_ARMRAZR" xfId="34"/>
    <cellStyle name="_Model_RAB Мой_BALANCE.WARM.2010.FACT(v1.0)" xfId="35"/>
    <cellStyle name="_Model_RAB Мой_BALANCE.WARM.2010.PLAN" xfId="36"/>
    <cellStyle name="_Model_RAB Мой_BALANCE.WARM.2011YEAR(v0.7)" xfId="37"/>
    <cellStyle name="_Model_RAB Мой_BALANCE.WARM.2011YEAR.NEW.UPDATE.SCHEME" xfId="38"/>
    <cellStyle name="_Model_RAB Мой_CALC.NORMATIV.KU(v0.2)" xfId="39"/>
    <cellStyle name="_Model_RAB Мой_EE.2REK.P2011.4.78(v0.3)" xfId="40"/>
    <cellStyle name="_Model_RAB Мой_FORM3.1.2013(v0.2)" xfId="41"/>
    <cellStyle name="_Model_RAB Мой_FORM3.2013(v1.0)" xfId="42"/>
    <cellStyle name="_Model_RAB Мой_FORM3.REG(v1.0)" xfId="43"/>
    <cellStyle name="_Model_RAB Мой_FORM910.2012(v1.1)" xfId="44"/>
    <cellStyle name="_Model_RAB Мой_INDEX.STATION.2012(v2.1)" xfId="45"/>
    <cellStyle name="_Model_RAB Мой_INDEX.STATION.2013(v1.0)_патч до 1.1" xfId="46"/>
    <cellStyle name="_Model_RAB Мой_INVEST.EE.PLAN.4.78(v0.1)" xfId="47"/>
    <cellStyle name="_Model_RAB Мой_INVEST.EE.PLAN.4.78(v0.3)" xfId="48"/>
    <cellStyle name="_Model_RAB Мой_INVEST.EE.PLAN.4.78(v1.0)" xfId="49"/>
    <cellStyle name="_Model_RAB Мой_INVEST.EE.PLAN.4.78(v1.0)_PASSPORT.TEPLO.PROIZV(v2.0)" xfId="50"/>
    <cellStyle name="_Model_RAB Мой_INVEST.EE.PLAN.4.78(v1.0)_PASSPORT.TEPLO.PROIZV(v2.0)_INDEX.STATION.2013(v1.0)_патч до 1.1" xfId="51"/>
    <cellStyle name="_Model_RAB Мой_INVEST.EE.PLAN.4.78(v1.0)_PASSPORT.TEPLO.PROIZV(v2.0)_TEPLO.PREDEL.2013(v2.0)" xfId="52"/>
    <cellStyle name="_Model_RAB Мой_INVEST.PLAN.4.78(v0.1)" xfId="53"/>
    <cellStyle name="_Model_RAB Мой_INVEST.WARM.PLAN.4.78(v0.1)" xfId="54"/>
    <cellStyle name="_Model_RAB Мой_INVEST_WARM_PLAN" xfId="55"/>
    <cellStyle name="_Model_RAB Мой_NADB.JNVLP.APTEKA.2012(v1.0)_21_02_12" xfId="56"/>
    <cellStyle name="_Model_RAB Мой_NADB.JNVLS.APTEKA.2011(v1.3.3)" xfId="57"/>
    <cellStyle name="_Model_RAB Мой_NADB.JNVLS.APTEKA.2011(v1.3.3)_46TE.2011(v1.0)" xfId="58"/>
    <cellStyle name="_Model_RAB Мой_NADB.JNVLS.APTEKA.2011(v1.3.3)_INDEX.STATION.2012(v1.0)_" xfId="59"/>
    <cellStyle name="_Model_RAB Мой_NADB.JNVLS.APTEKA.2011(v1.3.3)_INDEX.STATION.2012(v2.0)" xfId="60"/>
    <cellStyle name="_Model_RAB Мой_NADB.JNVLS.APTEKA.2011(v1.3.3)_INDEX.STATION.2012(v2.1)" xfId="61"/>
    <cellStyle name="_Model_RAB Мой_NADB.JNVLS.APTEKA.2011(v1.3.3)_TEPLO.PREDEL.2012.M(v1.1)_test" xfId="62"/>
    <cellStyle name="_Model_RAB Мой_NADB.JNVLS.APTEKA.2011(v1.3.4)" xfId="63"/>
    <cellStyle name="_Model_RAB Мой_NADB.JNVLS.APTEKA.2011(v1.3.4)_46TE.2011(v1.0)" xfId="64"/>
    <cellStyle name="_Model_RAB Мой_NADB.JNVLS.APTEKA.2011(v1.3.4)_INDEX.STATION.2012(v1.0)_" xfId="65"/>
    <cellStyle name="_Model_RAB Мой_NADB.JNVLS.APTEKA.2011(v1.3.4)_INDEX.STATION.2012(v2.0)" xfId="66"/>
    <cellStyle name="_Model_RAB Мой_NADB.JNVLS.APTEKA.2011(v1.3.4)_INDEX.STATION.2012(v2.1)" xfId="67"/>
    <cellStyle name="_Model_RAB Мой_NADB.JNVLS.APTEKA.2011(v1.3.4)_TEPLO.PREDEL.2012.M(v1.1)_test" xfId="68"/>
    <cellStyle name="_Model_RAB Мой_PASSPORT.TEPLO.PROIZV(v2.0)" xfId="69"/>
    <cellStyle name="_Model_RAB Мой_PASSPORT.TEPLO.PROIZV(v2.1)" xfId="70"/>
    <cellStyle name="_Model_RAB Мой_PASSPORT.TEPLO.SETI(v0.7)" xfId="71"/>
    <cellStyle name="_Model_RAB Мой_PASSPORT.TEPLO.SETI(v1.0)" xfId="72"/>
    <cellStyle name="_Model_RAB Мой_PR.PROG.WARM.NOTCOMBI.2012.2.16_v1.4(04.04.11) " xfId="73"/>
    <cellStyle name="_Model_RAB Мой_PREDEL.JKH.UTV.2011(v1.0.1)" xfId="74"/>
    <cellStyle name="_Model_RAB Мой_PREDEL.JKH.UTV.2011(v1.0.1)_46TE.2011(v1.0)" xfId="75"/>
    <cellStyle name="_Model_RAB Мой_PREDEL.JKH.UTV.2011(v1.0.1)_INDEX.STATION.2012(v1.0)_" xfId="76"/>
    <cellStyle name="_Model_RAB Мой_PREDEL.JKH.UTV.2011(v1.0.1)_INDEX.STATION.2012(v2.0)" xfId="77"/>
    <cellStyle name="_Model_RAB Мой_PREDEL.JKH.UTV.2011(v1.0.1)_INDEX.STATION.2012(v2.1)" xfId="78"/>
    <cellStyle name="_Model_RAB Мой_PREDEL.JKH.UTV.2011(v1.0.1)_TEPLO.PREDEL.2012.M(v1.1)_test" xfId="79"/>
    <cellStyle name="_Model_RAB Мой_PREDEL.JKH.UTV.2011(v1.1)" xfId="80"/>
    <cellStyle name="_Model_RAB Мой_REP.BLR.2012(v1.0)" xfId="81"/>
    <cellStyle name="_Model_RAB Мой_TEHSHEET" xfId="82"/>
    <cellStyle name="_Model_RAB Мой_TEPLO.PREDEL.2012.M(v1.1)" xfId="83"/>
    <cellStyle name="_Model_RAB Мой_TEPLO.PREDEL.2013(v2.0)" xfId="84"/>
    <cellStyle name="_Model_RAB Мой_TEST.TEMPLATE" xfId="85"/>
    <cellStyle name="_Model_RAB Мой_UPDATE.46EE.2011.TO.1.1" xfId="86"/>
    <cellStyle name="_Model_RAB Мой_UPDATE.46TE.2011.TO.1.1" xfId="87"/>
    <cellStyle name="_Model_RAB Мой_UPDATE.46TE.2011.TO.1.2" xfId="88"/>
    <cellStyle name="_Model_RAB Мой_UPDATE.BALANCE.WARM.2011YEAR.TO.1.1" xfId="89"/>
    <cellStyle name="_Model_RAB Мой_UPDATE.BALANCE.WARM.2011YEAR.TO.1.1_46TE.2011(v1.0)" xfId="90"/>
    <cellStyle name="_Model_RAB Мой_UPDATE.BALANCE.WARM.2011YEAR.TO.1.1_INDEX.STATION.2012(v1.0)_" xfId="91"/>
    <cellStyle name="_Model_RAB Мой_UPDATE.BALANCE.WARM.2011YEAR.TO.1.1_INDEX.STATION.2012(v2.0)" xfId="92"/>
    <cellStyle name="_Model_RAB Мой_UPDATE.BALANCE.WARM.2011YEAR.TO.1.1_INDEX.STATION.2012(v2.1)" xfId="93"/>
    <cellStyle name="_Model_RAB Мой_UPDATE.BALANCE.WARM.2011YEAR.TO.1.1_OREP.KU.2011.MONTHLY.02(v1.1)" xfId="94"/>
    <cellStyle name="_Model_RAB Мой_UPDATE.BALANCE.WARM.2011YEAR.TO.1.1_TEPLO.PREDEL.2012.M(v1.1)_test" xfId="95"/>
    <cellStyle name="_Model_RAB Мой_UPDATE.BALANCE.WARM.2011YEAR.TO.1.2" xfId="96"/>
    <cellStyle name="_Model_RAB Мой_UPDATE.BALANCE.WARM.2011YEAR.TO.1.4.64" xfId="97"/>
    <cellStyle name="_Model_RAB Мой_UPDATE.BALANCE.WARM.2011YEAR.TO.1.5.64" xfId="98"/>
    <cellStyle name="_Model_RAB Мой_UPDATE.MONITORING.OS.EE.2.02.TO.1.3.64" xfId="99"/>
    <cellStyle name="_Model_RAB Мой_UPDATE.NADB.JNVLS.APTEKA.2011.TO.1.3.4" xfId="100"/>
    <cellStyle name="_Model_RAB Мой_Книга2_PR.PROG.WARM.NOTCOMBI.2012.2.16_v1.4(04.04.11) " xfId="101"/>
    <cellStyle name="_Model_RAB_MRSK_svod" xfId="102"/>
    <cellStyle name="_Model_RAB_MRSK_svod 2" xfId="103"/>
    <cellStyle name="_Model_RAB_MRSK_svod 2_OREP.KU.2011.MONTHLY.02(v0.1)" xfId="104"/>
    <cellStyle name="_Model_RAB_MRSK_svod 2_OREP.KU.2011.MONTHLY.02(v0.4)" xfId="105"/>
    <cellStyle name="_Model_RAB_MRSK_svod 2_OREP.KU.2011.MONTHLY.11(v1.4)" xfId="106"/>
    <cellStyle name="_Model_RAB_MRSK_svod 2_OREP.KU.2011.MONTHLY.11(v1.4)_UPDATE.BALANCE.WARM.2012YEAR.TO.1.1" xfId="107"/>
    <cellStyle name="_Model_RAB_MRSK_svod 2_OREP.KU.2011.MONTHLY.11(v1.4)_UPDATE.CALC.WARM.2012YEAR.TO.1.1" xfId="108"/>
    <cellStyle name="_Model_RAB_MRSK_svod 2_UPDATE.BALANCE.WARM.2012YEAR.TO.1.1" xfId="109"/>
    <cellStyle name="_Model_RAB_MRSK_svod 2_UPDATE.CALC.WARM.2012YEAR.TO.1.1" xfId="110"/>
    <cellStyle name="_Model_RAB_MRSK_svod 2_UPDATE.MONITORING.OS.EE.2.02.TO.1.3.64" xfId="111"/>
    <cellStyle name="_Model_RAB_MRSK_svod 2_UPDATE.OREP.KU.2011.MONTHLY.02.TO.1.2" xfId="112"/>
    <cellStyle name="_Model_RAB_MRSK_svod_46EE.2011(v1.0)" xfId="113"/>
    <cellStyle name="_Model_RAB_MRSK_svod_46EE.2011(v1.0)_46TE.2011(v1.0)" xfId="114"/>
    <cellStyle name="_Model_RAB_MRSK_svod_46EE.2011(v1.0)_INDEX.STATION.2012(v1.0)_" xfId="115"/>
    <cellStyle name="_Model_RAB_MRSK_svod_46EE.2011(v1.0)_INDEX.STATION.2012(v2.0)" xfId="116"/>
    <cellStyle name="_Model_RAB_MRSK_svod_46EE.2011(v1.0)_INDEX.STATION.2012(v2.1)" xfId="117"/>
    <cellStyle name="_Model_RAB_MRSK_svod_46EE.2011(v1.0)_TEPLO.PREDEL.2012.M(v1.1)_test" xfId="118"/>
    <cellStyle name="_Model_RAB_MRSK_svod_46EE.2011(v1.2)" xfId="119"/>
    <cellStyle name="_Model_RAB_MRSK_svod_46EP.2011(v2.0)" xfId="120"/>
    <cellStyle name="_Model_RAB_MRSK_svod_46EP.2012(v0.1)" xfId="121"/>
    <cellStyle name="_Model_RAB_MRSK_svod_46TE.2011(v1.0)" xfId="122"/>
    <cellStyle name="_Model_RAB_MRSK_svod_4DNS.UPDATE.EXAMPLE" xfId="123"/>
    <cellStyle name="_Model_RAB_MRSK_svod_ARMRAZR" xfId="124"/>
    <cellStyle name="_Model_RAB_MRSK_svod_BALANCE.WARM.2010.FACT(v1.0)" xfId="125"/>
    <cellStyle name="_Model_RAB_MRSK_svod_BALANCE.WARM.2010.PLAN" xfId="126"/>
    <cellStyle name="_Model_RAB_MRSK_svod_BALANCE.WARM.2011YEAR(v0.7)" xfId="127"/>
    <cellStyle name="_Model_RAB_MRSK_svod_BALANCE.WARM.2011YEAR.NEW.UPDATE.SCHEME" xfId="128"/>
    <cellStyle name="_Model_RAB_MRSK_svod_CALC.NORMATIV.KU(v0.2)" xfId="129"/>
    <cellStyle name="_Model_RAB_MRSK_svod_EE.2REK.P2011.4.78(v0.3)" xfId="130"/>
    <cellStyle name="_Model_RAB_MRSK_svod_FORM3.1.2013(v0.2)" xfId="131"/>
    <cellStyle name="_Model_RAB_MRSK_svod_FORM3.2013(v1.0)" xfId="132"/>
    <cellStyle name="_Model_RAB_MRSK_svod_FORM3.REG(v1.0)" xfId="133"/>
    <cellStyle name="_Model_RAB_MRSK_svod_FORM910.2012(v1.1)" xfId="134"/>
    <cellStyle name="_Model_RAB_MRSK_svod_INDEX.STATION.2012(v2.1)" xfId="135"/>
    <cellStyle name="_Model_RAB_MRSK_svod_INDEX.STATION.2013(v1.0)_патч до 1.1" xfId="136"/>
    <cellStyle name="_Model_RAB_MRSK_svod_INVEST.EE.PLAN.4.78(v0.1)" xfId="137"/>
    <cellStyle name="_Model_RAB_MRSK_svod_INVEST.EE.PLAN.4.78(v0.3)" xfId="138"/>
    <cellStyle name="_Model_RAB_MRSK_svod_INVEST.EE.PLAN.4.78(v1.0)" xfId="139"/>
    <cellStyle name="_Model_RAB_MRSK_svod_INVEST.EE.PLAN.4.78(v1.0)_PASSPORT.TEPLO.PROIZV(v2.0)" xfId="140"/>
    <cellStyle name="_Model_RAB_MRSK_svod_INVEST.EE.PLAN.4.78(v1.0)_PASSPORT.TEPLO.PROIZV(v2.0)_INDEX.STATION.2013(v1.0)_патч до 1.1" xfId="141"/>
    <cellStyle name="_Model_RAB_MRSK_svod_INVEST.EE.PLAN.4.78(v1.0)_PASSPORT.TEPLO.PROIZV(v2.0)_TEPLO.PREDEL.2013(v2.0)" xfId="142"/>
    <cellStyle name="_Model_RAB_MRSK_svod_INVEST.PLAN.4.78(v0.1)" xfId="143"/>
    <cellStyle name="_Model_RAB_MRSK_svod_INVEST.WARM.PLAN.4.78(v0.1)" xfId="144"/>
    <cellStyle name="_Model_RAB_MRSK_svod_INVEST_WARM_PLAN" xfId="145"/>
    <cellStyle name="_Model_RAB_MRSK_svod_NADB.JNVLP.APTEKA.2012(v1.0)_21_02_12" xfId="146"/>
    <cellStyle name="_Model_RAB_MRSK_svod_NADB.JNVLS.APTEKA.2011(v1.3.3)" xfId="147"/>
    <cellStyle name="_Model_RAB_MRSK_svod_NADB.JNVLS.APTEKA.2011(v1.3.3)_46TE.2011(v1.0)" xfId="148"/>
    <cellStyle name="_Model_RAB_MRSK_svod_NADB.JNVLS.APTEKA.2011(v1.3.3)_INDEX.STATION.2012(v1.0)_" xfId="149"/>
    <cellStyle name="_Model_RAB_MRSK_svod_NADB.JNVLS.APTEKA.2011(v1.3.3)_INDEX.STATION.2012(v2.0)" xfId="150"/>
    <cellStyle name="_Model_RAB_MRSK_svod_NADB.JNVLS.APTEKA.2011(v1.3.3)_INDEX.STATION.2012(v2.1)" xfId="151"/>
    <cellStyle name="_Model_RAB_MRSK_svod_NADB.JNVLS.APTEKA.2011(v1.3.3)_TEPLO.PREDEL.2012.M(v1.1)_test" xfId="152"/>
    <cellStyle name="_Model_RAB_MRSK_svod_NADB.JNVLS.APTEKA.2011(v1.3.4)" xfId="153"/>
    <cellStyle name="_Model_RAB_MRSK_svod_NADB.JNVLS.APTEKA.2011(v1.3.4)_46TE.2011(v1.0)" xfId="154"/>
    <cellStyle name="_Model_RAB_MRSK_svod_NADB.JNVLS.APTEKA.2011(v1.3.4)_INDEX.STATION.2012(v1.0)_" xfId="155"/>
    <cellStyle name="_Model_RAB_MRSK_svod_NADB.JNVLS.APTEKA.2011(v1.3.4)_INDEX.STATION.2012(v2.0)" xfId="156"/>
    <cellStyle name="_Model_RAB_MRSK_svod_NADB.JNVLS.APTEKA.2011(v1.3.4)_INDEX.STATION.2012(v2.1)" xfId="157"/>
    <cellStyle name="_Model_RAB_MRSK_svod_NADB.JNVLS.APTEKA.2011(v1.3.4)_TEPLO.PREDEL.2012.M(v1.1)_test" xfId="158"/>
    <cellStyle name="_Model_RAB_MRSK_svod_PASSPORT.TEPLO.PROIZV(v2.0)" xfId="159"/>
    <cellStyle name="_Model_RAB_MRSK_svod_PASSPORT.TEPLO.PROIZV(v2.1)" xfId="160"/>
    <cellStyle name="_Model_RAB_MRSK_svod_PASSPORT.TEPLO.SETI(v0.7)" xfId="161"/>
    <cellStyle name="_Model_RAB_MRSK_svod_PASSPORT.TEPLO.SETI(v1.0)" xfId="162"/>
    <cellStyle name="_Model_RAB_MRSK_svod_PR.PROG.WARM.NOTCOMBI.2012.2.16_v1.4(04.04.11) " xfId="163"/>
    <cellStyle name="_Model_RAB_MRSK_svod_PREDEL.JKH.UTV.2011(v1.0.1)" xfId="164"/>
    <cellStyle name="_Model_RAB_MRSK_svod_PREDEL.JKH.UTV.2011(v1.0.1)_46TE.2011(v1.0)" xfId="165"/>
    <cellStyle name="_Model_RAB_MRSK_svod_PREDEL.JKH.UTV.2011(v1.0.1)_INDEX.STATION.2012(v1.0)_" xfId="166"/>
    <cellStyle name="_Model_RAB_MRSK_svod_PREDEL.JKH.UTV.2011(v1.0.1)_INDEX.STATION.2012(v2.0)" xfId="167"/>
    <cellStyle name="_Model_RAB_MRSK_svod_PREDEL.JKH.UTV.2011(v1.0.1)_INDEX.STATION.2012(v2.1)" xfId="168"/>
    <cellStyle name="_Model_RAB_MRSK_svod_PREDEL.JKH.UTV.2011(v1.0.1)_TEPLO.PREDEL.2012.M(v1.1)_test" xfId="169"/>
    <cellStyle name="_Model_RAB_MRSK_svod_PREDEL.JKH.UTV.2011(v1.1)" xfId="170"/>
    <cellStyle name="_Model_RAB_MRSK_svod_REP.BLR.2012(v1.0)" xfId="171"/>
    <cellStyle name="_Model_RAB_MRSK_svod_TEHSHEET" xfId="172"/>
    <cellStyle name="_Model_RAB_MRSK_svod_TEPLO.PREDEL.2012.M(v1.1)" xfId="173"/>
    <cellStyle name="_Model_RAB_MRSK_svod_TEPLO.PREDEL.2013(v2.0)" xfId="174"/>
    <cellStyle name="_Model_RAB_MRSK_svod_TEST.TEMPLATE" xfId="175"/>
    <cellStyle name="_Model_RAB_MRSK_svod_UPDATE.46EE.2011.TO.1.1" xfId="176"/>
    <cellStyle name="_Model_RAB_MRSK_svod_UPDATE.46TE.2011.TO.1.1" xfId="177"/>
    <cellStyle name="_Model_RAB_MRSK_svod_UPDATE.46TE.2011.TO.1.2" xfId="178"/>
    <cellStyle name="_Model_RAB_MRSK_svod_UPDATE.BALANCE.WARM.2011YEAR.TO.1.1" xfId="179"/>
    <cellStyle name="_Model_RAB_MRSK_svod_UPDATE.BALANCE.WARM.2011YEAR.TO.1.1_46TE.2011(v1.0)" xfId="180"/>
    <cellStyle name="_Model_RAB_MRSK_svod_UPDATE.BALANCE.WARM.2011YEAR.TO.1.1_INDEX.STATION.2012(v1.0)_" xfId="181"/>
    <cellStyle name="_Model_RAB_MRSK_svod_UPDATE.BALANCE.WARM.2011YEAR.TO.1.1_INDEX.STATION.2012(v2.0)" xfId="182"/>
    <cellStyle name="_Model_RAB_MRSK_svod_UPDATE.BALANCE.WARM.2011YEAR.TO.1.1_INDEX.STATION.2012(v2.1)" xfId="183"/>
    <cellStyle name="_Model_RAB_MRSK_svod_UPDATE.BALANCE.WARM.2011YEAR.TO.1.1_OREP.KU.2011.MONTHLY.02(v1.1)" xfId="184"/>
    <cellStyle name="_Model_RAB_MRSK_svod_UPDATE.BALANCE.WARM.2011YEAR.TO.1.1_TEPLO.PREDEL.2012.M(v1.1)_test" xfId="185"/>
    <cellStyle name="_Model_RAB_MRSK_svod_UPDATE.BALANCE.WARM.2011YEAR.TO.1.2" xfId="186"/>
    <cellStyle name="_Model_RAB_MRSK_svod_UPDATE.BALANCE.WARM.2011YEAR.TO.1.4.64" xfId="187"/>
    <cellStyle name="_Model_RAB_MRSK_svod_UPDATE.BALANCE.WARM.2011YEAR.TO.1.5.64" xfId="188"/>
    <cellStyle name="_Model_RAB_MRSK_svod_UPDATE.MONITORING.OS.EE.2.02.TO.1.3.64" xfId="189"/>
    <cellStyle name="_Model_RAB_MRSK_svod_UPDATE.NADB.JNVLS.APTEKA.2011.TO.1.3.4" xfId="190"/>
    <cellStyle name="_Model_RAB_MRSK_svod_Книга2_PR.PROG.WARM.NOTCOMBI.2012.2.16_v1.4(04.04.11) " xfId="191"/>
    <cellStyle name="_Plug" xfId="192"/>
    <cellStyle name="_Plug_4DNS.UPDATE.EXAMPLE" xfId="193"/>
    <cellStyle name="_Plug_4DNS.UPDATE.EXAMPLE_INDEX.STATION.2013(v1.0)_патч до 1.1" xfId="194"/>
    <cellStyle name="_Бюджет2006_ПОКАЗАТЕЛИ СВОДНЫЕ" xfId="195"/>
    <cellStyle name="_ВО ОП ТЭС-ОТ- 2007" xfId="196"/>
    <cellStyle name="_ВО ОП ТЭС-ОТ- 2007_Новая инструкция1_фст" xfId="197"/>
    <cellStyle name="_ВФ ОАО ТЭС-ОТ- 2009" xfId="198"/>
    <cellStyle name="_ВФ ОАО ТЭС-ОТ- 2009_Новая инструкция1_фст" xfId="199"/>
    <cellStyle name="_выручка по присоединениям2" xfId="200"/>
    <cellStyle name="_выручка по присоединениям2_Новая инструкция1_фст" xfId="201"/>
    <cellStyle name="_Договор аренды ЯЭ с разбивкой" xfId="202"/>
    <cellStyle name="_Договор аренды ЯЭ с разбивкой_Новая инструкция1_фст" xfId="203"/>
    <cellStyle name="_Защита ФЗП" xfId="204"/>
    <cellStyle name="_Исходные данные для модели" xfId="205"/>
    <cellStyle name="_Исходные данные для модели_Новая инструкция1_фст" xfId="206"/>
    <cellStyle name="_Консолидация-2008-проект-new" xfId="207"/>
    <cellStyle name="_МОДЕЛЬ_1 (2)" xfId="208"/>
    <cellStyle name="_МОДЕЛЬ_1 (2) 2" xfId="209"/>
    <cellStyle name="_МОДЕЛЬ_1 (2) 2_OREP.KU.2011.MONTHLY.02(v0.1)" xfId="210"/>
    <cellStyle name="_МОДЕЛЬ_1 (2) 2_OREP.KU.2011.MONTHLY.02(v0.4)" xfId="211"/>
    <cellStyle name="_МОДЕЛЬ_1 (2) 2_OREP.KU.2011.MONTHLY.11(v1.4)" xfId="212"/>
    <cellStyle name="_МОДЕЛЬ_1 (2) 2_OREP.KU.2011.MONTHLY.11(v1.4)_UPDATE.BALANCE.WARM.2012YEAR.TO.1.1" xfId="213"/>
    <cellStyle name="_МОДЕЛЬ_1 (2) 2_OREP.KU.2011.MONTHLY.11(v1.4)_UPDATE.CALC.WARM.2012YEAR.TO.1.1" xfId="214"/>
    <cellStyle name="_МОДЕЛЬ_1 (2) 2_UPDATE.BALANCE.WARM.2012YEAR.TO.1.1" xfId="215"/>
    <cellStyle name="_МОДЕЛЬ_1 (2) 2_UPDATE.CALC.WARM.2012YEAR.TO.1.1" xfId="216"/>
    <cellStyle name="_МОДЕЛЬ_1 (2) 2_UPDATE.MONITORING.OS.EE.2.02.TO.1.3.64" xfId="217"/>
    <cellStyle name="_МОДЕЛЬ_1 (2) 2_UPDATE.OREP.KU.2011.MONTHLY.02.TO.1.2" xfId="218"/>
    <cellStyle name="_МОДЕЛЬ_1 (2)_46EE.2011(v1.0)" xfId="219"/>
    <cellStyle name="_МОДЕЛЬ_1 (2)_46EE.2011(v1.0)_46TE.2011(v1.0)" xfId="220"/>
    <cellStyle name="_МОДЕЛЬ_1 (2)_46EE.2011(v1.0)_INDEX.STATION.2012(v1.0)_" xfId="221"/>
    <cellStyle name="_МОДЕЛЬ_1 (2)_46EE.2011(v1.0)_INDEX.STATION.2012(v2.0)" xfId="222"/>
    <cellStyle name="_МОДЕЛЬ_1 (2)_46EE.2011(v1.0)_INDEX.STATION.2012(v2.1)" xfId="223"/>
    <cellStyle name="_МОДЕЛЬ_1 (2)_46EE.2011(v1.0)_TEPLO.PREDEL.2012.M(v1.1)_test" xfId="224"/>
    <cellStyle name="_МОДЕЛЬ_1 (2)_46EE.2011(v1.2)" xfId="225"/>
    <cellStyle name="_МОДЕЛЬ_1 (2)_46EP.2011(v2.0)" xfId="226"/>
    <cellStyle name="_МОДЕЛЬ_1 (2)_46EP.2012(v0.1)" xfId="227"/>
    <cellStyle name="_МОДЕЛЬ_1 (2)_46TE.2011(v1.0)" xfId="228"/>
    <cellStyle name="_МОДЕЛЬ_1 (2)_4DNS.UPDATE.EXAMPLE" xfId="229"/>
    <cellStyle name="_МОДЕЛЬ_1 (2)_ARMRAZR" xfId="230"/>
    <cellStyle name="_МОДЕЛЬ_1 (2)_BALANCE.WARM.2010.FACT(v1.0)" xfId="231"/>
    <cellStyle name="_МОДЕЛЬ_1 (2)_BALANCE.WARM.2010.PLAN" xfId="232"/>
    <cellStyle name="_МОДЕЛЬ_1 (2)_BALANCE.WARM.2011YEAR(v0.7)" xfId="233"/>
    <cellStyle name="_МОДЕЛЬ_1 (2)_BALANCE.WARM.2011YEAR.NEW.UPDATE.SCHEME" xfId="234"/>
    <cellStyle name="_МОДЕЛЬ_1 (2)_CALC.NORMATIV.KU(v0.2)" xfId="235"/>
    <cellStyle name="_МОДЕЛЬ_1 (2)_EE.2REK.P2011.4.78(v0.3)" xfId="236"/>
    <cellStyle name="_МОДЕЛЬ_1 (2)_FORM3.1.2013(v0.2)" xfId="237"/>
    <cellStyle name="_МОДЕЛЬ_1 (2)_FORM3.2013(v1.0)" xfId="238"/>
    <cellStyle name="_МОДЕЛЬ_1 (2)_FORM3.REG(v1.0)" xfId="239"/>
    <cellStyle name="_МОДЕЛЬ_1 (2)_FORM910.2012(v1.1)" xfId="240"/>
    <cellStyle name="_МОДЕЛЬ_1 (2)_INDEX.STATION.2012(v2.1)" xfId="241"/>
    <cellStyle name="_МОДЕЛЬ_1 (2)_INDEX.STATION.2013(v1.0)_патч до 1.1" xfId="242"/>
    <cellStyle name="_МОДЕЛЬ_1 (2)_INVEST.EE.PLAN.4.78(v0.1)" xfId="243"/>
    <cellStyle name="_МОДЕЛЬ_1 (2)_INVEST.EE.PLAN.4.78(v0.3)" xfId="244"/>
    <cellStyle name="_МОДЕЛЬ_1 (2)_INVEST.EE.PLAN.4.78(v1.0)" xfId="245"/>
    <cellStyle name="_МОДЕЛЬ_1 (2)_INVEST.EE.PLAN.4.78(v1.0)_PASSPORT.TEPLO.PROIZV(v2.0)" xfId="246"/>
    <cellStyle name="_МОДЕЛЬ_1 (2)_INVEST.EE.PLAN.4.78(v1.0)_PASSPORT.TEPLO.PROIZV(v2.0)_INDEX.STATION.2013(v1.0)_патч до 1.1" xfId="247"/>
    <cellStyle name="_МОДЕЛЬ_1 (2)_INVEST.EE.PLAN.4.78(v1.0)_PASSPORT.TEPLO.PROIZV(v2.0)_TEPLO.PREDEL.2013(v2.0)" xfId="248"/>
    <cellStyle name="_МОДЕЛЬ_1 (2)_INVEST.PLAN.4.78(v0.1)" xfId="249"/>
    <cellStyle name="_МОДЕЛЬ_1 (2)_INVEST.WARM.PLAN.4.78(v0.1)" xfId="250"/>
    <cellStyle name="_МОДЕЛЬ_1 (2)_INVEST_WARM_PLAN" xfId="251"/>
    <cellStyle name="_МОДЕЛЬ_1 (2)_NADB.JNVLP.APTEKA.2012(v1.0)_21_02_12" xfId="252"/>
    <cellStyle name="_МОДЕЛЬ_1 (2)_NADB.JNVLS.APTEKA.2011(v1.3.3)" xfId="253"/>
    <cellStyle name="_МОДЕЛЬ_1 (2)_NADB.JNVLS.APTEKA.2011(v1.3.3)_46TE.2011(v1.0)" xfId="254"/>
    <cellStyle name="_МОДЕЛЬ_1 (2)_NADB.JNVLS.APTEKA.2011(v1.3.3)_INDEX.STATION.2012(v1.0)_" xfId="255"/>
    <cellStyle name="_МОДЕЛЬ_1 (2)_NADB.JNVLS.APTEKA.2011(v1.3.3)_INDEX.STATION.2012(v2.0)" xfId="256"/>
    <cellStyle name="_МОДЕЛЬ_1 (2)_NADB.JNVLS.APTEKA.2011(v1.3.3)_INDEX.STATION.2012(v2.1)" xfId="257"/>
    <cellStyle name="_МОДЕЛЬ_1 (2)_NADB.JNVLS.APTEKA.2011(v1.3.3)_TEPLO.PREDEL.2012.M(v1.1)_test" xfId="258"/>
    <cellStyle name="_МОДЕЛЬ_1 (2)_NADB.JNVLS.APTEKA.2011(v1.3.4)" xfId="259"/>
    <cellStyle name="_МОДЕЛЬ_1 (2)_NADB.JNVLS.APTEKA.2011(v1.3.4)_46TE.2011(v1.0)" xfId="260"/>
    <cellStyle name="_МОДЕЛЬ_1 (2)_NADB.JNVLS.APTEKA.2011(v1.3.4)_INDEX.STATION.2012(v1.0)_" xfId="261"/>
    <cellStyle name="_МОДЕЛЬ_1 (2)_NADB.JNVLS.APTEKA.2011(v1.3.4)_INDEX.STATION.2012(v2.0)" xfId="262"/>
    <cellStyle name="_МОДЕЛЬ_1 (2)_NADB.JNVLS.APTEKA.2011(v1.3.4)_INDEX.STATION.2012(v2.1)" xfId="263"/>
    <cellStyle name="_МОДЕЛЬ_1 (2)_NADB.JNVLS.APTEKA.2011(v1.3.4)_TEPLO.PREDEL.2012.M(v1.1)_test" xfId="264"/>
    <cellStyle name="_МОДЕЛЬ_1 (2)_PASSPORT.TEPLO.PROIZV(v2.0)" xfId="265"/>
    <cellStyle name="_МОДЕЛЬ_1 (2)_PASSPORT.TEPLO.PROIZV(v2.1)" xfId="266"/>
    <cellStyle name="_МОДЕЛЬ_1 (2)_PASSPORT.TEPLO.SETI(v0.7)" xfId="267"/>
    <cellStyle name="_МОДЕЛЬ_1 (2)_PASSPORT.TEPLO.SETI(v1.0)" xfId="268"/>
    <cellStyle name="_МОДЕЛЬ_1 (2)_PR.PROG.WARM.NOTCOMBI.2012.2.16_v1.4(04.04.11) " xfId="269"/>
    <cellStyle name="_МОДЕЛЬ_1 (2)_PREDEL.JKH.UTV.2011(v1.0.1)" xfId="270"/>
    <cellStyle name="_МОДЕЛЬ_1 (2)_PREDEL.JKH.UTV.2011(v1.0.1)_46TE.2011(v1.0)" xfId="271"/>
    <cellStyle name="_МОДЕЛЬ_1 (2)_PREDEL.JKH.UTV.2011(v1.0.1)_INDEX.STATION.2012(v1.0)_" xfId="272"/>
    <cellStyle name="_МОДЕЛЬ_1 (2)_PREDEL.JKH.UTV.2011(v1.0.1)_INDEX.STATION.2012(v2.0)" xfId="273"/>
    <cellStyle name="_МОДЕЛЬ_1 (2)_PREDEL.JKH.UTV.2011(v1.0.1)_INDEX.STATION.2012(v2.1)" xfId="274"/>
    <cellStyle name="_МОДЕЛЬ_1 (2)_PREDEL.JKH.UTV.2011(v1.0.1)_TEPLO.PREDEL.2012.M(v1.1)_test" xfId="275"/>
    <cellStyle name="_МОДЕЛЬ_1 (2)_PREDEL.JKH.UTV.2011(v1.1)" xfId="276"/>
    <cellStyle name="_МОДЕЛЬ_1 (2)_REP.BLR.2012(v1.0)" xfId="277"/>
    <cellStyle name="_МОДЕЛЬ_1 (2)_TEHSHEET" xfId="278"/>
    <cellStyle name="_МОДЕЛЬ_1 (2)_TEPLO.PREDEL.2012.M(v1.1)" xfId="279"/>
    <cellStyle name="_МОДЕЛЬ_1 (2)_TEPLO.PREDEL.2013(v2.0)" xfId="280"/>
    <cellStyle name="_МОДЕЛЬ_1 (2)_TEST.TEMPLATE" xfId="281"/>
    <cellStyle name="_МОДЕЛЬ_1 (2)_UPDATE.46EE.2011.TO.1.1" xfId="282"/>
    <cellStyle name="_МОДЕЛЬ_1 (2)_UPDATE.46TE.2011.TO.1.1" xfId="283"/>
    <cellStyle name="_МОДЕЛЬ_1 (2)_UPDATE.46TE.2011.TO.1.2" xfId="284"/>
    <cellStyle name="_МОДЕЛЬ_1 (2)_UPDATE.BALANCE.WARM.2011YEAR.TO.1.1" xfId="285"/>
    <cellStyle name="_МОДЕЛЬ_1 (2)_UPDATE.BALANCE.WARM.2011YEAR.TO.1.1_46TE.2011(v1.0)" xfId="286"/>
    <cellStyle name="_МОДЕЛЬ_1 (2)_UPDATE.BALANCE.WARM.2011YEAR.TO.1.1_INDEX.STATION.2012(v1.0)_" xfId="287"/>
    <cellStyle name="_МОДЕЛЬ_1 (2)_UPDATE.BALANCE.WARM.2011YEAR.TO.1.1_INDEX.STATION.2012(v2.0)" xfId="288"/>
    <cellStyle name="_МОДЕЛЬ_1 (2)_UPDATE.BALANCE.WARM.2011YEAR.TO.1.1_INDEX.STATION.2012(v2.1)" xfId="289"/>
    <cellStyle name="_МОДЕЛЬ_1 (2)_UPDATE.BALANCE.WARM.2011YEAR.TO.1.1_OREP.KU.2011.MONTHLY.02(v1.1)" xfId="290"/>
    <cellStyle name="_МОДЕЛЬ_1 (2)_UPDATE.BALANCE.WARM.2011YEAR.TO.1.1_TEPLO.PREDEL.2012.M(v1.1)_test" xfId="291"/>
    <cellStyle name="_МОДЕЛЬ_1 (2)_UPDATE.BALANCE.WARM.2011YEAR.TO.1.2" xfId="292"/>
    <cellStyle name="_МОДЕЛЬ_1 (2)_UPDATE.BALANCE.WARM.2011YEAR.TO.1.4.64" xfId="293"/>
    <cellStyle name="_МОДЕЛЬ_1 (2)_UPDATE.BALANCE.WARM.2011YEAR.TO.1.5.64" xfId="294"/>
    <cellStyle name="_МОДЕЛЬ_1 (2)_UPDATE.MONITORING.OS.EE.2.02.TO.1.3.64" xfId="295"/>
    <cellStyle name="_МОДЕЛЬ_1 (2)_UPDATE.NADB.JNVLS.APTEKA.2011.TO.1.3.4" xfId="296"/>
    <cellStyle name="_МОДЕЛЬ_1 (2)_Книга2_PR.PROG.WARM.NOTCOMBI.2012.2.16_v1.4(04.04.11) " xfId="297"/>
    <cellStyle name="_НВВ 2009 постатейно свод по филиалам_09_02_09" xfId="298"/>
    <cellStyle name="_НВВ 2009 постатейно свод по филиалам_09_02_09_Новая инструкция1_фст" xfId="299"/>
    <cellStyle name="_НВВ 2009 постатейно свод по филиалам_для Валентина" xfId="300"/>
    <cellStyle name="_НВВ 2009 постатейно свод по филиалам_для Валентина_Новая инструкция1_фст" xfId="301"/>
    <cellStyle name="_Омск" xfId="302"/>
    <cellStyle name="_Омск_Новая инструкция1_фст" xfId="303"/>
    <cellStyle name="_ОТ ИД 2009" xfId="304"/>
    <cellStyle name="_ОТ ИД 2009_Новая инструкция1_фст" xfId="305"/>
    <cellStyle name="_пр 5 тариф RAB" xfId="306"/>
    <cellStyle name="_пр 5 тариф RAB 2" xfId="307"/>
    <cellStyle name="_пр 5 тариф RAB 2_OREP.KU.2011.MONTHLY.02(v0.1)" xfId="308"/>
    <cellStyle name="_пр 5 тариф RAB 2_OREP.KU.2011.MONTHLY.02(v0.4)" xfId="309"/>
    <cellStyle name="_пр 5 тариф RAB 2_OREP.KU.2011.MONTHLY.11(v1.4)" xfId="310"/>
    <cellStyle name="_пр 5 тариф RAB 2_OREP.KU.2011.MONTHLY.11(v1.4)_UPDATE.BALANCE.WARM.2012YEAR.TO.1.1" xfId="311"/>
    <cellStyle name="_пр 5 тариф RAB 2_OREP.KU.2011.MONTHLY.11(v1.4)_UPDATE.CALC.WARM.2012YEAR.TO.1.1" xfId="312"/>
    <cellStyle name="_пр 5 тариф RAB 2_UPDATE.BALANCE.WARM.2012YEAR.TO.1.1" xfId="313"/>
    <cellStyle name="_пр 5 тариф RAB 2_UPDATE.CALC.WARM.2012YEAR.TO.1.1" xfId="314"/>
    <cellStyle name="_пр 5 тариф RAB 2_UPDATE.MONITORING.OS.EE.2.02.TO.1.3.64" xfId="315"/>
    <cellStyle name="_пр 5 тариф RAB 2_UPDATE.OREP.KU.2011.MONTHLY.02.TO.1.2" xfId="316"/>
    <cellStyle name="_пр 5 тариф RAB_46EE.2011(v1.0)" xfId="317"/>
    <cellStyle name="_пр 5 тариф RAB_46EE.2011(v1.0)_46TE.2011(v1.0)" xfId="318"/>
    <cellStyle name="_пр 5 тариф RAB_46EE.2011(v1.0)_INDEX.STATION.2012(v1.0)_" xfId="319"/>
    <cellStyle name="_пр 5 тариф RAB_46EE.2011(v1.0)_INDEX.STATION.2012(v2.0)" xfId="320"/>
    <cellStyle name="_пр 5 тариф RAB_46EE.2011(v1.0)_INDEX.STATION.2012(v2.1)" xfId="321"/>
    <cellStyle name="_пр 5 тариф RAB_46EE.2011(v1.0)_TEPLO.PREDEL.2012.M(v1.1)_test" xfId="322"/>
    <cellStyle name="_пр 5 тариф RAB_46EE.2011(v1.2)" xfId="323"/>
    <cellStyle name="_пр 5 тариф RAB_46EP.2011(v2.0)" xfId="324"/>
    <cellStyle name="_пр 5 тариф RAB_46EP.2012(v0.1)" xfId="325"/>
    <cellStyle name="_пр 5 тариф RAB_46TE.2011(v1.0)" xfId="326"/>
    <cellStyle name="_пр 5 тариф RAB_4DNS.UPDATE.EXAMPLE" xfId="327"/>
    <cellStyle name="_пр 5 тариф RAB_ARMRAZR" xfId="328"/>
    <cellStyle name="_пр 5 тариф RAB_BALANCE.WARM.2010.FACT(v1.0)" xfId="329"/>
    <cellStyle name="_пр 5 тариф RAB_BALANCE.WARM.2010.PLAN" xfId="330"/>
    <cellStyle name="_пр 5 тариф RAB_BALANCE.WARM.2011YEAR(v0.7)" xfId="331"/>
    <cellStyle name="_пр 5 тариф RAB_BALANCE.WARM.2011YEAR.NEW.UPDATE.SCHEME" xfId="332"/>
    <cellStyle name="_пр 5 тариф RAB_CALC.NORMATIV.KU(v0.2)" xfId="333"/>
    <cellStyle name="_пр 5 тариф RAB_EE.2REK.P2011.4.78(v0.3)" xfId="334"/>
    <cellStyle name="_пр 5 тариф RAB_FORM3.1.2013(v0.2)" xfId="335"/>
    <cellStyle name="_пр 5 тариф RAB_FORM3.2013(v1.0)" xfId="336"/>
    <cellStyle name="_пр 5 тариф RAB_FORM3.REG(v1.0)" xfId="337"/>
    <cellStyle name="_пр 5 тариф RAB_FORM910.2012(v1.1)" xfId="338"/>
    <cellStyle name="_пр 5 тариф RAB_INDEX.STATION.2012(v2.1)" xfId="339"/>
    <cellStyle name="_пр 5 тариф RAB_INDEX.STATION.2013(v1.0)_патч до 1.1" xfId="340"/>
    <cellStyle name="_пр 5 тариф RAB_INVEST.EE.PLAN.4.78(v0.1)" xfId="341"/>
    <cellStyle name="_пр 5 тариф RAB_INVEST.EE.PLAN.4.78(v0.3)" xfId="342"/>
    <cellStyle name="_пр 5 тариф RAB_INVEST.EE.PLAN.4.78(v1.0)" xfId="343"/>
    <cellStyle name="_пр 5 тариф RAB_INVEST.EE.PLAN.4.78(v1.0)_PASSPORT.TEPLO.PROIZV(v2.0)" xfId="344"/>
    <cellStyle name="_пр 5 тариф RAB_INVEST.EE.PLAN.4.78(v1.0)_PASSPORT.TEPLO.PROIZV(v2.0)_INDEX.STATION.2013(v1.0)_патч до 1.1" xfId="345"/>
    <cellStyle name="_пр 5 тариф RAB_INVEST.EE.PLAN.4.78(v1.0)_PASSPORT.TEPLO.PROIZV(v2.0)_TEPLO.PREDEL.2013(v2.0)" xfId="346"/>
    <cellStyle name="_пр 5 тариф RAB_INVEST.PLAN.4.78(v0.1)" xfId="347"/>
    <cellStyle name="_пр 5 тариф RAB_INVEST.WARM.PLAN.4.78(v0.1)" xfId="348"/>
    <cellStyle name="_пр 5 тариф RAB_INVEST_WARM_PLAN" xfId="349"/>
    <cellStyle name="_пр 5 тариф RAB_NADB.JNVLP.APTEKA.2012(v1.0)_21_02_12" xfId="350"/>
    <cellStyle name="_пр 5 тариф RAB_NADB.JNVLS.APTEKA.2011(v1.3.3)" xfId="351"/>
    <cellStyle name="_пр 5 тариф RAB_NADB.JNVLS.APTEKA.2011(v1.3.3)_46TE.2011(v1.0)" xfId="352"/>
    <cellStyle name="_пр 5 тариф RAB_NADB.JNVLS.APTEKA.2011(v1.3.3)_INDEX.STATION.2012(v1.0)_" xfId="353"/>
    <cellStyle name="_пр 5 тариф RAB_NADB.JNVLS.APTEKA.2011(v1.3.3)_INDEX.STATION.2012(v2.0)" xfId="354"/>
    <cellStyle name="_пр 5 тариф RAB_NADB.JNVLS.APTEKA.2011(v1.3.3)_INDEX.STATION.2012(v2.1)" xfId="355"/>
    <cellStyle name="_пр 5 тариф RAB_NADB.JNVLS.APTEKA.2011(v1.3.3)_TEPLO.PREDEL.2012.M(v1.1)_test" xfId="356"/>
    <cellStyle name="_пр 5 тариф RAB_NADB.JNVLS.APTEKA.2011(v1.3.4)" xfId="357"/>
    <cellStyle name="_пр 5 тариф RAB_NADB.JNVLS.APTEKA.2011(v1.3.4)_46TE.2011(v1.0)" xfId="358"/>
    <cellStyle name="_пр 5 тариф RAB_NADB.JNVLS.APTEKA.2011(v1.3.4)_INDEX.STATION.2012(v1.0)_" xfId="359"/>
    <cellStyle name="_пр 5 тариф RAB_NADB.JNVLS.APTEKA.2011(v1.3.4)_INDEX.STATION.2012(v2.0)" xfId="360"/>
    <cellStyle name="_пр 5 тариф RAB_NADB.JNVLS.APTEKA.2011(v1.3.4)_INDEX.STATION.2012(v2.1)" xfId="361"/>
    <cellStyle name="_пр 5 тариф RAB_NADB.JNVLS.APTEKA.2011(v1.3.4)_TEPLO.PREDEL.2012.M(v1.1)_test" xfId="362"/>
    <cellStyle name="_пр 5 тариф RAB_PASSPORT.TEPLO.PROIZV(v2.0)" xfId="363"/>
    <cellStyle name="_пр 5 тариф RAB_PASSPORT.TEPLO.PROIZV(v2.1)" xfId="364"/>
    <cellStyle name="_пр 5 тариф RAB_PASSPORT.TEPLO.SETI(v0.7)" xfId="365"/>
    <cellStyle name="_пр 5 тариф RAB_PASSPORT.TEPLO.SETI(v1.0)" xfId="366"/>
    <cellStyle name="_пр 5 тариф RAB_PR.PROG.WARM.NOTCOMBI.2012.2.16_v1.4(04.04.11) " xfId="367"/>
    <cellStyle name="_пр 5 тариф RAB_PREDEL.JKH.UTV.2011(v1.0.1)" xfId="368"/>
    <cellStyle name="_пр 5 тариф RAB_PREDEL.JKH.UTV.2011(v1.0.1)_46TE.2011(v1.0)" xfId="369"/>
    <cellStyle name="_пр 5 тариф RAB_PREDEL.JKH.UTV.2011(v1.0.1)_INDEX.STATION.2012(v1.0)_" xfId="370"/>
    <cellStyle name="_пр 5 тариф RAB_PREDEL.JKH.UTV.2011(v1.0.1)_INDEX.STATION.2012(v2.0)" xfId="371"/>
    <cellStyle name="_пр 5 тариф RAB_PREDEL.JKH.UTV.2011(v1.0.1)_INDEX.STATION.2012(v2.1)" xfId="372"/>
    <cellStyle name="_пр 5 тариф RAB_PREDEL.JKH.UTV.2011(v1.0.1)_TEPLO.PREDEL.2012.M(v1.1)_test" xfId="373"/>
    <cellStyle name="_пр 5 тариф RAB_PREDEL.JKH.UTV.2011(v1.1)" xfId="374"/>
    <cellStyle name="_пр 5 тариф RAB_REP.BLR.2012(v1.0)" xfId="375"/>
    <cellStyle name="_пр 5 тариф RAB_TEHSHEET" xfId="376"/>
    <cellStyle name="_пр 5 тариф RAB_TEPLO.PREDEL.2012.M(v1.1)" xfId="377"/>
    <cellStyle name="_пр 5 тариф RAB_TEPLO.PREDEL.2013(v2.0)" xfId="378"/>
    <cellStyle name="_пр 5 тариф RAB_TEST.TEMPLATE" xfId="379"/>
    <cellStyle name="_пр 5 тариф RAB_UPDATE.46EE.2011.TO.1.1" xfId="380"/>
    <cellStyle name="_пр 5 тариф RAB_UPDATE.46TE.2011.TO.1.1" xfId="381"/>
    <cellStyle name="_пр 5 тариф RAB_UPDATE.46TE.2011.TO.1.2" xfId="382"/>
    <cellStyle name="_пр 5 тариф RAB_UPDATE.BALANCE.WARM.2011YEAR.TO.1.1" xfId="383"/>
    <cellStyle name="_пр 5 тариф RAB_UPDATE.BALANCE.WARM.2011YEAR.TO.1.1_46TE.2011(v1.0)" xfId="384"/>
    <cellStyle name="_пр 5 тариф RAB_UPDATE.BALANCE.WARM.2011YEAR.TO.1.1_INDEX.STATION.2012(v1.0)_" xfId="385"/>
    <cellStyle name="_пр 5 тариф RAB_UPDATE.BALANCE.WARM.2011YEAR.TO.1.1_INDEX.STATION.2012(v2.0)" xfId="386"/>
    <cellStyle name="_пр 5 тариф RAB_UPDATE.BALANCE.WARM.2011YEAR.TO.1.1_INDEX.STATION.2012(v2.1)" xfId="387"/>
    <cellStyle name="_пр 5 тариф RAB_UPDATE.BALANCE.WARM.2011YEAR.TO.1.1_OREP.KU.2011.MONTHLY.02(v1.1)" xfId="388"/>
    <cellStyle name="_пр 5 тариф RAB_UPDATE.BALANCE.WARM.2011YEAR.TO.1.1_TEPLO.PREDEL.2012.M(v1.1)_test" xfId="389"/>
    <cellStyle name="_пр 5 тариф RAB_UPDATE.BALANCE.WARM.2011YEAR.TO.1.2" xfId="390"/>
    <cellStyle name="_пр 5 тариф RAB_UPDATE.BALANCE.WARM.2011YEAR.TO.1.4.64" xfId="391"/>
    <cellStyle name="_пр 5 тариф RAB_UPDATE.BALANCE.WARM.2011YEAR.TO.1.5.64" xfId="392"/>
    <cellStyle name="_пр 5 тариф RAB_UPDATE.MONITORING.OS.EE.2.02.TO.1.3.64" xfId="393"/>
    <cellStyle name="_пр 5 тариф RAB_UPDATE.NADB.JNVLS.APTEKA.2011.TO.1.3.4" xfId="394"/>
    <cellStyle name="_пр 5 тариф RAB_Книга2_PR.PROG.WARM.NOTCOMBI.2012.2.16_v1.4(04.04.11) " xfId="395"/>
    <cellStyle name="_Предожение _ДБП_2009 г ( согласованные БП)  (2)" xfId="396"/>
    <cellStyle name="_Предожение _ДБП_2009 г ( согласованные БП)  (2)_Новая инструкция1_фст" xfId="397"/>
    <cellStyle name="_Приложение 2 0806 факт" xfId="398"/>
    <cellStyle name="_Приложение МТС-3-КС" xfId="399"/>
    <cellStyle name="_Приложение МТС-3-КС_Новая инструкция1_фст" xfId="400"/>
    <cellStyle name="_Приложение-МТС--2-1" xfId="401"/>
    <cellStyle name="_Приложение-МТС--2-1_Новая инструкция1_фст" xfId="402"/>
    <cellStyle name="_Расчет RAB_22072008" xfId="403"/>
    <cellStyle name="_Расчет RAB_22072008 2" xfId="404"/>
    <cellStyle name="_Расчет RAB_22072008 2_OREP.KU.2011.MONTHLY.02(v0.1)" xfId="405"/>
    <cellStyle name="_Расчет RAB_22072008 2_OREP.KU.2011.MONTHLY.02(v0.4)" xfId="406"/>
    <cellStyle name="_Расчет RAB_22072008 2_OREP.KU.2011.MONTHLY.11(v1.4)" xfId="407"/>
    <cellStyle name="_Расчет RAB_22072008 2_OREP.KU.2011.MONTHLY.11(v1.4)_UPDATE.BALANCE.WARM.2012YEAR.TO.1.1" xfId="408"/>
    <cellStyle name="_Расчет RAB_22072008 2_OREP.KU.2011.MONTHLY.11(v1.4)_UPDATE.CALC.WARM.2012YEAR.TO.1.1" xfId="409"/>
    <cellStyle name="_Расчет RAB_22072008 2_UPDATE.BALANCE.WARM.2012YEAR.TO.1.1" xfId="410"/>
    <cellStyle name="_Расчет RAB_22072008 2_UPDATE.CALC.WARM.2012YEAR.TO.1.1" xfId="411"/>
    <cellStyle name="_Расчет RAB_22072008 2_UPDATE.MONITORING.OS.EE.2.02.TO.1.3.64" xfId="412"/>
    <cellStyle name="_Расчет RAB_22072008 2_UPDATE.OREP.KU.2011.MONTHLY.02.TO.1.2" xfId="413"/>
    <cellStyle name="_Расчет RAB_22072008_46EE.2011(v1.0)" xfId="414"/>
    <cellStyle name="_Расчет RAB_22072008_46EE.2011(v1.0)_46TE.2011(v1.0)" xfId="415"/>
    <cellStyle name="_Расчет RAB_22072008_46EE.2011(v1.0)_INDEX.STATION.2012(v1.0)_" xfId="416"/>
    <cellStyle name="_Расчет RAB_22072008_46EE.2011(v1.0)_INDEX.STATION.2012(v2.0)" xfId="417"/>
    <cellStyle name="_Расчет RAB_22072008_46EE.2011(v1.0)_INDEX.STATION.2012(v2.1)" xfId="418"/>
    <cellStyle name="_Расчет RAB_22072008_46EE.2011(v1.0)_TEPLO.PREDEL.2012.M(v1.1)_test" xfId="419"/>
    <cellStyle name="_Расчет RAB_22072008_46EE.2011(v1.2)" xfId="420"/>
    <cellStyle name="_Расчет RAB_22072008_46EP.2011(v2.0)" xfId="421"/>
    <cellStyle name="_Расчет RAB_22072008_46EP.2012(v0.1)" xfId="422"/>
    <cellStyle name="_Расчет RAB_22072008_46TE.2011(v1.0)" xfId="423"/>
    <cellStyle name="_Расчет RAB_22072008_4DNS.UPDATE.EXAMPLE" xfId="424"/>
    <cellStyle name="_Расчет RAB_22072008_ARMRAZR" xfId="425"/>
    <cellStyle name="_Расчет RAB_22072008_BALANCE.WARM.2010.FACT(v1.0)" xfId="426"/>
    <cellStyle name="_Расчет RAB_22072008_BALANCE.WARM.2010.PLAN" xfId="427"/>
    <cellStyle name="_Расчет RAB_22072008_BALANCE.WARM.2011YEAR(v0.7)" xfId="428"/>
    <cellStyle name="_Расчет RAB_22072008_BALANCE.WARM.2011YEAR.NEW.UPDATE.SCHEME" xfId="429"/>
    <cellStyle name="_Расчет RAB_22072008_CALC.NORMATIV.KU(v0.2)" xfId="430"/>
    <cellStyle name="_Расчет RAB_22072008_EE.2REK.P2011.4.78(v0.3)" xfId="431"/>
    <cellStyle name="_Расчет RAB_22072008_FORM3.1.2013(v0.2)" xfId="432"/>
    <cellStyle name="_Расчет RAB_22072008_FORM3.2013(v1.0)" xfId="433"/>
    <cellStyle name="_Расчет RAB_22072008_FORM3.REG(v1.0)" xfId="434"/>
    <cellStyle name="_Расчет RAB_22072008_FORM910.2012(v1.1)" xfId="435"/>
    <cellStyle name="_Расчет RAB_22072008_INDEX.STATION.2012(v2.1)" xfId="436"/>
    <cellStyle name="_Расчет RAB_22072008_INDEX.STATION.2013(v1.0)_патч до 1.1" xfId="437"/>
    <cellStyle name="_Расчет RAB_22072008_INVEST.EE.PLAN.4.78(v0.1)" xfId="438"/>
    <cellStyle name="_Расчет RAB_22072008_INVEST.EE.PLAN.4.78(v0.3)" xfId="439"/>
    <cellStyle name="_Расчет RAB_22072008_INVEST.EE.PLAN.4.78(v1.0)" xfId="440"/>
    <cellStyle name="_Расчет RAB_22072008_INVEST.EE.PLAN.4.78(v1.0)_PASSPORT.TEPLO.PROIZV(v2.0)" xfId="441"/>
    <cellStyle name="_Расчет RAB_22072008_INVEST.EE.PLAN.4.78(v1.0)_PASSPORT.TEPLO.PROIZV(v2.0)_INDEX.STATION.2013(v1.0)_патч до 1.1" xfId="442"/>
    <cellStyle name="_Расчет RAB_22072008_INVEST.EE.PLAN.4.78(v1.0)_PASSPORT.TEPLO.PROIZV(v2.0)_TEPLO.PREDEL.2013(v2.0)" xfId="443"/>
    <cellStyle name="_Расчет RAB_22072008_INVEST.PLAN.4.78(v0.1)" xfId="444"/>
    <cellStyle name="_Расчет RAB_22072008_INVEST.WARM.PLAN.4.78(v0.1)" xfId="445"/>
    <cellStyle name="_Расчет RAB_22072008_INVEST_WARM_PLAN" xfId="446"/>
    <cellStyle name="_Расчет RAB_22072008_NADB.JNVLP.APTEKA.2012(v1.0)_21_02_12" xfId="447"/>
    <cellStyle name="_Расчет RAB_22072008_NADB.JNVLS.APTEKA.2011(v1.3.3)" xfId="448"/>
    <cellStyle name="_Расчет RAB_22072008_NADB.JNVLS.APTEKA.2011(v1.3.3)_46TE.2011(v1.0)" xfId="449"/>
    <cellStyle name="_Расчет RAB_22072008_NADB.JNVLS.APTEKA.2011(v1.3.3)_INDEX.STATION.2012(v1.0)_" xfId="450"/>
    <cellStyle name="_Расчет RAB_22072008_NADB.JNVLS.APTEKA.2011(v1.3.3)_INDEX.STATION.2012(v2.0)" xfId="451"/>
    <cellStyle name="_Расчет RAB_22072008_NADB.JNVLS.APTEKA.2011(v1.3.3)_INDEX.STATION.2012(v2.1)" xfId="452"/>
    <cellStyle name="_Расчет RAB_22072008_NADB.JNVLS.APTEKA.2011(v1.3.3)_TEPLO.PREDEL.2012.M(v1.1)_test" xfId="453"/>
    <cellStyle name="_Расчет RAB_22072008_NADB.JNVLS.APTEKA.2011(v1.3.4)" xfId="454"/>
    <cellStyle name="_Расчет RAB_22072008_NADB.JNVLS.APTEKA.2011(v1.3.4)_46TE.2011(v1.0)" xfId="455"/>
    <cellStyle name="_Расчет RAB_22072008_NADB.JNVLS.APTEKA.2011(v1.3.4)_INDEX.STATION.2012(v1.0)_" xfId="456"/>
    <cellStyle name="_Расчет RAB_22072008_NADB.JNVLS.APTEKA.2011(v1.3.4)_INDEX.STATION.2012(v2.0)" xfId="457"/>
    <cellStyle name="_Расчет RAB_22072008_NADB.JNVLS.APTEKA.2011(v1.3.4)_INDEX.STATION.2012(v2.1)" xfId="458"/>
    <cellStyle name="_Расчет RAB_22072008_NADB.JNVLS.APTEKA.2011(v1.3.4)_TEPLO.PREDEL.2012.M(v1.1)_test" xfId="459"/>
    <cellStyle name="_Расчет RAB_22072008_PASSPORT.TEPLO.PROIZV(v2.0)" xfId="460"/>
    <cellStyle name="_Расчет RAB_22072008_PASSPORT.TEPLO.PROIZV(v2.1)" xfId="461"/>
    <cellStyle name="_Расчет RAB_22072008_PASSPORT.TEPLO.SETI(v0.7)" xfId="462"/>
    <cellStyle name="_Расчет RAB_22072008_PASSPORT.TEPLO.SETI(v1.0)" xfId="463"/>
    <cellStyle name="_Расчет RAB_22072008_PR.PROG.WARM.NOTCOMBI.2012.2.16_v1.4(04.04.11) " xfId="464"/>
    <cellStyle name="_Расчет RAB_22072008_PREDEL.JKH.UTV.2011(v1.0.1)" xfId="465"/>
    <cellStyle name="_Расчет RAB_22072008_PREDEL.JKH.UTV.2011(v1.0.1)_46TE.2011(v1.0)" xfId="466"/>
    <cellStyle name="_Расчет RAB_22072008_PREDEL.JKH.UTV.2011(v1.0.1)_INDEX.STATION.2012(v1.0)_" xfId="467"/>
    <cellStyle name="_Расчет RAB_22072008_PREDEL.JKH.UTV.2011(v1.0.1)_INDEX.STATION.2012(v2.0)" xfId="468"/>
    <cellStyle name="_Расчет RAB_22072008_PREDEL.JKH.UTV.2011(v1.0.1)_INDEX.STATION.2012(v2.1)" xfId="469"/>
    <cellStyle name="_Расчет RAB_22072008_PREDEL.JKH.UTV.2011(v1.0.1)_TEPLO.PREDEL.2012.M(v1.1)_test" xfId="470"/>
    <cellStyle name="_Расчет RAB_22072008_PREDEL.JKH.UTV.2011(v1.1)" xfId="471"/>
    <cellStyle name="_Расчет RAB_22072008_REP.BLR.2012(v1.0)" xfId="472"/>
    <cellStyle name="_Расчет RAB_22072008_TEHSHEET" xfId="473"/>
    <cellStyle name="_Расчет RAB_22072008_TEPLO.PREDEL.2012.M(v1.1)" xfId="474"/>
    <cellStyle name="_Расчет RAB_22072008_TEPLO.PREDEL.2013(v2.0)" xfId="475"/>
    <cellStyle name="_Расчет RAB_22072008_TEST.TEMPLATE" xfId="476"/>
    <cellStyle name="_Расчет RAB_22072008_UPDATE.46EE.2011.TO.1.1" xfId="477"/>
    <cellStyle name="_Расчет RAB_22072008_UPDATE.46TE.2011.TO.1.1" xfId="478"/>
    <cellStyle name="_Расчет RAB_22072008_UPDATE.46TE.2011.TO.1.2" xfId="479"/>
    <cellStyle name="_Расчет RAB_22072008_UPDATE.BALANCE.WARM.2011YEAR.TO.1.1" xfId="480"/>
    <cellStyle name="_Расчет RAB_22072008_UPDATE.BALANCE.WARM.2011YEAR.TO.1.1_46TE.2011(v1.0)" xfId="481"/>
    <cellStyle name="_Расчет RAB_22072008_UPDATE.BALANCE.WARM.2011YEAR.TO.1.1_INDEX.STATION.2012(v1.0)_" xfId="482"/>
    <cellStyle name="_Расчет RAB_22072008_UPDATE.BALANCE.WARM.2011YEAR.TO.1.1_INDEX.STATION.2012(v2.0)" xfId="483"/>
    <cellStyle name="_Расчет RAB_22072008_UPDATE.BALANCE.WARM.2011YEAR.TO.1.1_INDEX.STATION.2012(v2.1)" xfId="484"/>
    <cellStyle name="_Расчет RAB_22072008_UPDATE.BALANCE.WARM.2011YEAR.TO.1.1_OREP.KU.2011.MONTHLY.02(v1.1)" xfId="485"/>
    <cellStyle name="_Расчет RAB_22072008_UPDATE.BALANCE.WARM.2011YEAR.TO.1.1_TEPLO.PREDEL.2012.M(v1.1)_test" xfId="486"/>
    <cellStyle name="_Расчет RAB_22072008_UPDATE.BALANCE.WARM.2011YEAR.TO.1.2" xfId="487"/>
    <cellStyle name="_Расчет RAB_22072008_UPDATE.BALANCE.WARM.2011YEAR.TO.1.4.64" xfId="488"/>
    <cellStyle name="_Расчет RAB_22072008_UPDATE.BALANCE.WARM.2011YEAR.TO.1.5.64" xfId="489"/>
    <cellStyle name="_Расчет RAB_22072008_UPDATE.MONITORING.OS.EE.2.02.TO.1.3.64" xfId="490"/>
    <cellStyle name="_Расчет RAB_22072008_UPDATE.NADB.JNVLS.APTEKA.2011.TO.1.3.4" xfId="491"/>
    <cellStyle name="_Расчет RAB_22072008_Книга2_PR.PROG.WARM.NOTCOMBI.2012.2.16_v1.4(04.04.11) " xfId="492"/>
    <cellStyle name="_Расчет RAB_Лен и МОЭСК_с 2010 года_14.04.2009_со сглаж_version 3.0_без ФСК" xfId="493"/>
    <cellStyle name="_Расчет RAB_Лен и МОЭСК_с 2010 года_14.04.2009_со сглаж_version 3.0_без ФСК 2" xfId="494"/>
    <cellStyle name="_Расчет RAB_Лен и МОЭСК_с 2010 года_14.04.2009_со сглаж_version 3.0_без ФСК 2_OREP.KU.2011.MONTHLY.02(v0.1)" xfId="495"/>
    <cellStyle name="_Расчет RAB_Лен и МОЭСК_с 2010 года_14.04.2009_со сглаж_version 3.0_без ФСК 2_OREP.KU.2011.MONTHLY.02(v0.4)" xfId="496"/>
    <cellStyle name="_Расчет RAB_Лен и МОЭСК_с 2010 года_14.04.2009_со сглаж_version 3.0_без ФСК 2_OREP.KU.2011.MONTHLY.11(v1.4)" xfId="497"/>
    <cellStyle name="_Расчет RAB_Лен и МОЭСК_с 2010 года_14.04.2009_со сглаж_version 3.0_без ФСК 2_OREP.KU.2011.MONTHLY.11(v1.4)_UPDATE.BALANCE.WARM.2012YEAR.TO.1.1" xfId="498"/>
    <cellStyle name="_Расчет RAB_Лен и МОЭСК_с 2010 года_14.04.2009_со сглаж_version 3.0_без ФСК 2_OREP.KU.2011.MONTHLY.11(v1.4)_UPDATE.CALC.WARM.2012YEAR.TO.1.1" xfId="499"/>
    <cellStyle name="_Расчет RAB_Лен и МОЭСК_с 2010 года_14.04.2009_со сглаж_version 3.0_без ФСК 2_UPDATE.BALANCE.WARM.2012YEAR.TO.1.1" xfId="500"/>
    <cellStyle name="_Расчет RAB_Лен и МОЭСК_с 2010 года_14.04.2009_со сглаж_version 3.0_без ФСК 2_UPDATE.CALC.WARM.2012YEAR.TO.1.1" xfId="501"/>
    <cellStyle name="_Расчет RAB_Лен и МОЭСК_с 2010 года_14.04.2009_со сглаж_version 3.0_без ФСК 2_UPDATE.MONITORING.OS.EE.2.02.TO.1.3.64" xfId="502"/>
    <cellStyle name="_Расчет RAB_Лен и МОЭСК_с 2010 года_14.04.2009_со сглаж_version 3.0_без ФСК 2_UPDATE.OREP.KU.2011.MONTHLY.02.TO.1.2" xfId="503"/>
    <cellStyle name="_Расчет RAB_Лен и МОЭСК_с 2010 года_14.04.2009_со сглаж_version 3.0_без ФСК_46EE.2011(v1.0)" xfId="504"/>
    <cellStyle name="_Расчет RAB_Лен и МОЭСК_с 2010 года_14.04.2009_со сглаж_version 3.0_без ФСК_46EE.2011(v1.0)_46TE.2011(v1.0)" xfId="505"/>
    <cellStyle name="_Расчет RAB_Лен и МОЭСК_с 2010 года_14.04.2009_со сглаж_version 3.0_без ФСК_46EE.2011(v1.0)_INDEX.STATION.2012(v1.0)_" xfId="506"/>
    <cellStyle name="_Расчет RAB_Лен и МОЭСК_с 2010 года_14.04.2009_со сглаж_version 3.0_без ФСК_46EE.2011(v1.0)_INDEX.STATION.2012(v2.0)" xfId="507"/>
    <cellStyle name="_Расчет RAB_Лен и МОЭСК_с 2010 года_14.04.2009_со сглаж_version 3.0_без ФСК_46EE.2011(v1.0)_INDEX.STATION.2012(v2.1)" xfId="508"/>
    <cellStyle name="_Расчет RAB_Лен и МОЭСК_с 2010 года_14.04.2009_со сглаж_version 3.0_без ФСК_46EE.2011(v1.0)_TEPLO.PREDEL.2012.M(v1.1)_test" xfId="509"/>
    <cellStyle name="_Расчет RAB_Лен и МОЭСК_с 2010 года_14.04.2009_со сглаж_version 3.0_без ФСК_46EE.2011(v1.2)" xfId="510"/>
    <cellStyle name="_Расчет RAB_Лен и МОЭСК_с 2010 года_14.04.2009_со сглаж_version 3.0_без ФСК_46EP.2011(v2.0)" xfId="511"/>
    <cellStyle name="_Расчет RAB_Лен и МОЭСК_с 2010 года_14.04.2009_со сглаж_version 3.0_без ФСК_46EP.2012(v0.1)" xfId="512"/>
    <cellStyle name="_Расчет RAB_Лен и МОЭСК_с 2010 года_14.04.2009_со сглаж_version 3.0_без ФСК_46TE.2011(v1.0)" xfId="513"/>
    <cellStyle name="_Расчет RAB_Лен и МОЭСК_с 2010 года_14.04.2009_со сглаж_version 3.0_без ФСК_4DNS.UPDATE.EXAMPLE" xfId="514"/>
    <cellStyle name="_Расчет RAB_Лен и МОЭСК_с 2010 года_14.04.2009_со сглаж_version 3.0_без ФСК_ARMRAZR" xfId="515"/>
    <cellStyle name="_Расчет RAB_Лен и МОЭСК_с 2010 года_14.04.2009_со сглаж_version 3.0_без ФСК_BALANCE.WARM.2010.FACT(v1.0)" xfId="516"/>
    <cellStyle name="_Расчет RAB_Лен и МОЭСК_с 2010 года_14.04.2009_со сглаж_version 3.0_без ФСК_BALANCE.WARM.2010.PLAN" xfId="517"/>
    <cellStyle name="_Расчет RAB_Лен и МОЭСК_с 2010 года_14.04.2009_со сглаж_version 3.0_без ФСК_BALANCE.WARM.2011YEAR(v0.7)" xfId="518"/>
    <cellStyle name="_Расчет RAB_Лен и МОЭСК_с 2010 года_14.04.2009_со сглаж_version 3.0_без ФСК_BALANCE.WARM.2011YEAR.NEW.UPDATE.SCHEME" xfId="519"/>
    <cellStyle name="_Расчет RAB_Лен и МОЭСК_с 2010 года_14.04.2009_со сглаж_version 3.0_без ФСК_CALC.NORMATIV.KU(v0.2)" xfId="520"/>
    <cellStyle name="_Расчет RAB_Лен и МОЭСК_с 2010 года_14.04.2009_со сглаж_version 3.0_без ФСК_EE.2REK.P2011.4.78(v0.3)" xfId="521"/>
    <cellStyle name="_Расчет RAB_Лен и МОЭСК_с 2010 года_14.04.2009_со сглаж_version 3.0_без ФСК_FORM3.1.2013(v0.2)" xfId="522"/>
    <cellStyle name="_Расчет RAB_Лен и МОЭСК_с 2010 года_14.04.2009_со сглаж_version 3.0_без ФСК_FORM3.2013(v1.0)" xfId="523"/>
    <cellStyle name="_Расчет RAB_Лен и МОЭСК_с 2010 года_14.04.2009_со сглаж_version 3.0_без ФСК_FORM3.REG(v1.0)" xfId="524"/>
    <cellStyle name="_Расчет RAB_Лен и МОЭСК_с 2010 года_14.04.2009_со сглаж_version 3.0_без ФСК_FORM910.2012(v1.1)" xfId="525"/>
    <cellStyle name="_Расчет RAB_Лен и МОЭСК_с 2010 года_14.04.2009_со сглаж_version 3.0_без ФСК_INDEX.STATION.2012(v2.1)" xfId="526"/>
    <cellStyle name="_Расчет RAB_Лен и МОЭСК_с 2010 года_14.04.2009_со сглаж_version 3.0_без ФСК_INDEX.STATION.2013(v1.0)_патч до 1.1" xfId="527"/>
    <cellStyle name="_Расчет RAB_Лен и МОЭСК_с 2010 года_14.04.2009_со сглаж_version 3.0_без ФСК_INVEST.EE.PLAN.4.78(v0.1)" xfId="528"/>
    <cellStyle name="_Расчет RAB_Лен и МОЭСК_с 2010 года_14.04.2009_со сглаж_version 3.0_без ФСК_INVEST.EE.PLAN.4.78(v0.3)" xfId="529"/>
    <cellStyle name="_Расчет RAB_Лен и МОЭСК_с 2010 года_14.04.2009_со сглаж_version 3.0_без ФСК_INVEST.EE.PLAN.4.78(v1.0)" xfId="530"/>
    <cellStyle name="_Расчет RAB_Лен и МОЭСК_с 2010 года_14.04.2009_со сглаж_version 3.0_без ФСК_INVEST.EE.PLAN.4.78(v1.0)_PASSPORT.TEPLO.PROIZV(v2.0)" xfId="531"/>
    <cellStyle name="_Расчет RAB_Лен и МОЭСК_с 2010 года_14.04.2009_со сглаж_version 3.0_без ФСК_INVEST.EE.PLAN.4.78(v1.0)_PASSPORT.TEPLO.PROIZV(v2.0)_INDEX.STATION.2013(v1.0)_патч до 1.1" xfId="532"/>
    <cellStyle name="_Расчет RAB_Лен и МОЭСК_с 2010 года_14.04.2009_со сглаж_version 3.0_без ФСК_INVEST.EE.PLAN.4.78(v1.0)_PASSPORT.TEPLO.PROIZV(v2.0)_TEPLO.PREDEL.2013(v2.0)" xfId="533"/>
    <cellStyle name="_Расчет RAB_Лен и МОЭСК_с 2010 года_14.04.2009_со сглаж_version 3.0_без ФСК_INVEST.PLAN.4.78(v0.1)" xfId="534"/>
    <cellStyle name="_Расчет RAB_Лен и МОЭСК_с 2010 года_14.04.2009_со сглаж_version 3.0_без ФСК_INVEST.WARM.PLAN.4.78(v0.1)" xfId="535"/>
    <cellStyle name="_Расчет RAB_Лен и МОЭСК_с 2010 года_14.04.2009_со сглаж_version 3.0_без ФСК_INVEST_WARM_PLAN" xfId="536"/>
    <cellStyle name="_Расчет RAB_Лен и МОЭСК_с 2010 года_14.04.2009_со сглаж_version 3.0_без ФСК_NADB.JNVLP.APTEKA.2012(v1.0)_21_02_12" xfId="537"/>
    <cellStyle name="_Расчет RAB_Лен и МОЭСК_с 2010 года_14.04.2009_со сглаж_version 3.0_без ФСК_NADB.JNVLS.APTEKA.2011(v1.3.3)" xfId="538"/>
    <cellStyle name="_Расчет RAB_Лен и МОЭСК_с 2010 года_14.04.2009_со сглаж_version 3.0_без ФСК_NADB.JNVLS.APTEKA.2011(v1.3.3)_46TE.2011(v1.0)" xfId="539"/>
    <cellStyle name="_Расчет RAB_Лен и МОЭСК_с 2010 года_14.04.2009_со сглаж_version 3.0_без ФСК_NADB.JNVLS.APTEKA.2011(v1.3.3)_INDEX.STATION.2012(v1.0)_" xfId="540"/>
    <cellStyle name="_Расчет RAB_Лен и МОЭСК_с 2010 года_14.04.2009_со сглаж_version 3.0_без ФСК_NADB.JNVLS.APTEKA.2011(v1.3.3)_INDEX.STATION.2012(v2.0)" xfId="541"/>
    <cellStyle name="_Расчет RAB_Лен и МОЭСК_с 2010 года_14.04.2009_со сглаж_version 3.0_без ФСК_NADB.JNVLS.APTEKA.2011(v1.3.3)_INDEX.STATION.2012(v2.1)" xfId="542"/>
    <cellStyle name="_Расчет RAB_Лен и МОЭСК_с 2010 года_14.04.2009_со сглаж_version 3.0_без ФСК_NADB.JNVLS.APTEKA.2011(v1.3.3)_TEPLO.PREDEL.2012.M(v1.1)_test" xfId="543"/>
    <cellStyle name="_Расчет RAB_Лен и МОЭСК_с 2010 года_14.04.2009_со сглаж_version 3.0_без ФСК_NADB.JNVLS.APTEKA.2011(v1.3.4)" xfId="544"/>
    <cellStyle name="_Расчет RAB_Лен и МОЭСК_с 2010 года_14.04.2009_со сглаж_version 3.0_без ФСК_NADB.JNVLS.APTEKA.2011(v1.3.4)_46TE.2011(v1.0)" xfId="545"/>
    <cellStyle name="_Расчет RAB_Лен и МОЭСК_с 2010 года_14.04.2009_со сглаж_version 3.0_без ФСК_NADB.JNVLS.APTEKA.2011(v1.3.4)_INDEX.STATION.2012(v1.0)_" xfId="546"/>
    <cellStyle name="_Расчет RAB_Лен и МОЭСК_с 2010 года_14.04.2009_со сглаж_version 3.0_без ФСК_NADB.JNVLS.APTEKA.2011(v1.3.4)_INDEX.STATION.2012(v2.0)" xfId="547"/>
    <cellStyle name="_Расчет RAB_Лен и МОЭСК_с 2010 года_14.04.2009_со сглаж_version 3.0_без ФСК_NADB.JNVLS.APTEKA.2011(v1.3.4)_INDEX.STATION.2012(v2.1)" xfId="548"/>
    <cellStyle name="_Расчет RAB_Лен и МОЭСК_с 2010 года_14.04.2009_со сглаж_version 3.0_без ФСК_NADB.JNVLS.APTEKA.2011(v1.3.4)_TEPLO.PREDEL.2012.M(v1.1)_test" xfId="549"/>
    <cellStyle name="_Расчет RAB_Лен и МОЭСК_с 2010 года_14.04.2009_со сглаж_version 3.0_без ФСК_PASSPORT.TEPLO.PROIZV(v2.0)" xfId="550"/>
    <cellStyle name="_Расчет RAB_Лен и МОЭСК_с 2010 года_14.04.2009_со сглаж_version 3.0_без ФСК_PASSPORT.TEPLO.PROIZV(v2.1)" xfId="551"/>
    <cellStyle name="_Расчет RAB_Лен и МОЭСК_с 2010 года_14.04.2009_со сглаж_version 3.0_без ФСК_PASSPORT.TEPLO.SETI(v0.7)" xfId="552"/>
    <cellStyle name="_Расчет RAB_Лен и МОЭСК_с 2010 года_14.04.2009_со сглаж_version 3.0_без ФСК_PASSPORT.TEPLO.SETI(v1.0)" xfId="553"/>
    <cellStyle name="_Расчет RAB_Лен и МОЭСК_с 2010 года_14.04.2009_со сглаж_version 3.0_без ФСК_PR.PROG.WARM.NOTCOMBI.2012.2.16_v1.4(04.04.11) " xfId="554"/>
    <cellStyle name="_Расчет RAB_Лен и МОЭСК_с 2010 года_14.04.2009_со сглаж_version 3.0_без ФСК_PREDEL.JKH.UTV.2011(v1.0.1)" xfId="555"/>
    <cellStyle name="_Расчет RAB_Лен и МОЭСК_с 2010 года_14.04.2009_со сглаж_version 3.0_без ФСК_PREDEL.JKH.UTV.2011(v1.0.1)_46TE.2011(v1.0)" xfId="556"/>
    <cellStyle name="_Расчет RAB_Лен и МОЭСК_с 2010 года_14.04.2009_со сглаж_version 3.0_без ФСК_PREDEL.JKH.UTV.2011(v1.0.1)_INDEX.STATION.2012(v1.0)_" xfId="557"/>
    <cellStyle name="_Расчет RAB_Лен и МОЭСК_с 2010 года_14.04.2009_со сглаж_version 3.0_без ФСК_PREDEL.JKH.UTV.2011(v1.0.1)_INDEX.STATION.2012(v2.0)" xfId="558"/>
    <cellStyle name="_Расчет RAB_Лен и МОЭСК_с 2010 года_14.04.2009_со сглаж_version 3.0_без ФСК_PREDEL.JKH.UTV.2011(v1.0.1)_INDEX.STATION.2012(v2.1)" xfId="559"/>
    <cellStyle name="_Расчет RAB_Лен и МОЭСК_с 2010 года_14.04.2009_со сглаж_version 3.0_без ФСК_PREDEL.JKH.UTV.2011(v1.0.1)_TEPLO.PREDEL.2012.M(v1.1)_test" xfId="560"/>
    <cellStyle name="_Расчет RAB_Лен и МОЭСК_с 2010 года_14.04.2009_со сглаж_version 3.0_без ФСК_PREDEL.JKH.UTV.2011(v1.1)" xfId="561"/>
    <cellStyle name="_Расчет RAB_Лен и МОЭСК_с 2010 года_14.04.2009_со сглаж_version 3.0_без ФСК_REP.BLR.2012(v1.0)" xfId="562"/>
    <cellStyle name="_Расчет RAB_Лен и МОЭСК_с 2010 года_14.04.2009_со сглаж_version 3.0_без ФСК_TEHSHEET" xfId="563"/>
    <cellStyle name="_Расчет RAB_Лен и МОЭСК_с 2010 года_14.04.2009_со сглаж_version 3.0_без ФСК_TEPLO.PREDEL.2012.M(v1.1)" xfId="564"/>
    <cellStyle name="_Расчет RAB_Лен и МОЭСК_с 2010 года_14.04.2009_со сглаж_version 3.0_без ФСК_TEPLO.PREDEL.2013(v2.0)" xfId="565"/>
    <cellStyle name="_Расчет RAB_Лен и МОЭСК_с 2010 года_14.04.2009_со сглаж_version 3.0_без ФСК_TEST.TEMPLATE" xfId="566"/>
    <cellStyle name="_Расчет RAB_Лен и МОЭСК_с 2010 года_14.04.2009_со сглаж_version 3.0_без ФСК_UPDATE.46EE.2011.TO.1.1" xfId="567"/>
    <cellStyle name="_Расчет RAB_Лен и МОЭСК_с 2010 года_14.04.2009_со сглаж_version 3.0_без ФСК_UPDATE.46TE.2011.TO.1.1" xfId="568"/>
    <cellStyle name="_Расчет RAB_Лен и МОЭСК_с 2010 года_14.04.2009_со сглаж_version 3.0_без ФСК_UPDATE.46TE.2011.TO.1.2" xfId="569"/>
    <cellStyle name="_Расчет RAB_Лен и МОЭСК_с 2010 года_14.04.2009_со сглаж_version 3.0_без ФСК_UPDATE.BALANCE.WARM.2011YEAR.TO.1.1" xfId="570"/>
    <cellStyle name="_Расчет RAB_Лен и МОЭСК_с 2010 года_14.04.2009_со сглаж_version 3.0_без ФСК_UPDATE.BALANCE.WARM.2011YEAR.TO.1.1_46TE.2011(v1.0)" xfId="571"/>
    <cellStyle name="_Расчет RAB_Лен и МОЭСК_с 2010 года_14.04.2009_со сглаж_version 3.0_без ФСК_UPDATE.BALANCE.WARM.2011YEAR.TO.1.1_INDEX.STATION.2012(v1.0)_" xfId="572"/>
    <cellStyle name="_Расчет RAB_Лен и МОЭСК_с 2010 года_14.04.2009_со сглаж_version 3.0_без ФСК_UPDATE.BALANCE.WARM.2011YEAR.TO.1.1_INDEX.STATION.2012(v2.0)" xfId="573"/>
    <cellStyle name="_Расчет RAB_Лен и МОЭСК_с 2010 года_14.04.2009_со сглаж_version 3.0_без ФСК_UPDATE.BALANCE.WARM.2011YEAR.TO.1.1_INDEX.STATION.2012(v2.1)" xfId="574"/>
    <cellStyle name="_Расчет RAB_Лен и МОЭСК_с 2010 года_14.04.2009_со сглаж_version 3.0_без ФСК_UPDATE.BALANCE.WARM.2011YEAR.TO.1.1_OREP.KU.2011.MONTHLY.02(v1.1)" xfId="575"/>
    <cellStyle name="_Расчет RAB_Лен и МОЭСК_с 2010 года_14.04.2009_со сглаж_version 3.0_без ФСК_UPDATE.BALANCE.WARM.2011YEAR.TO.1.1_TEPLO.PREDEL.2012.M(v1.1)_test" xfId="576"/>
    <cellStyle name="_Расчет RAB_Лен и МОЭСК_с 2010 года_14.04.2009_со сглаж_version 3.0_без ФСК_UPDATE.BALANCE.WARM.2011YEAR.TO.1.2" xfId="577"/>
    <cellStyle name="_Расчет RAB_Лен и МОЭСК_с 2010 года_14.04.2009_со сглаж_version 3.0_без ФСК_UPDATE.BALANCE.WARM.2011YEAR.TO.1.4.64" xfId="578"/>
    <cellStyle name="_Расчет RAB_Лен и МОЭСК_с 2010 года_14.04.2009_со сглаж_version 3.0_без ФСК_UPDATE.BALANCE.WARM.2011YEAR.TO.1.5.64" xfId="579"/>
    <cellStyle name="_Расчет RAB_Лен и МОЭСК_с 2010 года_14.04.2009_со сглаж_version 3.0_без ФСК_UPDATE.MONITORING.OS.EE.2.02.TO.1.3.64" xfId="580"/>
    <cellStyle name="_Расчет RAB_Лен и МОЭСК_с 2010 года_14.04.2009_со сглаж_version 3.0_без ФСК_UPDATE.NADB.JNVLS.APTEKA.2011.TO.1.3.4" xfId="581"/>
    <cellStyle name="_Расчет RAB_Лен и МОЭСК_с 2010 года_14.04.2009_со сглаж_version 3.0_без ФСК_Книга2_PR.PROG.WARM.NOTCOMBI.2012.2.16_v1.4(04.04.11) " xfId="582"/>
    <cellStyle name="_Сб-macro 2020" xfId="2428"/>
    <cellStyle name="_Свод по ИПР (2)" xfId="583"/>
    <cellStyle name="_Свод по ИПР (2)_Новая инструкция1_фст" xfId="584"/>
    <cellStyle name="_Справочник затрат_ЛХ_20.10.05" xfId="585"/>
    <cellStyle name="_таблицы для расчетов28-04-08_2006-2009_прибыль корр_по ИА" xfId="586"/>
    <cellStyle name="_таблицы для расчетов28-04-08_2006-2009_прибыль корр_по ИА_Новая инструкция1_фст" xfId="587"/>
    <cellStyle name="_таблицы для расчетов28-04-08_2006-2009с ИА" xfId="588"/>
    <cellStyle name="_таблицы для расчетов28-04-08_2006-2009с ИА_Новая инструкция1_фст" xfId="589"/>
    <cellStyle name="_Форма 6  РТК.xls(отчет по Адр пр. ЛО)" xfId="590"/>
    <cellStyle name="_Форма 6  РТК.xls(отчет по Адр пр. ЛО)_Новая инструкция1_фст" xfId="591"/>
    <cellStyle name="_Формат разбивки по МРСК_РСК" xfId="592"/>
    <cellStyle name="_Формат разбивки по МРСК_РСК_Новая инструкция1_фст" xfId="593"/>
    <cellStyle name="_Формат_для Согласования" xfId="594"/>
    <cellStyle name="_Формат_для Согласования_Новая инструкция1_фст" xfId="595"/>
    <cellStyle name="_ХХХ Прил 2 Формы бюджетных документов 2007" xfId="596"/>
    <cellStyle name="_экон.форм-т ВО 1 с разбивкой" xfId="597"/>
    <cellStyle name="_экон.форм-т ВО 1 с разбивкой_Новая инструкция1_фст" xfId="598"/>
    <cellStyle name="’К‰Э [0.00]" xfId="599"/>
    <cellStyle name="”€ќђќ‘ћ‚›‰" xfId="600"/>
    <cellStyle name="”€љ‘€ђћ‚ђќќ›‰" xfId="601"/>
    <cellStyle name="”ќђќ‘ћ‚›‰" xfId="602"/>
    <cellStyle name="”ќђќ‘ћ‚›‰ 2" xfId="603"/>
    <cellStyle name="”љ‘ђћ‚ђќќ›‰" xfId="604"/>
    <cellStyle name="”љ‘ђћ‚ђќќ›‰ 2" xfId="605"/>
    <cellStyle name="„…ќ…†ќ›‰" xfId="606"/>
    <cellStyle name="„…ќ…†ќ›‰ 2" xfId="607"/>
    <cellStyle name="€’ћѓћ‚›‰" xfId="608"/>
    <cellStyle name="‡ђѓћ‹ћ‚ћљ1" xfId="609"/>
    <cellStyle name="‡ђѓћ‹ћ‚ћљ1 2" xfId="610"/>
    <cellStyle name="‡ђѓћ‹ћ‚ћљ2" xfId="611"/>
    <cellStyle name="‡ђѓћ‹ћ‚ћљ2 2" xfId="612"/>
    <cellStyle name="’ћѓћ‚›‰" xfId="613"/>
    <cellStyle name="’ћѓћ‚›‰ 2" xfId="614"/>
    <cellStyle name="1Normal" xfId="615"/>
    <cellStyle name="20% - Accent1" xfId="616"/>
    <cellStyle name="20% - Accent1 2" xfId="617"/>
    <cellStyle name="20% - Accent1 3" xfId="618"/>
    <cellStyle name="20% - Accent1_46EE.2011(v1.0)" xfId="619"/>
    <cellStyle name="20% - Accent2" xfId="620"/>
    <cellStyle name="20% - Accent2 2" xfId="621"/>
    <cellStyle name="20% - Accent2 3" xfId="622"/>
    <cellStyle name="20% - Accent2_46EE.2011(v1.0)" xfId="623"/>
    <cellStyle name="20% - Accent3" xfId="624"/>
    <cellStyle name="20% - Accent3 2" xfId="625"/>
    <cellStyle name="20% - Accent3 3" xfId="626"/>
    <cellStyle name="20% - Accent3_46EE.2011(v1.0)" xfId="627"/>
    <cellStyle name="20% - Accent4" xfId="628"/>
    <cellStyle name="20% - Accent4 2" xfId="629"/>
    <cellStyle name="20% - Accent4 3" xfId="630"/>
    <cellStyle name="20% - Accent4_46EE.2011(v1.0)" xfId="631"/>
    <cellStyle name="20% - Accent5" xfId="632"/>
    <cellStyle name="20% - Accent5 2" xfId="633"/>
    <cellStyle name="20% - Accent5 3" xfId="634"/>
    <cellStyle name="20% - Accent5_46EE.2011(v1.0)" xfId="635"/>
    <cellStyle name="20% - Accent6" xfId="636"/>
    <cellStyle name="20% - Accent6 2" xfId="637"/>
    <cellStyle name="20% - Accent6 3" xfId="638"/>
    <cellStyle name="20% - Accent6_46EE.2011(v1.0)" xfId="639"/>
    <cellStyle name="20% - Акцент1 10" xfId="640"/>
    <cellStyle name="20% - Акцент1 2" xfId="641"/>
    <cellStyle name="20% - Акцент1 2 2" xfId="642"/>
    <cellStyle name="20% - Акцент1 2 3" xfId="643"/>
    <cellStyle name="20% - Акцент1 2_46EE.2011(v1.0)" xfId="644"/>
    <cellStyle name="20% - Акцент1 3" xfId="645"/>
    <cellStyle name="20% - Акцент1 3 2" xfId="646"/>
    <cellStyle name="20% - Акцент1 3 3" xfId="647"/>
    <cellStyle name="20% - Акцент1 3_46EE.2011(v1.0)" xfId="648"/>
    <cellStyle name="20% - Акцент1 4" xfId="649"/>
    <cellStyle name="20% - Акцент1 4 2" xfId="650"/>
    <cellStyle name="20% - Акцент1 4 3" xfId="651"/>
    <cellStyle name="20% - Акцент1 4_46EE.2011(v1.0)" xfId="652"/>
    <cellStyle name="20% - Акцент1 5" xfId="653"/>
    <cellStyle name="20% - Акцент1 5 2" xfId="654"/>
    <cellStyle name="20% - Акцент1 5 3" xfId="655"/>
    <cellStyle name="20% - Акцент1 5_46EE.2011(v1.0)" xfId="656"/>
    <cellStyle name="20% - Акцент1 6" xfId="657"/>
    <cellStyle name="20% - Акцент1 6 2" xfId="658"/>
    <cellStyle name="20% - Акцент1 6 3" xfId="659"/>
    <cellStyle name="20% - Акцент1 6_46EE.2011(v1.0)" xfId="660"/>
    <cellStyle name="20% - Акцент1 7" xfId="661"/>
    <cellStyle name="20% - Акцент1 7 2" xfId="662"/>
    <cellStyle name="20% - Акцент1 7 3" xfId="663"/>
    <cellStyle name="20% - Акцент1 7_46EE.2011(v1.0)" xfId="664"/>
    <cellStyle name="20% - Акцент1 8" xfId="665"/>
    <cellStyle name="20% - Акцент1 8 2" xfId="666"/>
    <cellStyle name="20% - Акцент1 8 3" xfId="667"/>
    <cellStyle name="20% - Акцент1 8_46EE.2011(v1.0)" xfId="668"/>
    <cellStyle name="20% - Акцент1 9" xfId="669"/>
    <cellStyle name="20% - Акцент1 9 2" xfId="670"/>
    <cellStyle name="20% - Акцент1 9 3" xfId="671"/>
    <cellStyle name="20% - Акцент1 9_46EE.2011(v1.0)" xfId="672"/>
    <cellStyle name="20% - Акцент2 10" xfId="673"/>
    <cellStyle name="20% - Акцент2 2" xfId="674"/>
    <cellStyle name="20% - Акцент2 2 2" xfId="675"/>
    <cellStyle name="20% - Акцент2 2 3" xfId="676"/>
    <cellStyle name="20% - Акцент2 2_46EE.2011(v1.0)" xfId="677"/>
    <cellStyle name="20% - Акцент2 3" xfId="678"/>
    <cellStyle name="20% - Акцент2 3 2" xfId="679"/>
    <cellStyle name="20% - Акцент2 3 3" xfId="680"/>
    <cellStyle name="20% - Акцент2 3_46EE.2011(v1.0)" xfId="681"/>
    <cellStyle name="20% - Акцент2 4" xfId="682"/>
    <cellStyle name="20% - Акцент2 4 2" xfId="683"/>
    <cellStyle name="20% - Акцент2 4 3" xfId="684"/>
    <cellStyle name="20% - Акцент2 4_46EE.2011(v1.0)" xfId="685"/>
    <cellStyle name="20% - Акцент2 5" xfId="686"/>
    <cellStyle name="20% - Акцент2 5 2" xfId="687"/>
    <cellStyle name="20% - Акцент2 5 3" xfId="688"/>
    <cellStyle name="20% - Акцент2 5_46EE.2011(v1.0)" xfId="689"/>
    <cellStyle name="20% - Акцент2 6" xfId="690"/>
    <cellStyle name="20% - Акцент2 6 2" xfId="691"/>
    <cellStyle name="20% - Акцент2 6 3" xfId="692"/>
    <cellStyle name="20% - Акцент2 6_46EE.2011(v1.0)" xfId="693"/>
    <cellStyle name="20% - Акцент2 7" xfId="694"/>
    <cellStyle name="20% - Акцент2 7 2" xfId="695"/>
    <cellStyle name="20% - Акцент2 7 3" xfId="696"/>
    <cellStyle name="20% - Акцент2 7_46EE.2011(v1.0)" xfId="697"/>
    <cellStyle name="20% - Акцент2 8" xfId="698"/>
    <cellStyle name="20% - Акцент2 8 2" xfId="699"/>
    <cellStyle name="20% - Акцент2 8 3" xfId="700"/>
    <cellStyle name="20% - Акцент2 8_46EE.2011(v1.0)" xfId="701"/>
    <cellStyle name="20% - Акцент2 9" xfId="702"/>
    <cellStyle name="20% - Акцент2 9 2" xfId="703"/>
    <cellStyle name="20% - Акцент2 9 3" xfId="704"/>
    <cellStyle name="20% - Акцент2 9_46EE.2011(v1.0)" xfId="705"/>
    <cellStyle name="20% - Акцент3 10" xfId="706"/>
    <cellStyle name="20% - Акцент3 2" xfId="707"/>
    <cellStyle name="20% - Акцент3 2 2" xfId="708"/>
    <cellStyle name="20% - Акцент3 2 3" xfId="709"/>
    <cellStyle name="20% - Акцент3 2_46EE.2011(v1.0)" xfId="710"/>
    <cellStyle name="20% - Акцент3 3" xfId="711"/>
    <cellStyle name="20% - Акцент3 3 2" xfId="712"/>
    <cellStyle name="20% - Акцент3 3 3" xfId="713"/>
    <cellStyle name="20% - Акцент3 3_46EE.2011(v1.0)" xfId="714"/>
    <cellStyle name="20% - Акцент3 4" xfId="715"/>
    <cellStyle name="20% - Акцент3 4 2" xfId="716"/>
    <cellStyle name="20% - Акцент3 4 3" xfId="717"/>
    <cellStyle name="20% - Акцент3 4_46EE.2011(v1.0)" xfId="718"/>
    <cellStyle name="20% - Акцент3 5" xfId="719"/>
    <cellStyle name="20% - Акцент3 5 2" xfId="720"/>
    <cellStyle name="20% - Акцент3 5 3" xfId="721"/>
    <cellStyle name="20% - Акцент3 5_46EE.2011(v1.0)" xfId="722"/>
    <cellStyle name="20% - Акцент3 6" xfId="723"/>
    <cellStyle name="20% - Акцент3 6 2" xfId="724"/>
    <cellStyle name="20% - Акцент3 6 3" xfId="725"/>
    <cellStyle name="20% - Акцент3 6_46EE.2011(v1.0)" xfId="726"/>
    <cellStyle name="20% - Акцент3 7" xfId="727"/>
    <cellStyle name="20% - Акцент3 7 2" xfId="728"/>
    <cellStyle name="20% - Акцент3 7 3" xfId="729"/>
    <cellStyle name="20% - Акцент3 7_46EE.2011(v1.0)" xfId="730"/>
    <cellStyle name="20% - Акцент3 8" xfId="731"/>
    <cellStyle name="20% - Акцент3 8 2" xfId="732"/>
    <cellStyle name="20% - Акцент3 8 3" xfId="733"/>
    <cellStyle name="20% - Акцент3 8_46EE.2011(v1.0)" xfId="734"/>
    <cellStyle name="20% - Акцент3 9" xfId="735"/>
    <cellStyle name="20% - Акцент3 9 2" xfId="736"/>
    <cellStyle name="20% - Акцент3 9 3" xfId="737"/>
    <cellStyle name="20% - Акцент3 9_46EE.2011(v1.0)" xfId="738"/>
    <cellStyle name="20% - Акцент4 10" xfId="739"/>
    <cellStyle name="20% - Акцент4 2" xfId="740"/>
    <cellStyle name="20% - Акцент4 2 2" xfId="741"/>
    <cellStyle name="20% - Акцент4 2 3" xfId="742"/>
    <cellStyle name="20% - Акцент4 2_46EE.2011(v1.0)" xfId="743"/>
    <cellStyle name="20% - Акцент4 3" xfId="744"/>
    <cellStyle name="20% - Акцент4 3 2" xfId="745"/>
    <cellStyle name="20% - Акцент4 3 3" xfId="746"/>
    <cellStyle name="20% - Акцент4 3_46EE.2011(v1.0)" xfId="747"/>
    <cellStyle name="20% - Акцент4 4" xfId="748"/>
    <cellStyle name="20% - Акцент4 4 2" xfId="749"/>
    <cellStyle name="20% - Акцент4 4 3" xfId="750"/>
    <cellStyle name="20% - Акцент4 4_46EE.2011(v1.0)" xfId="751"/>
    <cellStyle name="20% - Акцент4 5" xfId="752"/>
    <cellStyle name="20% - Акцент4 5 2" xfId="753"/>
    <cellStyle name="20% - Акцент4 5 3" xfId="754"/>
    <cellStyle name="20% - Акцент4 5_46EE.2011(v1.0)" xfId="755"/>
    <cellStyle name="20% - Акцент4 6" xfId="756"/>
    <cellStyle name="20% - Акцент4 6 2" xfId="757"/>
    <cellStyle name="20% - Акцент4 6 3" xfId="758"/>
    <cellStyle name="20% - Акцент4 6_46EE.2011(v1.0)" xfId="759"/>
    <cellStyle name="20% - Акцент4 7" xfId="760"/>
    <cellStyle name="20% - Акцент4 7 2" xfId="761"/>
    <cellStyle name="20% - Акцент4 7 3" xfId="762"/>
    <cellStyle name="20% - Акцент4 7_46EE.2011(v1.0)" xfId="763"/>
    <cellStyle name="20% - Акцент4 8" xfId="764"/>
    <cellStyle name="20% - Акцент4 8 2" xfId="765"/>
    <cellStyle name="20% - Акцент4 8 3" xfId="766"/>
    <cellStyle name="20% - Акцент4 8_46EE.2011(v1.0)" xfId="767"/>
    <cellStyle name="20% - Акцент4 9" xfId="768"/>
    <cellStyle name="20% - Акцент4 9 2" xfId="769"/>
    <cellStyle name="20% - Акцент4 9 3" xfId="770"/>
    <cellStyle name="20% - Акцент4 9_46EE.2011(v1.0)" xfId="771"/>
    <cellStyle name="20% - Акцент5 10" xfId="772"/>
    <cellStyle name="20% - Акцент5 2" xfId="773"/>
    <cellStyle name="20% - Акцент5 2 2" xfId="774"/>
    <cellStyle name="20% - Акцент5 2 3" xfId="775"/>
    <cellStyle name="20% - Акцент5 2_46EE.2011(v1.0)" xfId="776"/>
    <cellStyle name="20% - Акцент5 3" xfId="777"/>
    <cellStyle name="20% - Акцент5 3 2" xfId="778"/>
    <cellStyle name="20% - Акцент5 3 3" xfId="779"/>
    <cellStyle name="20% - Акцент5 3_46EE.2011(v1.0)" xfId="780"/>
    <cellStyle name="20% - Акцент5 4" xfId="781"/>
    <cellStyle name="20% - Акцент5 4 2" xfId="782"/>
    <cellStyle name="20% - Акцент5 4 3" xfId="783"/>
    <cellStyle name="20% - Акцент5 4_46EE.2011(v1.0)" xfId="784"/>
    <cellStyle name="20% - Акцент5 5" xfId="785"/>
    <cellStyle name="20% - Акцент5 5 2" xfId="786"/>
    <cellStyle name="20% - Акцент5 5 3" xfId="787"/>
    <cellStyle name="20% - Акцент5 5_46EE.2011(v1.0)" xfId="788"/>
    <cellStyle name="20% - Акцент5 6" xfId="789"/>
    <cellStyle name="20% - Акцент5 6 2" xfId="790"/>
    <cellStyle name="20% - Акцент5 6 3" xfId="791"/>
    <cellStyle name="20% - Акцент5 6_46EE.2011(v1.0)" xfId="792"/>
    <cellStyle name="20% - Акцент5 7" xfId="793"/>
    <cellStyle name="20% - Акцент5 7 2" xfId="794"/>
    <cellStyle name="20% - Акцент5 7 3" xfId="795"/>
    <cellStyle name="20% - Акцент5 7_46EE.2011(v1.0)" xfId="796"/>
    <cellStyle name="20% - Акцент5 8" xfId="797"/>
    <cellStyle name="20% - Акцент5 8 2" xfId="798"/>
    <cellStyle name="20% - Акцент5 8 3" xfId="799"/>
    <cellStyle name="20% - Акцент5 8_46EE.2011(v1.0)" xfId="800"/>
    <cellStyle name="20% - Акцент5 9" xfId="801"/>
    <cellStyle name="20% - Акцент5 9 2" xfId="802"/>
    <cellStyle name="20% - Акцент5 9 3" xfId="803"/>
    <cellStyle name="20% - Акцент5 9_46EE.2011(v1.0)" xfId="804"/>
    <cellStyle name="20% - Акцент6 10" xfId="805"/>
    <cellStyle name="20% - Акцент6 2" xfId="806"/>
    <cellStyle name="20% - Акцент6 2 2" xfId="807"/>
    <cellStyle name="20% - Акцент6 2 3" xfId="808"/>
    <cellStyle name="20% - Акцент6 2_46EE.2011(v1.0)" xfId="809"/>
    <cellStyle name="20% - Акцент6 3" xfId="810"/>
    <cellStyle name="20% - Акцент6 3 2" xfId="811"/>
    <cellStyle name="20% - Акцент6 3 3" xfId="812"/>
    <cellStyle name="20% - Акцент6 3_46EE.2011(v1.0)" xfId="813"/>
    <cellStyle name="20% - Акцент6 4" xfId="814"/>
    <cellStyle name="20% - Акцент6 4 2" xfId="815"/>
    <cellStyle name="20% - Акцент6 4 3" xfId="816"/>
    <cellStyle name="20% - Акцент6 4_46EE.2011(v1.0)" xfId="817"/>
    <cellStyle name="20% - Акцент6 5" xfId="818"/>
    <cellStyle name="20% - Акцент6 5 2" xfId="819"/>
    <cellStyle name="20% - Акцент6 5 3" xfId="820"/>
    <cellStyle name="20% - Акцент6 5_46EE.2011(v1.0)" xfId="821"/>
    <cellStyle name="20% - Акцент6 6" xfId="822"/>
    <cellStyle name="20% - Акцент6 6 2" xfId="823"/>
    <cellStyle name="20% - Акцент6 6 3" xfId="824"/>
    <cellStyle name="20% - Акцент6 6_46EE.2011(v1.0)" xfId="825"/>
    <cellStyle name="20% - Акцент6 7" xfId="826"/>
    <cellStyle name="20% - Акцент6 7 2" xfId="827"/>
    <cellStyle name="20% - Акцент6 7 3" xfId="828"/>
    <cellStyle name="20% - Акцент6 7_46EE.2011(v1.0)" xfId="829"/>
    <cellStyle name="20% - Акцент6 8" xfId="830"/>
    <cellStyle name="20% - Акцент6 8 2" xfId="831"/>
    <cellStyle name="20% - Акцент6 8 3" xfId="832"/>
    <cellStyle name="20% - Акцент6 8_46EE.2011(v1.0)" xfId="833"/>
    <cellStyle name="20% - Акцент6 9" xfId="834"/>
    <cellStyle name="20% - Акцент6 9 2" xfId="835"/>
    <cellStyle name="20% - Акцент6 9 3" xfId="836"/>
    <cellStyle name="20% - Акцент6 9_46EE.2011(v1.0)" xfId="837"/>
    <cellStyle name="40% - Accent1" xfId="838"/>
    <cellStyle name="40% - Accent1 2" xfId="839"/>
    <cellStyle name="40% - Accent1 3" xfId="840"/>
    <cellStyle name="40% - Accent1_46EE.2011(v1.0)" xfId="841"/>
    <cellStyle name="40% - Accent2" xfId="842"/>
    <cellStyle name="40% - Accent2 2" xfId="843"/>
    <cellStyle name="40% - Accent2 3" xfId="844"/>
    <cellStyle name="40% - Accent2_46EE.2011(v1.0)" xfId="845"/>
    <cellStyle name="40% - Accent3" xfId="846"/>
    <cellStyle name="40% - Accent3 2" xfId="847"/>
    <cellStyle name="40% - Accent3 3" xfId="848"/>
    <cellStyle name="40% - Accent3_46EE.2011(v1.0)" xfId="849"/>
    <cellStyle name="40% - Accent4" xfId="850"/>
    <cellStyle name="40% - Accent4 2" xfId="851"/>
    <cellStyle name="40% - Accent4 3" xfId="852"/>
    <cellStyle name="40% - Accent4_46EE.2011(v1.0)" xfId="853"/>
    <cellStyle name="40% - Accent5" xfId="854"/>
    <cellStyle name="40% - Accent5 2" xfId="855"/>
    <cellStyle name="40% - Accent5 3" xfId="856"/>
    <cellStyle name="40% - Accent5_46EE.2011(v1.0)" xfId="857"/>
    <cellStyle name="40% - Accent6" xfId="858"/>
    <cellStyle name="40% - Accent6 2" xfId="859"/>
    <cellStyle name="40% - Accent6 3" xfId="860"/>
    <cellStyle name="40% - Accent6_46EE.2011(v1.0)" xfId="861"/>
    <cellStyle name="40% - Акцент1 10" xfId="862"/>
    <cellStyle name="40% - Акцент1 2" xfId="863"/>
    <cellStyle name="40% - Акцент1 2 2" xfId="864"/>
    <cellStyle name="40% - Акцент1 2 3" xfId="865"/>
    <cellStyle name="40% - Акцент1 2_46EE.2011(v1.0)" xfId="866"/>
    <cellStyle name="40% - Акцент1 3" xfId="867"/>
    <cellStyle name="40% - Акцент1 3 2" xfId="868"/>
    <cellStyle name="40% - Акцент1 3 3" xfId="869"/>
    <cellStyle name="40% - Акцент1 3_46EE.2011(v1.0)" xfId="870"/>
    <cellStyle name="40% - Акцент1 4" xfId="871"/>
    <cellStyle name="40% - Акцент1 4 2" xfId="872"/>
    <cellStyle name="40% - Акцент1 4 3" xfId="873"/>
    <cellStyle name="40% - Акцент1 4_46EE.2011(v1.0)" xfId="874"/>
    <cellStyle name="40% - Акцент1 5" xfId="875"/>
    <cellStyle name="40% - Акцент1 5 2" xfId="876"/>
    <cellStyle name="40% - Акцент1 5 3" xfId="877"/>
    <cellStyle name="40% - Акцент1 5_46EE.2011(v1.0)" xfId="878"/>
    <cellStyle name="40% - Акцент1 6" xfId="879"/>
    <cellStyle name="40% - Акцент1 6 2" xfId="880"/>
    <cellStyle name="40% - Акцент1 6 3" xfId="881"/>
    <cellStyle name="40% - Акцент1 6_46EE.2011(v1.0)" xfId="882"/>
    <cellStyle name="40% - Акцент1 7" xfId="883"/>
    <cellStyle name="40% - Акцент1 7 2" xfId="884"/>
    <cellStyle name="40% - Акцент1 7 3" xfId="885"/>
    <cellStyle name="40% - Акцент1 7_46EE.2011(v1.0)" xfId="886"/>
    <cellStyle name="40% - Акцент1 8" xfId="887"/>
    <cellStyle name="40% - Акцент1 8 2" xfId="888"/>
    <cellStyle name="40% - Акцент1 8 3" xfId="889"/>
    <cellStyle name="40% - Акцент1 8_46EE.2011(v1.0)" xfId="890"/>
    <cellStyle name="40% - Акцент1 9" xfId="891"/>
    <cellStyle name="40% - Акцент1 9 2" xfId="892"/>
    <cellStyle name="40% - Акцент1 9 3" xfId="893"/>
    <cellStyle name="40% - Акцент1 9_46EE.2011(v1.0)" xfId="894"/>
    <cellStyle name="40% - Акцент2 10" xfId="895"/>
    <cellStyle name="40% - Акцент2 2" xfId="896"/>
    <cellStyle name="40% - Акцент2 2 2" xfId="897"/>
    <cellStyle name="40% - Акцент2 2 3" xfId="898"/>
    <cellStyle name="40% - Акцент2 2_46EE.2011(v1.0)" xfId="899"/>
    <cellStyle name="40% - Акцент2 3" xfId="900"/>
    <cellStyle name="40% - Акцент2 3 2" xfId="901"/>
    <cellStyle name="40% - Акцент2 3 3" xfId="902"/>
    <cellStyle name="40% - Акцент2 3_46EE.2011(v1.0)" xfId="903"/>
    <cellStyle name="40% - Акцент2 4" xfId="904"/>
    <cellStyle name="40% - Акцент2 4 2" xfId="905"/>
    <cellStyle name="40% - Акцент2 4 3" xfId="906"/>
    <cellStyle name="40% - Акцент2 4_46EE.2011(v1.0)" xfId="907"/>
    <cellStyle name="40% - Акцент2 5" xfId="908"/>
    <cellStyle name="40% - Акцент2 5 2" xfId="909"/>
    <cellStyle name="40% - Акцент2 5 3" xfId="910"/>
    <cellStyle name="40% - Акцент2 5_46EE.2011(v1.0)" xfId="911"/>
    <cellStyle name="40% - Акцент2 6" xfId="912"/>
    <cellStyle name="40% - Акцент2 6 2" xfId="913"/>
    <cellStyle name="40% - Акцент2 6 3" xfId="914"/>
    <cellStyle name="40% - Акцент2 6_46EE.2011(v1.0)" xfId="915"/>
    <cellStyle name="40% - Акцент2 7" xfId="916"/>
    <cellStyle name="40% - Акцент2 7 2" xfId="917"/>
    <cellStyle name="40% - Акцент2 7 3" xfId="918"/>
    <cellStyle name="40% - Акцент2 7_46EE.2011(v1.0)" xfId="919"/>
    <cellStyle name="40% - Акцент2 8" xfId="920"/>
    <cellStyle name="40% - Акцент2 8 2" xfId="921"/>
    <cellStyle name="40% - Акцент2 8 3" xfId="922"/>
    <cellStyle name="40% - Акцент2 8_46EE.2011(v1.0)" xfId="923"/>
    <cellStyle name="40% - Акцент2 9" xfId="924"/>
    <cellStyle name="40% - Акцент2 9 2" xfId="925"/>
    <cellStyle name="40% - Акцент2 9 3" xfId="926"/>
    <cellStyle name="40% - Акцент2 9_46EE.2011(v1.0)" xfId="927"/>
    <cellStyle name="40% - Акцент3 10" xfId="928"/>
    <cellStyle name="40% - Акцент3 2" xfId="929"/>
    <cellStyle name="40% - Акцент3 2 2" xfId="930"/>
    <cellStyle name="40% - Акцент3 2 3" xfId="931"/>
    <cellStyle name="40% - Акцент3 2_46EE.2011(v1.0)" xfId="932"/>
    <cellStyle name="40% - Акцент3 3" xfId="933"/>
    <cellStyle name="40% - Акцент3 3 2" xfId="934"/>
    <cellStyle name="40% - Акцент3 3 3" xfId="935"/>
    <cellStyle name="40% - Акцент3 3_46EE.2011(v1.0)" xfId="936"/>
    <cellStyle name="40% - Акцент3 4" xfId="937"/>
    <cellStyle name="40% - Акцент3 4 2" xfId="938"/>
    <cellStyle name="40% - Акцент3 4 3" xfId="939"/>
    <cellStyle name="40% - Акцент3 4_46EE.2011(v1.0)" xfId="940"/>
    <cellStyle name="40% - Акцент3 5" xfId="941"/>
    <cellStyle name="40% - Акцент3 5 2" xfId="942"/>
    <cellStyle name="40% - Акцент3 5 3" xfId="943"/>
    <cellStyle name="40% - Акцент3 5_46EE.2011(v1.0)" xfId="944"/>
    <cellStyle name="40% - Акцент3 6" xfId="945"/>
    <cellStyle name="40% - Акцент3 6 2" xfId="946"/>
    <cellStyle name="40% - Акцент3 6 3" xfId="947"/>
    <cellStyle name="40% - Акцент3 6_46EE.2011(v1.0)" xfId="948"/>
    <cellStyle name="40% - Акцент3 7" xfId="949"/>
    <cellStyle name="40% - Акцент3 7 2" xfId="950"/>
    <cellStyle name="40% - Акцент3 7 3" xfId="951"/>
    <cellStyle name="40% - Акцент3 7_46EE.2011(v1.0)" xfId="952"/>
    <cellStyle name="40% - Акцент3 8" xfId="953"/>
    <cellStyle name="40% - Акцент3 8 2" xfId="954"/>
    <cellStyle name="40% - Акцент3 8 3" xfId="955"/>
    <cellStyle name="40% - Акцент3 8_46EE.2011(v1.0)" xfId="956"/>
    <cellStyle name="40% - Акцент3 9" xfId="957"/>
    <cellStyle name="40% - Акцент3 9 2" xfId="958"/>
    <cellStyle name="40% - Акцент3 9 3" xfId="959"/>
    <cellStyle name="40% - Акцент3 9_46EE.2011(v1.0)" xfId="960"/>
    <cellStyle name="40% - Акцент4 10" xfId="961"/>
    <cellStyle name="40% - Акцент4 2" xfId="962"/>
    <cellStyle name="40% - Акцент4 2 2" xfId="963"/>
    <cellStyle name="40% - Акцент4 2 3" xfId="964"/>
    <cellStyle name="40% - Акцент4 2_46EE.2011(v1.0)" xfId="965"/>
    <cellStyle name="40% - Акцент4 3" xfId="966"/>
    <cellStyle name="40% - Акцент4 3 2" xfId="967"/>
    <cellStyle name="40% - Акцент4 3 3" xfId="968"/>
    <cellStyle name="40% - Акцент4 3_46EE.2011(v1.0)" xfId="969"/>
    <cellStyle name="40% - Акцент4 4" xfId="970"/>
    <cellStyle name="40% - Акцент4 4 2" xfId="971"/>
    <cellStyle name="40% - Акцент4 4 3" xfId="972"/>
    <cellStyle name="40% - Акцент4 4_46EE.2011(v1.0)" xfId="973"/>
    <cellStyle name="40% - Акцент4 5" xfId="974"/>
    <cellStyle name="40% - Акцент4 5 2" xfId="975"/>
    <cellStyle name="40% - Акцент4 5 3" xfId="976"/>
    <cellStyle name="40% - Акцент4 5_46EE.2011(v1.0)" xfId="977"/>
    <cellStyle name="40% - Акцент4 6" xfId="978"/>
    <cellStyle name="40% - Акцент4 6 2" xfId="979"/>
    <cellStyle name="40% - Акцент4 6 3" xfId="980"/>
    <cellStyle name="40% - Акцент4 6_46EE.2011(v1.0)" xfId="981"/>
    <cellStyle name="40% - Акцент4 7" xfId="982"/>
    <cellStyle name="40% - Акцент4 7 2" xfId="983"/>
    <cellStyle name="40% - Акцент4 7 3" xfId="984"/>
    <cellStyle name="40% - Акцент4 7_46EE.2011(v1.0)" xfId="985"/>
    <cellStyle name="40% - Акцент4 8" xfId="986"/>
    <cellStyle name="40% - Акцент4 8 2" xfId="987"/>
    <cellStyle name="40% - Акцент4 8 3" xfId="988"/>
    <cellStyle name="40% - Акцент4 8_46EE.2011(v1.0)" xfId="989"/>
    <cellStyle name="40% - Акцент4 9" xfId="990"/>
    <cellStyle name="40% - Акцент4 9 2" xfId="991"/>
    <cellStyle name="40% - Акцент4 9 3" xfId="992"/>
    <cellStyle name="40% - Акцент4 9_46EE.2011(v1.0)" xfId="993"/>
    <cellStyle name="40% - Акцент5 10" xfId="994"/>
    <cellStyle name="40% - Акцент5 2" xfId="995"/>
    <cellStyle name="40% - Акцент5 2 2" xfId="996"/>
    <cellStyle name="40% - Акцент5 2 3" xfId="997"/>
    <cellStyle name="40% - Акцент5 2_46EE.2011(v1.0)" xfId="998"/>
    <cellStyle name="40% - Акцент5 3" xfId="999"/>
    <cellStyle name="40% - Акцент5 3 2" xfId="1000"/>
    <cellStyle name="40% - Акцент5 3 3" xfId="1001"/>
    <cellStyle name="40% - Акцент5 3_46EE.2011(v1.0)" xfId="1002"/>
    <cellStyle name="40% - Акцент5 4" xfId="1003"/>
    <cellStyle name="40% - Акцент5 4 2" xfId="1004"/>
    <cellStyle name="40% - Акцент5 4 3" xfId="1005"/>
    <cellStyle name="40% - Акцент5 4_46EE.2011(v1.0)" xfId="1006"/>
    <cellStyle name="40% - Акцент5 5" xfId="1007"/>
    <cellStyle name="40% - Акцент5 5 2" xfId="1008"/>
    <cellStyle name="40% - Акцент5 5 3" xfId="1009"/>
    <cellStyle name="40% - Акцент5 5_46EE.2011(v1.0)" xfId="1010"/>
    <cellStyle name="40% - Акцент5 6" xfId="1011"/>
    <cellStyle name="40% - Акцент5 6 2" xfId="1012"/>
    <cellStyle name="40% - Акцент5 6 3" xfId="1013"/>
    <cellStyle name="40% - Акцент5 6_46EE.2011(v1.0)" xfId="1014"/>
    <cellStyle name="40% - Акцент5 7" xfId="1015"/>
    <cellStyle name="40% - Акцент5 7 2" xfId="1016"/>
    <cellStyle name="40% - Акцент5 7 3" xfId="1017"/>
    <cellStyle name="40% - Акцент5 7_46EE.2011(v1.0)" xfId="1018"/>
    <cellStyle name="40% - Акцент5 8" xfId="1019"/>
    <cellStyle name="40% - Акцент5 8 2" xfId="1020"/>
    <cellStyle name="40% - Акцент5 8 3" xfId="1021"/>
    <cellStyle name="40% - Акцент5 8_46EE.2011(v1.0)" xfId="1022"/>
    <cellStyle name="40% - Акцент5 9" xfId="1023"/>
    <cellStyle name="40% - Акцент5 9 2" xfId="1024"/>
    <cellStyle name="40% - Акцент5 9 3" xfId="1025"/>
    <cellStyle name="40% - Акцент5 9_46EE.2011(v1.0)" xfId="1026"/>
    <cellStyle name="40% - Акцент6 10" xfId="1027"/>
    <cellStyle name="40% - Акцент6 2" xfId="1028"/>
    <cellStyle name="40% - Акцент6 2 2" xfId="1029"/>
    <cellStyle name="40% - Акцент6 2 3" xfId="1030"/>
    <cellStyle name="40% - Акцент6 2_46EE.2011(v1.0)" xfId="1031"/>
    <cellStyle name="40% - Акцент6 3" xfId="1032"/>
    <cellStyle name="40% - Акцент6 3 2" xfId="1033"/>
    <cellStyle name="40% - Акцент6 3 3" xfId="1034"/>
    <cellStyle name="40% - Акцент6 3_46EE.2011(v1.0)" xfId="1035"/>
    <cellStyle name="40% - Акцент6 4" xfId="1036"/>
    <cellStyle name="40% - Акцент6 4 2" xfId="1037"/>
    <cellStyle name="40% - Акцент6 4 3" xfId="1038"/>
    <cellStyle name="40% - Акцент6 4_46EE.2011(v1.0)" xfId="1039"/>
    <cellStyle name="40% - Акцент6 5" xfId="1040"/>
    <cellStyle name="40% - Акцент6 5 2" xfId="1041"/>
    <cellStyle name="40% - Акцент6 5 3" xfId="1042"/>
    <cellStyle name="40% - Акцент6 5_46EE.2011(v1.0)" xfId="1043"/>
    <cellStyle name="40% - Акцент6 6" xfId="1044"/>
    <cellStyle name="40% - Акцент6 6 2" xfId="1045"/>
    <cellStyle name="40% - Акцент6 6 3" xfId="1046"/>
    <cellStyle name="40% - Акцент6 6_46EE.2011(v1.0)" xfId="1047"/>
    <cellStyle name="40% - Акцент6 7" xfId="1048"/>
    <cellStyle name="40% - Акцент6 7 2" xfId="1049"/>
    <cellStyle name="40% - Акцент6 7 3" xfId="1050"/>
    <cellStyle name="40% - Акцент6 7_46EE.2011(v1.0)" xfId="1051"/>
    <cellStyle name="40% - Акцент6 8" xfId="1052"/>
    <cellStyle name="40% - Акцент6 8 2" xfId="1053"/>
    <cellStyle name="40% - Акцент6 8 3" xfId="1054"/>
    <cellStyle name="40% - Акцент6 8_46EE.2011(v1.0)" xfId="1055"/>
    <cellStyle name="40% - Акцент6 9" xfId="1056"/>
    <cellStyle name="40% - Акцент6 9 2" xfId="1057"/>
    <cellStyle name="40% - Акцент6 9 3" xfId="1058"/>
    <cellStyle name="40% - Акцент6 9_46EE.2011(v1.0)" xfId="1059"/>
    <cellStyle name="60% - Accent1" xfId="1060"/>
    <cellStyle name="60% - Accent2" xfId="1061"/>
    <cellStyle name="60% - Accent3" xfId="1062"/>
    <cellStyle name="60% - Accent4" xfId="1063"/>
    <cellStyle name="60% - Accent5" xfId="1064"/>
    <cellStyle name="60% - Accent6" xfId="1065"/>
    <cellStyle name="60% - Акцент1 10" xfId="1066"/>
    <cellStyle name="60% - Акцент1 2" xfId="1067"/>
    <cellStyle name="60% - Акцент1 2 2" xfId="1068"/>
    <cellStyle name="60% - Акцент1 3" xfId="1069"/>
    <cellStyle name="60% - Акцент1 3 2" xfId="1070"/>
    <cellStyle name="60% - Акцент1 4" xfId="1071"/>
    <cellStyle name="60% - Акцент1 4 2" xfId="1072"/>
    <cellStyle name="60% - Акцент1 5" xfId="1073"/>
    <cellStyle name="60% - Акцент1 5 2" xfId="1074"/>
    <cellStyle name="60% - Акцент1 6" xfId="1075"/>
    <cellStyle name="60% - Акцент1 6 2" xfId="1076"/>
    <cellStyle name="60% - Акцент1 7" xfId="1077"/>
    <cellStyle name="60% - Акцент1 7 2" xfId="1078"/>
    <cellStyle name="60% - Акцент1 8" xfId="1079"/>
    <cellStyle name="60% - Акцент1 8 2" xfId="1080"/>
    <cellStyle name="60% - Акцент1 9" xfId="1081"/>
    <cellStyle name="60% - Акцент1 9 2" xfId="1082"/>
    <cellStyle name="60% - Акцент2 10" xfId="1083"/>
    <cellStyle name="60% - Акцент2 2" xfId="1084"/>
    <cellStyle name="60% - Акцент2 2 2" xfId="1085"/>
    <cellStyle name="60% - Акцент2 3" xfId="1086"/>
    <cellStyle name="60% - Акцент2 3 2" xfId="1087"/>
    <cellStyle name="60% - Акцент2 4" xfId="1088"/>
    <cellStyle name="60% - Акцент2 4 2" xfId="1089"/>
    <cellStyle name="60% - Акцент2 5" xfId="1090"/>
    <cellStyle name="60% - Акцент2 5 2" xfId="1091"/>
    <cellStyle name="60% - Акцент2 6" xfId="1092"/>
    <cellStyle name="60% - Акцент2 6 2" xfId="1093"/>
    <cellStyle name="60% - Акцент2 7" xfId="1094"/>
    <cellStyle name="60% - Акцент2 7 2" xfId="1095"/>
    <cellStyle name="60% - Акцент2 8" xfId="1096"/>
    <cellStyle name="60% - Акцент2 8 2" xfId="1097"/>
    <cellStyle name="60% - Акцент2 9" xfId="1098"/>
    <cellStyle name="60% - Акцент2 9 2" xfId="1099"/>
    <cellStyle name="60% - Акцент3 10" xfId="1100"/>
    <cellStyle name="60% - Акцент3 2" xfId="1101"/>
    <cellStyle name="60% - Акцент3 2 2" xfId="1102"/>
    <cellStyle name="60% - Акцент3 3" xfId="1103"/>
    <cellStyle name="60% - Акцент3 3 2" xfId="1104"/>
    <cellStyle name="60% - Акцент3 4" xfId="1105"/>
    <cellStyle name="60% - Акцент3 4 2" xfId="1106"/>
    <cellStyle name="60% - Акцент3 5" xfId="1107"/>
    <cellStyle name="60% - Акцент3 5 2" xfId="1108"/>
    <cellStyle name="60% - Акцент3 6" xfId="1109"/>
    <cellStyle name="60% - Акцент3 6 2" xfId="1110"/>
    <cellStyle name="60% - Акцент3 7" xfId="1111"/>
    <cellStyle name="60% - Акцент3 7 2" xfId="1112"/>
    <cellStyle name="60% - Акцент3 8" xfId="1113"/>
    <cellStyle name="60% - Акцент3 8 2" xfId="1114"/>
    <cellStyle name="60% - Акцент3 9" xfId="1115"/>
    <cellStyle name="60% - Акцент3 9 2" xfId="1116"/>
    <cellStyle name="60% - Акцент4 10" xfId="1117"/>
    <cellStyle name="60% - Акцент4 2" xfId="1118"/>
    <cellStyle name="60% - Акцент4 2 2" xfId="1119"/>
    <cellStyle name="60% - Акцент4 3" xfId="1120"/>
    <cellStyle name="60% - Акцент4 3 2" xfId="1121"/>
    <cellStyle name="60% - Акцент4 4" xfId="1122"/>
    <cellStyle name="60% - Акцент4 4 2" xfId="1123"/>
    <cellStyle name="60% - Акцент4 5" xfId="1124"/>
    <cellStyle name="60% - Акцент4 5 2" xfId="1125"/>
    <cellStyle name="60% - Акцент4 6" xfId="1126"/>
    <cellStyle name="60% - Акцент4 6 2" xfId="1127"/>
    <cellStyle name="60% - Акцент4 7" xfId="1128"/>
    <cellStyle name="60% - Акцент4 7 2" xfId="1129"/>
    <cellStyle name="60% - Акцент4 8" xfId="1130"/>
    <cellStyle name="60% - Акцент4 8 2" xfId="1131"/>
    <cellStyle name="60% - Акцент4 9" xfId="1132"/>
    <cellStyle name="60% - Акцент4 9 2" xfId="1133"/>
    <cellStyle name="60% - Акцент5 10" xfId="1134"/>
    <cellStyle name="60% - Акцент5 2" xfId="1135"/>
    <cellStyle name="60% - Акцент5 2 2" xfId="1136"/>
    <cellStyle name="60% - Акцент5 3" xfId="1137"/>
    <cellStyle name="60% - Акцент5 3 2" xfId="1138"/>
    <cellStyle name="60% - Акцент5 4" xfId="1139"/>
    <cellStyle name="60% - Акцент5 4 2" xfId="1140"/>
    <cellStyle name="60% - Акцент5 5" xfId="1141"/>
    <cellStyle name="60% - Акцент5 5 2" xfId="1142"/>
    <cellStyle name="60% - Акцент5 6" xfId="1143"/>
    <cellStyle name="60% - Акцент5 6 2" xfId="1144"/>
    <cellStyle name="60% - Акцент5 7" xfId="1145"/>
    <cellStyle name="60% - Акцент5 7 2" xfId="1146"/>
    <cellStyle name="60% - Акцент5 8" xfId="1147"/>
    <cellStyle name="60% - Акцент5 8 2" xfId="1148"/>
    <cellStyle name="60% - Акцент5 9" xfId="1149"/>
    <cellStyle name="60% - Акцент5 9 2" xfId="1150"/>
    <cellStyle name="60% - Акцент6 10" xfId="1151"/>
    <cellStyle name="60% - Акцент6 2" xfId="1152"/>
    <cellStyle name="60% - Акцент6 2 2" xfId="1153"/>
    <cellStyle name="60% - Акцент6 3" xfId="1154"/>
    <cellStyle name="60% - Акцент6 3 2" xfId="1155"/>
    <cellStyle name="60% - Акцент6 4" xfId="1156"/>
    <cellStyle name="60% - Акцент6 4 2" xfId="1157"/>
    <cellStyle name="60% - Акцент6 5" xfId="1158"/>
    <cellStyle name="60% - Акцент6 5 2" xfId="1159"/>
    <cellStyle name="60% - Акцент6 6" xfId="1160"/>
    <cellStyle name="60% - Акцент6 6 2" xfId="1161"/>
    <cellStyle name="60% - Акцент6 7" xfId="1162"/>
    <cellStyle name="60% - Акцент6 7 2" xfId="1163"/>
    <cellStyle name="60% - Акцент6 8" xfId="1164"/>
    <cellStyle name="60% - Акцент6 8 2" xfId="1165"/>
    <cellStyle name="60% - Акцент6 9" xfId="1166"/>
    <cellStyle name="60% - Акцент6 9 2" xfId="1167"/>
    <cellStyle name="Accent1" xfId="1168"/>
    <cellStyle name="Accent2" xfId="1169"/>
    <cellStyle name="Accent3" xfId="1170"/>
    <cellStyle name="Accent4" xfId="1171"/>
    <cellStyle name="Accent5" xfId="1172"/>
    <cellStyle name="Accent6" xfId="1173"/>
    <cellStyle name="Ăčďĺđńńűëęŕ" xfId="1174"/>
    <cellStyle name="AFE" xfId="1175"/>
    <cellStyle name="Áĺççŕůčňíűé" xfId="1176"/>
    <cellStyle name="Äĺíĺćíűé [0]_(ňŕá 3č)" xfId="1177"/>
    <cellStyle name="Äĺíĺćíűé_(ňŕá 3č)" xfId="1178"/>
    <cellStyle name="Bad" xfId="1179"/>
    <cellStyle name="Blue" xfId="1180"/>
    <cellStyle name="Body_$Dollars" xfId="1181"/>
    <cellStyle name="Calculation" xfId="1182"/>
    <cellStyle name="Cells 2" xfId="1183"/>
    <cellStyle name="Check Cell" xfId="1184"/>
    <cellStyle name="Chek" xfId="1185"/>
    <cellStyle name="Comma [0]_Adjusted FS 1299" xfId="1186"/>
    <cellStyle name="Comma 0" xfId="1187"/>
    <cellStyle name="Comma 0*" xfId="1188"/>
    <cellStyle name="Comma 2" xfId="1189"/>
    <cellStyle name="Comma 3*" xfId="1190"/>
    <cellStyle name="Comma_Adjusted FS 1299" xfId="1191"/>
    <cellStyle name="Comma0" xfId="1192"/>
    <cellStyle name="Çŕůčňíűé" xfId="1193"/>
    <cellStyle name="Currency [0]" xfId="1194"/>
    <cellStyle name="Currency [0] 2" xfId="1195"/>
    <cellStyle name="Currency [0] 2 10" xfId="1196"/>
    <cellStyle name="Currency [0] 2 11" xfId="1197"/>
    <cellStyle name="Currency [0] 2 2" xfId="1198"/>
    <cellStyle name="Currency [0] 2 2 2" xfId="1199"/>
    <cellStyle name="Currency [0] 2 2 3" xfId="1200"/>
    <cellStyle name="Currency [0] 2 2 4" xfId="1201"/>
    <cellStyle name="Currency [0] 2 3" xfId="1202"/>
    <cellStyle name="Currency [0] 2 3 2" xfId="1203"/>
    <cellStyle name="Currency [0] 2 3 3" xfId="1204"/>
    <cellStyle name="Currency [0] 2 3 4" xfId="1205"/>
    <cellStyle name="Currency [0] 2 4" xfId="1206"/>
    <cellStyle name="Currency [0] 2 4 2" xfId="1207"/>
    <cellStyle name="Currency [0] 2 4 3" xfId="1208"/>
    <cellStyle name="Currency [0] 2 4 4" xfId="1209"/>
    <cellStyle name="Currency [0] 2 5" xfId="1210"/>
    <cellStyle name="Currency [0] 2 5 2" xfId="1211"/>
    <cellStyle name="Currency [0] 2 5 3" xfId="1212"/>
    <cellStyle name="Currency [0] 2 5 4" xfId="1213"/>
    <cellStyle name="Currency [0] 2 6" xfId="1214"/>
    <cellStyle name="Currency [0] 2 6 2" xfId="1215"/>
    <cellStyle name="Currency [0] 2 6 3" xfId="1216"/>
    <cellStyle name="Currency [0] 2 6 4" xfId="1217"/>
    <cellStyle name="Currency [0] 2 7" xfId="1218"/>
    <cellStyle name="Currency [0] 2 7 2" xfId="1219"/>
    <cellStyle name="Currency [0] 2 7 3" xfId="1220"/>
    <cellStyle name="Currency [0] 2 7 4" xfId="1221"/>
    <cellStyle name="Currency [0] 2 8" xfId="1222"/>
    <cellStyle name="Currency [0] 2 8 2" xfId="1223"/>
    <cellStyle name="Currency [0] 2 8 3" xfId="1224"/>
    <cellStyle name="Currency [0] 2 8 4" xfId="1225"/>
    <cellStyle name="Currency [0] 2 9" xfId="1226"/>
    <cellStyle name="Currency [0] 3" xfId="1227"/>
    <cellStyle name="Currency [0] 3 10" xfId="1228"/>
    <cellStyle name="Currency [0] 3 11" xfId="1229"/>
    <cellStyle name="Currency [0] 3 2" xfId="1230"/>
    <cellStyle name="Currency [0] 3 2 2" xfId="1231"/>
    <cellStyle name="Currency [0] 3 2 3" xfId="1232"/>
    <cellStyle name="Currency [0] 3 2 4" xfId="1233"/>
    <cellStyle name="Currency [0] 3 3" xfId="1234"/>
    <cellStyle name="Currency [0] 3 3 2" xfId="1235"/>
    <cellStyle name="Currency [0] 3 3 3" xfId="1236"/>
    <cellStyle name="Currency [0] 3 3 4" xfId="1237"/>
    <cellStyle name="Currency [0] 3 4" xfId="1238"/>
    <cellStyle name="Currency [0] 3 4 2" xfId="1239"/>
    <cellStyle name="Currency [0] 3 4 3" xfId="1240"/>
    <cellStyle name="Currency [0] 3 4 4" xfId="1241"/>
    <cellStyle name="Currency [0] 3 5" xfId="1242"/>
    <cellStyle name="Currency [0] 3 5 2" xfId="1243"/>
    <cellStyle name="Currency [0] 3 5 3" xfId="1244"/>
    <cellStyle name="Currency [0] 3 5 4" xfId="1245"/>
    <cellStyle name="Currency [0] 3 6" xfId="1246"/>
    <cellStyle name="Currency [0] 3 6 2" xfId="1247"/>
    <cellStyle name="Currency [0] 3 6 3" xfId="1248"/>
    <cellStyle name="Currency [0] 3 6 4" xfId="1249"/>
    <cellStyle name="Currency [0] 3 7" xfId="1250"/>
    <cellStyle name="Currency [0] 3 7 2" xfId="1251"/>
    <cellStyle name="Currency [0] 3 7 3" xfId="1252"/>
    <cellStyle name="Currency [0] 3 7 4" xfId="1253"/>
    <cellStyle name="Currency [0] 3 8" xfId="1254"/>
    <cellStyle name="Currency [0] 3 8 2" xfId="1255"/>
    <cellStyle name="Currency [0] 3 8 3" xfId="1256"/>
    <cellStyle name="Currency [0] 3 8 4" xfId="1257"/>
    <cellStyle name="Currency [0] 3 9" xfId="1258"/>
    <cellStyle name="Currency [0] 4" xfId="1259"/>
    <cellStyle name="Currency [0] 4 10" xfId="1260"/>
    <cellStyle name="Currency [0] 4 11" xfId="1261"/>
    <cellStyle name="Currency [0] 4 2" xfId="1262"/>
    <cellStyle name="Currency [0] 4 2 2" xfId="1263"/>
    <cellStyle name="Currency [0] 4 2 3" xfId="1264"/>
    <cellStyle name="Currency [0] 4 2 4" xfId="1265"/>
    <cellStyle name="Currency [0] 4 3" xfId="1266"/>
    <cellStyle name="Currency [0] 4 3 2" xfId="1267"/>
    <cellStyle name="Currency [0] 4 3 3" xfId="1268"/>
    <cellStyle name="Currency [0] 4 3 4" xfId="1269"/>
    <cellStyle name="Currency [0] 4 4" xfId="1270"/>
    <cellStyle name="Currency [0] 4 4 2" xfId="1271"/>
    <cellStyle name="Currency [0] 4 4 3" xfId="1272"/>
    <cellStyle name="Currency [0] 4 4 4" xfId="1273"/>
    <cellStyle name="Currency [0] 4 5" xfId="1274"/>
    <cellStyle name="Currency [0] 4 5 2" xfId="1275"/>
    <cellStyle name="Currency [0] 4 5 3" xfId="1276"/>
    <cellStyle name="Currency [0] 4 5 4" xfId="1277"/>
    <cellStyle name="Currency [0] 4 6" xfId="1278"/>
    <cellStyle name="Currency [0] 4 6 2" xfId="1279"/>
    <cellStyle name="Currency [0] 4 6 3" xfId="1280"/>
    <cellStyle name="Currency [0] 4 6 4" xfId="1281"/>
    <cellStyle name="Currency [0] 4 7" xfId="1282"/>
    <cellStyle name="Currency [0] 4 7 2" xfId="1283"/>
    <cellStyle name="Currency [0] 4 7 3" xfId="1284"/>
    <cellStyle name="Currency [0] 4 7 4" xfId="1285"/>
    <cellStyle name="Currency [0] 4 8" xfId="1286"/>
    <cellStyle name="Currency [0] 4 8 2" xfId="1287"/>
    <cellStyle name="Currency [0] 4 8 3" xfId="1288"/>
    <cellStyle name="Currency [0] 4 8 4" xfId="1289"/>
    <cellStyle name="Currency [0] 4 9" xfId="1290"/>
    <cellStyle name="Currency [0] 5" xfId="1291"/>
    <cellStyle name="Currency [0] 5 10" xfId="1292"/>
    <cellStyle name="Currency [0] 5 11" xfId="1293"/>
    <cellStyle name="Currency [0] 5 2" xfId="1294"/>
    <cellStyle name="Currency [0] 5 2 2" xfId="1295"/>
    <cellStyle name="Currency [0] 5 2 3" xfId="1296"/>
    <cellStyle name="Currency [0] 5 2 4" xfId="1297"/>
    <cellStyle name="Currency [0] 5 3" xfId="1298"/>
    <cellStyle name="Currency [0] 5 3 2" xfId="1299"/>
    <cellStyle name="Currency [0] 5 3 3" xfId="1300"/>
    <cellStyle name="Currency [0] 5 3 4" xfId="1301"/>
    <cellStyle name="Currency [0] 5 4" xfId="1302"/>
    <cellStyle name="Currency [0] 5 4 2" xfId="1303"/>
    <cellStyle name="Currency [0] 5 4 3" xfId="1304"/>
    <cellStyle name="Currency [0] 5 4 4" xfId="1305"/>
    <cellStyle name="Currency [0] 5 5" xfId="1306"/>
    <cellStyle name="Currency [0] 5 5 2" xfId="1307"/>
    <cellStyle name="Currency [0] 5 5 3" xfId="1308"/>
    <cellStyle name="Currency [0] 5 5 4" xfId="1309"/>
    <cellStyle name="Currency [0] 5 6" xfId="1310"/>
    <cellStyle name="Currency [0] 5 6 2" xfId="1311"/>
    <cellStyle name="Currency [0] 5 6 3" xfId="1312"/>
    <cellStyle name="Currency [0] 5 6 4" xfId="1313"/>
    <cellStyle name="Currency [0] 5 7" xfId="1314"/>
    <cellStyle name="Currency [0] 5 7 2" xfId="1315"/>
    <cellStyle name="Currency [0] 5 7 3" xfId="1316"/>
    <cellStyle name="Currency [0] 5 7 4" xfId="1317"/>
    <cellStyle name="Currency [0] 5 8" xfId="1318"/>
    <cellStyle name="Currency [0] 5 8 2" xfId="1319"/>
    <cellStyle name="Currency [0] 5 8 3" xfId="1320"/>
    <cellStyle name="Currency [0] 5 8 4" xfId="1321"/>
    <cellStyle name="Currency [0] 5 9" xfId="1322"/>
    <cellStyle name="Currency [0] 6" xfId="1323"/>
    <cellStyle name="Currency [0] 6 2" xfId="1324"/>
    <cellStyle name="Currency [0] 6 3" xfId="1325"/>
    <cellStyle name="Currency [0] 6 4" xfId="1326"/>
    <cellStyle name="Currency [0] 7" xfId="1327"/>
    <cellStyle name="Currency [0] 7 2" xfId="1328"/>
    <cellStyle name="Currency [0] 7 3" xfId="1329"/>
    <cellStyle name="Currency [0] 7 4" xfId="1330"/>
    <cellStyle name="Currency [0] 8" xfId="1331"/>
    <cellStyle name="Currency [0] 8 2" xfId="1332"/>
    <cellStyle name="Currency [0] 8 3" xfId="1333"/>
    <cellStyle name="Currency [0] 8 4" xfId="1334"/>
    <cellStyle name="Currency 0" xfId="1335"/>
    <cellStyle name="Currency 2" xfId="1336"/>
    <cellStyle name="Currency_06_9m" xfId="1337"/>
    <cellStyle name="Currency0" xfId="1338"/>
    <cellStyle name="Currency2" xfId="1339"/>
    <cellStyle name="Date" xfId="1340"/>
    <cellStyle name="Date Aligned" xfId="1341"/>
    <cellStyle name="Dates" xfId="1342"/>
    <cellStyle name="Dezimal [0]_NEGS" xfId="1343"/>
    <cellStyle name="Dezimal_NEGS" xfId="1344"/>
    <cellStyle name="Dotted Line" xfId="1345"/>
    <cellStyle name="E&amp;Y House" xfId="1346"/>
    <cellStyle name="E-mail" xfId="1347"/>
    <cellStyle name="E-mail 2" xfId="1348"/>
    <cellStyle name="E-mail_46EP.2011(v2.0)" xfId="1349"/>
    <cellStyle name="Euro" xfId="1350"/>
    <cellStyle name="Euro 2" xfId="1351"/>
    <cellStyle name="ew" xfId="1352"/>
    <cellStyle name="Excel Built-in Normal" xfId="1353"/>
    <cellStyle name="Explanatory Text" xfId="1354"/>
    <cellStyle name="F2" xfId="1355"/>
    <cellStyle name="F3" xfId="1356"/>
    <cellStyle name="F4" xfId="1357"/>
    <cellStyle name="F5" xfId="1358"/>
    <cellStyle name="F6" xfId="1359"/>
    <cellStyle name="F7" xfId="1360"/>
    <cellStyle name="F8" xfId="1361"/>
    <cellStyle name="Fixed" xfId="1362"/>
    <cellStyle name="fo]_x000d__x000a_UserName=Murat Zelef_x000d__x000a_UserCompany=Bumerang_x000d__x000a__x000d__x000a_[File Paths]_x000d__x000a_WorkingDirectory=C:\EQUIS\DLWIN_x000d__x000a_DownLoader=C" xfId="1363"/>
    <cellStyle name="Followed Hyperlink" xfId="1364"/>
    <cellStyle name="Footnote" xfId="1365"/>
    <cellStyle name="Good" xfId="1366"/>
    <cellStyle name="hard no" xfId="1367"/>
    <cellStyle name="Hard Percent" xfId="1368"/>
    <cellStyle name="hardno" xfId="1369"/>
    <cellStyle name="Header" xfId="1370"/>
    <cellStyle name="Header 3" xfId="1371"/>
    <cellStyle name="Heading" xfId="1372"/>
    <cellStyle name="Heading 1" xfId="1373"/>
    <cellStyle name="Heading 1 2" xfId="1374"/>
    <cellStyle name="Heading 2" xfId="1375"/>
    <cellStyle name="Heading 2 2" xfId="1376"/>
    <cellStyle name="Heading 3" xfId="1377"/>
    <cellStyle name="Heading 4" xfId="1378"/>
    <cellStyle name="Heading_GP.ITOG.4.78(v1.0) - для разделения" xfId="1379"/>
    <cellStyle name="Heading2" xfId="1380"/>
    <cellStyle name="Heading2 2" xfId="1381"/>
    <cellStyle name="Heading2_46EP.2011(v2.0)" xfId="1382"/>
    <cellStyle name="Hyperlink" xfId="1383"/>
    <cellStyle name="Îáű÷íűé__FES" xfId="1384"/>
    <cellStyle name="Îáû÷íûé_cogs" xfId="1385"/>
    <cellStyle name="Îňęđűâŕâřŕ˙ń˙ ăčďĺđńńűëęŕ" xfId="1386"/>
    <cellStyle name="Info" xfId="1387"/>
    <cellStyle name="Input" xfId="1388"/>
    <cellStyle name="InputCurrency" xfId="1389"/>
    <cellStyle name="InputCurrency2" xfId="1390"/>
    <cellStyle name="InputMultiple1" xfId="1391"/>
    <cellStyle name="InputPercent1" xfId="1392"/>
    <cellStyle name="Inputs" xfId="1393"/>
    <cellStyle name="Inputs (const)" xfId="1394"/>
    <cellStyle name="Inputs (const) 2" xfId="1395"/>
    <cellStyle name="Inputs (const)_46EP.2011(v2.0)" xfId="1396"/>
    <cellStyle name="Inputs 2" xfId="1397"/>
    <cellStyle name="Inputs 3" xfId="1398"/>
    <cellStyle name="Inputs Co" xfId="1399"/>
    <cellStyle name="Inputs_46EE.2011(v1.0)" xfId="1400"/>
    <cellStyle name="Linked Cell" xfId="1401"/>
    <cellStyle name="Millares [0]_RESULTS" xfId="1402"/>
    <cellStyle name="Millares_RESULTS" xfId="1403"/>
    <cellStyle name="Milliers [0]_RESULTS" xfId="1404"/>
    <cellStyle name="Milliers_RESULTS" xfId="1405"/>
    <cellStyle name="mnb" xfId="1406"/>
    <cellStyle name="Moneda [0]_RESULTS" xfId="1407"/>
    <cellStyle name="Moneda_RESULTS" xfId="1408"/>
    <cellStyle name="Monétaire [0]_RESULTS" xfId="1409"/>
    <cellStyle name="Monétaire_RESULTS" xfId="1410"/>
    <cellStyle name="Multiple" xfId="1411"/>
    <cellStyle name="Multiple1" xfId="1412"/>
    <cellStyle name="MultipleBelow" xfId="1413"/>
    <cellStyle name="namber" xfId="1414"/>
    <cellStyle name="Neutral" xfId="1415"/>
    <cellStyle name="Norma11l" xfId="1416"/>
    <cellStyle name="normal" xfId="1417"/>
    <cellStyle name="Normal - Style1" xfId="1418"/>
    <cellStyle name="normal 10" xfId="1419"/>
    <cellStyle name="normal 11" xfId="1420"/>
    <cellStyle name="normal 12" xfId="1421"/>
    <cellStyle name="normal 13" xfId="1422"/>
    <cellStyle name="normal 14" xfId="1423"/>
    <cellStyle name="normal 15" xfId="1424"/>
    <cellStyle name="normal 16" xfId="1425"/>
    <cellStyle name="normal 17" xfId="1426"/>
    <cellStyle name="normal 18" xfId="1427"/>
    <cellStyle name="normal 19" xfId="1428"/>
    <cellStyle name="Normal 2" xfId="1429"/>
    <cellStyle name="Normal 2 2" xfId="1430"/>
    <cellStyle name="Normal 2 3" xfId="1431"/>
    <cellStyle name="Normal 2 4" xfId="1432"/>
    <cellStyle name="Normal 2_Общехоз." xfId="1433"/>
    <cellStyle name="normal 20" xfId="1434"/>
    <cellStyle name="normal 21" xfId="1435"/>
    <cellStyle name="normal 22" xfId="1436"/>
    <cellStyle name="normal 23" xfId="1437"/>
    <cellStyle name="normal 24" xfId="1438"/>
    <cellStyle name="normal 25" xfId="1439"/>
    <cellStyle name="normal 26" xfId="1440"/>
    <cellStyle name="normal 3" xfId="1441"/>
    <cellStyle name="normal 4" xfId="1442"/>
    <cellStyle name="normal 5" xfId="1443"/>
    <cellStyle name="normal 6" xfId="1444"/>
    <cellStyle name="normal 7" xfId="1445"/>
    <cellStyle name="normal 8" xfId="1446"/>
    <cellStyle name="normal 9" xfId="1447"/>
    <cellStyle name="Normal." xfId="1448"/>
    <cellStyle name="Normal_06_9m" xfId="1449"/>
    <cellStyle name="Normal1" xfId="1450"/>
    <cellStyle name="Normal2" xfId="1451"/>
    <cellStyle name="NormalGB" xfId="1452"/>
    <cellStyle name="Normalny_24. 02. 97." xfId="1453"/>
    <cellStyle name="normбlnм_laroux" xfId="1454"/>
    <cellStyle name="Note" xfId="1455"/>
    <cellStyle name="number" xfId="1456"/>
    <cellStyle name="Ôčíŕíńîâűé [0]_(ňŕá 3č)" xfId="1457"/>
    <cellStyle name="Ôčíŕíńîâűé_(ňŕá 3č)" xfId="1458"/>
    <cellStyle name="Option" xfId="1459"/>
    <cellStyle name="Òûñÿ÷è [0]_cogs" xfId="1460"/>
    <cellStyle name="Òûñÿ÷è_cogs" xfId="1461"/>
    <cellStyle name="Output" xfId="1462"/>
    <cellStyle name="Page Number" xfId="1463"/>
    <cellStyle name="pb_page_heading_LS" xfId="1464"/>
    <cellStyle name="Percent_RS_Lianozovo-Samara_9m01" xfId="1465"/>
    <cellStyle name="Percent1" xfId="1466"/>
    <cellStyle name="Piug" xfId="1467"/>
    <cellStyle name="Plug" xfId="1468"/>
    <cellStyle name="Price_Body" xfId="1469"/>
    <cellStyle name="prochrek" xfId="1470"/>
    <cellStyle name="Protected" xfId="1471"/>
    <cellStyle name="Salomon Logo" xfId="1472"/>
    <cellStyle name="SAPBEXaggData" xfId="1473"/>
    <cellStyle name="SAPBEXaggDataEmph" xfId="1474"/>
    <cellStyle name="SAPBEXaggItem" xfId="1475"/>
    <cellStyle name="SAPBEXaggItemX" xfId="1476"/>
    <cellStyle name="SAPBEXchaText" xfId="1477"/>
    <cellStyle name="SAPBEXexcBad7" xfId="1478"/>
    <cellStyle name="SAPBEXexcBad8" xfId="1479"/>
    <cellStyle name="SAPBEXexcBad9" xfId="1480"/>
    <cellStyle name="SAPBEXexcCritical4" xfId="1481"/>
    <cellStyle name="SAPBEXexcCritical5" xfId="1482"/>
    <cellStyle name="SAPBEXexcCritical6" xfId="1483"/>
    <cellStyle name="SAPBEXexcGood1" xfId="1484"/>
    <cellStyle name="SAPBEXexcGood2" xfId="1485"/>
    <cellStyle name="SAPBEXexcGood3" xfId="1486"/>
    <cellStyle name="SAPBEXfilterDrill" xfId="1487"/>
    <cellStyle name="SAPBEXfilterItem" xfId="1488"/>
    <cellStyle name="SAPBEXfilterText" xfId="1489"/>
    <cellStyle name="SAPBEXformats" xfId="1490"/>
    <cellStyle name="SAPBEXheaderItem" xfId="1491"/>
    <cellStyle name="SAPBEXheaderText" xfId="1492"/>
    <cellStyle name="SAPBEXHLevel0" xfId="1493"/>
    <cellStyle name="SAPBEXHLevel0X" xfId="1494"/>
    <cellStyle name="SAPBEXHLevel1" xfId="1495"/>
    <cellStyle name="SAPBEXHLevel1X" xfId="1496"/>
    <cellStyle name="SAPBEXHLevel2" xfId="1497"/>
    <cellStyle name="SAPBEXHLevel2X" xfId="1498"/>
    <cellStyle name="SAPBEXHLevel3" xfId="1499"/>
    <cellStyle name="SAPBEXHLevel3X" xfId="1500"/>
    <cellStyle name="SAPBEXinputData" xfId="1501"/>
    <cellStyle name="SAPBEXinputData 2" xfId="1502"/>
    <cellStyle name="SAPBEXinputData 3" xfId="1503"/>
    <cellStyle name="SAPBEXinputData 4" xfId="1504"/>
    <cellStyle name="SAPBEXresData" xfId="1505"/>
    <cellStyle name="SAPBEXresDataEmph" xfId="1506"/>
    <cellStyle name="SAPBEXresItem" xfId="1507"/>
    <cellStyle name="SAPBEXresItemX" xfId="1508"/>
    <cellStyle name="SAPBEXstdData" xfId="1509"/>
    <cellStyle name="SAPBEXstdDataEmph" xfId="1510"/>
    <cellStyle name="SAPBEXstdItem" xfId="1511"/>
    <cellStyle name="SAPBEXstdItemX" xfId="1512"/>
    <cellStyle name="SAPBEXtitle" xfId="1513"/>
    <cellStyle name="SAPBEXundefined" xfId="1514"/>
    <cellStyle name="st1" xfId="1515"/>
    <cellStyle name="Standard_NEGS" xfId="1516"/>
    <cellStyle name="Style 1" xfId="1517"/>
    <cellStyle name="Table Head" xfId="1518"/>
    <cellStyle name="Table Head Aligned" xfId="1519"/>
    <cellStyle name="Table Head Blue" xfId="1520"/>
    <cellStyle name="Table Head Green" xfId="1521"/>
    <cellStyle name="Table Head_Val_Sum_Graph" xfId="1522"/>
    <cellStyle name="Table Heading" xfId="1523"/>
    <cellStyle name="Table Heading 2" xfId="1524"/>
    <cellStyle name="Table Heading_46EP.2011(v2.0)" xfId="1525"/>
    <cellStyle name="Table Text" xfId="1526"/>
    <cellStyle name="Table Title" xfId="1527"/>
    <cellStyle name="Table Units" xfId="1528"/>
    <cellStyle name="Table_Header" xfId="1529"/>
    <cellStyle name="Text" xfId="1530"/>
    <cellStyle name="Text 1" xfId="1531"/>
    <cellStyle name="Text Head" xfId="1532"/>
    <cellStyle name="Text Head 1" xfId="1533"/>
    <cellStyle name="Title" xfId="1534"/>
    <cellStyle name="Title 4" xfId="1535"/>
    <cellStyle name="Total" xfId="1536"/>
    <cellStyle name="Total 2" xfId="1537"/>
    <cellStyle name="TotalCurrency" xfId="1538"/>
    <cellStyle name="Underline_Single" xfId="1539"/>
    <cellStyle name="Unit" xfId="1540"/>
    <cellStyle name="Warning Text" xfId="1541"/>
    <cellStyle name="year" xfId="1542"/>
    <cellStyle name="Акцент1 10" xfId="1543"/>
    <cellStyle name="Акцент1 2" xfId="1544"/>
    <cellStyle name="Акцент1 2 2" xfId="1545"/>
    <cellStyle name="Акцент1 3" xfId="1546"/>
    <cellStyle name="Акцент1 3 2" xfId="1547"/>
    <cellStyle name="Акцент1 4" xfId="1548"/>
    <cellStyle name="Акцент1 4 2" xfId="1549"/>
    <cellStyle name="Акцент1 5" xfId="1550"/>
    <cellStyle name="Акцент1 5 2" xfId="1551"/>
    <cellStyle name="Акцент1 6" xfId="1552"/>
    <cellStyle name="Акцент1 6 2" xfId="1553"/>
    <cellStyle name="Акцент1 7" xfId="1554"/>
    <cellStyle name="Акцент1 7 2" xfId="1555"/>
    <cellStyle name="Акцент1 8" xfId="1556"/>
    <cellStyle name="Акцент1 8 2" xfId="1557"/>
    <cellStyle name="Акцент1 9" xfId="1558"/>
    <cellStyle name="Акцент1 9 2" xfId="1559"/>
    <cellStyle name="Акцент2 10" xfId="1560"/>
    <cellStyle name="Акцент2 2" xfId="1561"/>
    <cellStyle name="Акцент2 2 2" xfId="1562"/>
    <cellStyle name="Акцент2 3" xfId="1563"/>
    <cellStyle name="Акцент2 3 2" xfId="1564"/>
    <cellStyle name="Акцент2 4" xfId="1565"/>
    <cellStyle name="Акцент2 4 2" xfId="1566"/>
    <cellStyle name="Акцент2 5" xfId="1567"/>
    <cellStyle name="Акцент2 5 2" xfId="1568"/>
    <cellStyle name="Акцент2 6" xfId="1569"/>
    <cellStyle name="Акцент2 6 2" xfId="1570"/>
    <cellStyle name="Акцент2 7" xfId="1571"/>
    <cellStyle name="Акцент2 7 2" xfId="1572"/>
    <cellStyle name="Акцент2 8" xfId="1573"/>
    <cellStyle name="Акцент2 8 2" xfId="1574"/>
    <cellStyle name="Акцент2 9" xfId="1575"/>
    <cellStyle name="Акцент2 9 2" xfId="1576"/>
    <cellStyle name="Акцент3 10" xfId="1577"/>
    <cellStyle name="Акцент3 2" xfId="1578"/>
    <cellStyle name="Акцент3 2 2" xfId="1579"/>
    <cellStyle name="Акцент3 3" xfId="1580"/>
    <cellStyle name="Акцент3 3 2" xfId="1581"/>
    <cellStyle name="Акцент3 4" xfId="1582"/>
    <cellStyle name="Акцент3 4 2" xfId="1583"/>
    <cellStyle name="Акцент3 5" xfId="1584"/>
    <cellStyle name="Акцент3 5 2" xfId="1585"/>
    <cellStyle name="Акцент3 6" xfId="1586"/>
    <cellStyle name="Акцент3 6 2" xfId="1587"/>
    <cellStyle name="Акцент3 7" xfId="1588"/>
    <cellStyle name="Акцент3 7 2" xfId="1589"/>
    <cellStyle name="Акцент3 8" xfId="1590"/>
    <cellStyle name="Акцент3 8 2" xfId="1591"/>
    <cellStyle name="Акцент3 9" xfId="1592"/>
    <cellStyle name="Акцент3 9 2" xfId="1593"/>
    <cellStyle name="Акцент4 10" xfId="1594"/>
    <cellStyle name="Акцент4 2" xfId="1595"/>
    <cellStyle name="Акцент4 2 2" xfId="1596"/>
    <cellStyle name="Акцент4 3" xfId="1597"/>
    <cellStyle name="Акцент4 3 2" xfId="1598"/>
    <cellStyle name="Акцент4 4" xfId="1599"/>
    <cellStyle name="Акцент4 4 2" xfId="1600"/>
    <cellStyle name="Акцент4 5" xfId="1601"/>
    <cellStyle name="Акцент4 5 2" xfId="1602"/>
    <cellStyle name="Акцент4 6" xfId="1603"/>
    <cellStyle name="Акцент4 6 2" xfId="1604"/>
    <cellStyle name="Акцент4 7" xfId="1605"/>
    <cellStyle name="Акцент4 7 2" xfId="1606"/>
    <cellStyle name="Акцент4 8" xfId="1607"/>
    <cellStyle name="Акцент4 8 2" xfId="1608"/>
    <cellStyle name="Акцент4 9" xfId="1609"/>
    <cellStyle name="Акцент4 9 2" xfId="1610"/>
    <cellStyle name="Акцент5 10" xfId="1611"/>
    <cellStyle name="Акцент5 2" xfId="1612"/>
    <cellStyle name="Акцент5 2 2" xfId="1613"/>
    <cellStyle name="Акцент5 3" xfId="1614"/>
    <cellStyle name="Акцент5 3 2" xfId="1615"/>
    <cellStyle name="Акцент5 4" xfId="1616"/>
    <cellStyle name="Акцент5 4 2" xfId="1617"/>
    <cellStyle name="Акцент5 5" xfId="1618"/>
    <cellStyle name="Акцент5 5 2" xfId="1619"/>
    <cellStyle name="Акцент5 6" xfId="1620"/>
    <cellStyle name="Акцент5 6 2" xfId="1621"/>
    <cellStyle name="Акцент5 7" xfId="1622"/>
    <cellStyle name="Акцент5 7 2" xfId="1623"/>
    <cellStyle name="Акцент5 8" xfId="1624"/>
    <cellStyle name="Акцент5 8 2" xfId="1625"/>
    <cellStyle name="Акцент5 9" xfId="1626"/>
    <cellStyle name="Акцент5 9 2" xfId="1627"/>
    <cellStyle name="Акцент6 10" xfId="1628"/>
    <cellStyle name="Акцент6 2" xfId="1629"/>
    <cellStyle name="Акцент6 2 2" xfId="1630"/>
    <cellStyle name="Акцент6 3" xfId="1631"/>
    <cellStyle name="Акцент6 3 2" xfId="1632"/>
    <cellStyle name="Акцент6 4" xfId="1633"/>
    <cellStyle name="Акцент6 4 2" xfId="1634"/>
    <cellStyle name="Акцент6 5" xfId="1635"/>
    <cellStyle name="Акцент6 5 2" xfId="1636"/>
    <cellStyle name="Акцент6 6" xfId="1637"/>
    <cellStyle name="Акцент6 6 2" xfId="1638"/>
    <cellStyle name="Акцент6 7" xfId="1639"/>
    <cellStyle name="Акцент6 7 2" xfId="1640"/>
    <cellStyle name="Акцент6 8" xfId="1641"/>
    <cellStyle name="Акцент6 8 2" xfId="1642"/>
    <cellStyle name="Акцент6 9" xfId="1643"/>
    <cellStyle name="Акцент6 9 2" xfId="1644"/>
    <cellStyle name="Беззащитный" xfId="1645"/>
    <cellStyle name="Ввод  10" xfId="1646"/>
    <cellStyle name="Ввод  2" xfId="1647"/>
    <cellStyle name="Ввод  2 2" xfId="1648"/>
    <cellStyle name="Ввод  2_46EE.2011(v1.0)" xfId="1649"/>
    <cellStyle name="Ввод  3" xfId="1650"/>
    <cellStyle name="Ввод  3 2" xfId="1651"/>
    <cellStyle name="Ввод  3_46EE.2011(v1.0)" xfId="1652"/>
    <cellStyle name="Ввод  4" xfId="1653"/>
    <cellStyle name="Ввод  4 2" xfId="1654"/>
    <cellStyle name="Ввод  4_46EE.2011(v1.0)" xfId="1655"/>
    <cellStyle name="Ввод  5" xfId="1656"/>
    <cellStyle name="Ввод  5 2" xfId="1657"/>
    <cellStyle name="Ввод  5_46EE.2011(v1.0)" xfId="1658"/>
    <cellStyle name="Ввод  6" xfId="1659"/>
    <cellStyle name="Ввод  6 2" xfId="1660"/>
    <cellStyle name="Ввод  6_46EE.2011(v1.0)" xfId="1661"/>
    <cellStyle name="Ввод  7" xfId="1662"/>
    <cellStyle name="Ввод  7 2" xfId="1663"/>
    <cellStyle name="Ввод  7_46EE.2011(v1.0)" xfId="1664"/>
    <cellStyle name="Ввод  8" xfId="1665"/>
    <cellStyle name="Ввод  8 2" xfId="1666"/>
    <cellStyle name="Ввод  8_46EE.2011(v1.0)" xfId="1667"/>
    <cellStyle name="Ввод  9" xfId="1668"/>
    <cellStyle name="Ввод  9 2" xfId="1669"/>
    <cellStyle name="Ввод  9_46EE.2011(v1.0)" xfId="1670"/>
    <cellStyle name="Верт. заголовок" xfId="1671"/>
    <cellStyle name="Вес_продукта" xfId="1672"/>
    <cellStyle name="Вывод 10" xfId="1673"/>
    <cellStyle name="Вывод 2" xfId="1674"/>
    <cellStyle name="Вывод 2 2" xfId="1675"/>
    <cellStyle name="Вывод 2_46EE.2011(v1.0)" xfId="1676"/>
    <cellStyle name="Вывод 3" xfId="1677"/>
    <cellStyle name="Вывод 3 2" xfId="1678"/>
    <cellStyle name="Вывод 3_46EE.2011(v1.0)" xfId="1679"/>
    <cellStyle name="Вывод 4" xfId="1680"/>
    <cellStyle name="Вывод 4 2" xfId="1681"/>
    <cellStyle name="Вывод 4_46EE.2011(v1.0)" xfId="1682"/>
    <cellStyle name="Вывод 5" xfId="1683"/>
    <cellStyle name="Вывод 5 2" xfId="1684"/>
    <cellStyle name="Вывод 5_46EE.2011(v1.0)" xfId="1685"/>
    <cellStyle name="Вывод 6" xfId="1686"/>
    <cellStyle name="Вывод 6 2" xfId="1687"/>
    <cellStyle name="Вывод 6_46EE.2011(v1.0)" xfId="1688"/>
    <cellStyle name="Вывод 7" xfId="1689"/>
    <cellStyle name="Вывод 7 2" xfId="1690"/>
    <cellStyle name="Вывод 7_46EE.2011(v1.0)" xfId="1691"/>
    <cellStyle name="Вывод 8" xfId="1692"/>
    <cellStyle name="Вывод 8 2" xfId="1693"/>
    <cellStyle name="Вывод 8_46EE.2011(v1.0)" xfId="1694"/>
    <cellStyle name="Вывод 9" xfId="1695"/>
    <cellStyle name="Вывод 9 2" xfId="1696"/>
    <cellStyle name="Вывод 9_46EE.2011(v1.0)" xfId="1697"/>
    <cellStyle name="Вычисление 10" xfId="1698"/>
    <cellStyle name="Вычисление 2" xfId="1699"/>
    <cellStyle name="Вычисление 2 2" xfId="1700"/>
    <cellStyle name="Вычисление 2_46EE.2011(v1.0)" xfId="1701"/>
    <cellStyle name="Вычисление 3" xfId="1702"/>
    <cellStyle name="Вычисление 3 2" xfId="1703"/>
    <cellStyle name="Вычисление 3_46EE.2011(v1.0)" xfId="1704"/>
    <cellStyle name="Вычисление 4" xfId="1705"/>
    <cellStyle name="Вычисление 4 2" xfId="1706"/>
    <cellStyle name="Вычисление 4_46EE.2011(v1.0)" xfId="1707"/>
    <cellStyle name="Вычисление 5" xfId="1708"/>
    <cellStyle name="Вычисление 5 2" xfId="1709"/>
    <cellStyle name="Вычисление 5_46EE.2011(v1.0)" xfId="1710"/>
    <cellStyle name="Вычисление 6" xfId="1711"/>
    <cellStyle name="Вычисление 6 2" xfId="1712"/>
    <cellStyle name="Вычисление 6_46EE.2011(v1.0)" xfId="1713"/>
    <cellStyle name="Вычисление 7" xfId="1714"/>
    <cellStyle name="Вычисление 7 2" xfId="1715"/>
    <cellStyle name="Вычисление 7_46EE.2011(v1.0)" xfId="1716"/>
    <cellStyle name="Вычисление 8" xfId="1717"/>
    <cellStyle name="Вычисление 8 2" xfId="1718"/>
    <cellStyle name="Вычисление 8_46EE.2011(v1.0)" xfId="1719"/>
    <cellStyle name="Вычисление 9" xfId="1720"/>
    <cellStyle name="Вычисление 9 2" xfId="1721"/>
    <cellStyle name="Вычисление 9_46EE.2011(v1.0)" xfId="1722"/>
    <cellStyle name="Гиперссылка 2" xfId="1723"/>
    <cellStyle name="Гиперссылка 2 2" xfId="1724"/>
    <cellStyle name="Гиперссылка 2 3" xfId="1725"/>
    <cellStyle name="Гиперссылка 3" xfId="1726"/>
    <cellStyle name="Гиперссылка 4" xfId="1727"/>
    <cellStyle name="Гиперссылка 4 2" xfId="1728"/>
    <cellStyle name="Гиперссылка 5" xfId="1729"/>
    <cellStyle name="Группа" xfId="1730"/>
    <cellStyle name="Группа 0" xfId="1731"/>
    <cellStyle name="Группа 1" xfId="1732"/>
    <cellStyle name="Группа 2" xfId="1733"/>
    <cellStyle name="Группа 3" xfId="1734"/>
    <cellStyle name="Группа 4" xfId="1735"/>
    <cellStyle name="Группа 5" xfId="1736"/>
    <cellStyle name="Группа 6" xfId="1737"/>
    <cellStyle name="Группа 7" xfId="1738"/>
    <cellStyle name="Группа 8" xfId="1739"/>
    <cellStyle name="Группа_4DNS.UPDATE.EXAMPLE" xfId="1740"/>
    <cellStyle name="ДАТА" xfId="1741"/>
    <cellStyle name="ДАТА 2" xfId="1742"/>
    <cellStyle name="ДАТА 3" xfId="1743"/>
    <cellStyle name="ДАТА 4" xfId="1744"/>
    <cellStyle name="ДАТА 5" xfId="1745"/>
    <cellStyle name="ДАТА 6" xfId="1746"/>
    <cellStyle name="ДАТА 7" xfId="1747"/>
    <cellStyle name="ДАТА 8" xfId="1748"/>
    <cellStyle name="ДАТА 9" xfId="1749"/>
    <cellStyle name="ДАТА_1" xfId="1750"/>
    <cellStyle name="Денежный 2" xfId="1751"/>
    <cellStyle name="Денежный 2 2" xfId="1752"/>
    <cellStyle name="Денежный 2_INDEX.STATION.2012(v1.0)_" xfId="1753"/>
    <cellStyle name="Денежный 3" xfId="2429"/>
    <cellStyle name="Заголовок" xfId="1754"/>
    <cellStyle name="Заголовок 1 10" xfId="1755"/>
    <cellStyle name="Заголовок 1 2" xfId="1756"/>
    <cellStyle name="Заголовок 1 2 2" xfId="1757"/>
    <cellStyle name="Заголовок 1 2_46EE.2011(v1.0)" xfId="1758"/>
    <cellStyle name="Заголовок 1 3" xfId="1759"/>
    <cellStyle name="Заголовок 1 3 2" xfId="1760"/>
    <cellStyle name="Заголовок 1 3_46EE.2011(v1.0)" xfId="1761"/>
    <cellStyle name="Заголовок 1 4" xfId="1762"/>
    <cellStyle name="Заголовок 1 4 2" xfId="1763"/>
    <cellStyle name="Заголовок 1 4_46EE.2011(v1.0)" xfId="1764"/>
    <cellStyle name="Заголовок 1 5" xfId="1765"/>
    <cellStyle name="Заголовок 1 5 2" xfId="1766"/>
    <cellStyle name="Заголовок 1 5_46EE.2011(v1.0)" xfId="1767"/>
    <cellStyle name="Заголовок 1 6" xfId="1768"/>
    <cellStyle name="Заголовок 1 6 2" xfId="1769"/>
    <cellStyle name="Заголовок 1 6_46EE.2011(v1.0)" xfId="1770"/>
    <cellStyle name="Заголовок 1 7" xfId="1771"/>
    <cellStyle name="Заголовок 1 7 2" xfId="1772"/>
    <cellStyle name="Заголовок 1 7_46EE.2011(v1.0)" xfId="1773"/>
    <cellStyle name="Заголовок 1 8" xfId="1774"/>
    <cellStyle name="Заголовок 1 8 2" xfId="1775"/>
    <cellStyle name="Заголовок 1 8_46EE.2011(v1.0)" xfId="1776"/>
    <cellStyle name="Заголовок 1 9" xfId="1777"/>
    <cellStyle name="Заголовок 1 9 2" xfId="1778"/>
    <cellStyle name="Заголовок 1 9_46EE.2011(v1.0)" xfId="1779"/>
    <cellStyle name="Заголовок 2 10" xfId="1780"/>
    <cellStyle name="Заголовок 2 2" xfId="1781"/>
    <cellStyle name="Заголовок 2 2 2" xfId="1782"/>
    <cellStyle name="Заголовок 2 2_46EE.2011(v1.0)" xfId="1783"/>
    <cellStyle name="Заголовок 2 3" xfId="1784"/>
    <cellStyle name="Заголовок 2 3 2" xfId="1785"/>
    <cellStyle name="Заголовок 2 3_46EE.2011(v1.0)" xfId="1786"/>
    <cellStyle name="Заголовок 2 4" xfId="1787"/>
    <cellStyle name="Заголовок 2 4 2" xfId="1788"/>
    <cellStyle name="Заголовок 2 4_46EE.2011(v1.0)" xfId="1789"/>
    <cellStyle name="Заголовок 2 5" xfId="1790"/>
    <cellStyle name="Заголовок 2 5 2" xfId="1791"/>
    <cellStyle name="Заголовок 2 5_46EE.2011(v1.0)" xfId="1792"/>
    <cellStyle name="Заголовок 2 6" xfId="1793"/>
    <cellStyle name="Заголовок 2 6 2" xfId="1794"/>
    <cellStyle name="Заголовок 2 6_46EE.2011(v1.0)" xfId="1795"/>
    <cellStyle name="Заголовок 2 7" xfId="1796"/>
    <cellStyle name="Заголовок 2 7 2" xfId="1797"/>
    <cellStyle name="Заголовок 2 7_46EE.2011(v1.0)" xfId="1798"/>
    <cellStyle name="Заголовок 2 8" xfId="1799"/>
    <cellStyle name="Заголовок 2 8 2" xfId="1800"/>
    <cellStyle name="Заголовок 2 8_46EE.2011(v1.0)" xfId="1801"/>
    <cellStyle name="Заголовок 2 9" xfId="1802"/>
    <cellStyle name="Заголовок 2 9 2" xfId="1803"/>
    <cellStyle name="Заголовок 2 9_46EE.2011(v1.0)" xfId="1804"/>
    <cellStyle name="Заголовок 3 10" xfId="1805"/>
    <cellStyle name="Заголовок 3 2" xfId="1806"/>
    <cellStyle name="Заголовок 3 2 2" xfId="1807"/>
    <cellStyle name="Заголовок 3 2_46EE.2011(v1.0)" xfId="1808"/>
    <cellStyle name="Заголовок 3 3" xfId="1809"/>
    <cellStyle name="Заголовок 3 3 2" xfId="1810"/>
    <cellStyle name="Заголовок 3 3_46EE.2011(v1.0)" xfId="1811"/>
    <cellStyle name="Заголовок 3 4" xfId="1812"/>
    <cellStyle name="Заголовок 3 4 2" xfId="1813"/>
    <cellStyle name="Заголовок 3 4_46EE.2011(v1.0)" xfId="1814"/>
    <cellStyle name="Заголовок 3 5" xfId="1815"/>
    <cellStyle name="Заголовок 3 5 2" xfId="1816"/>
    <cellStyle name="Заголовок 3 5_46EE.2011(v1.0)" xfId="1817"/>
    <cellStyle name="Заголовок 3 6" xfId="1818"/>
    <cellStyle name="Заголовок 3 6 2" xfId="1819"/>
    <cellStyle name="Заголовок 3 6_46EE.2011(v1.0)" xfId="1820"/>
    <cellStyle name="Заголовок 3 7" xfId="1821"/>
    <cellStyle name="Заголовок 3 7 2" xfId="1822"/>
    <cellStyle name="Заголовок 3 7_46EE.2011(v1.0)" xfId="1823"/>
    <cellStyle name="Заголовок 3 8" xfId="1824"/>
    <cellStyle name="Заголовок 3 8 2" xfId="1825"/>
    <cellStyle name="Заголовок 3 8_46EE.2011(v1.0)" xfId="1826"/>
    <cellStyle name="Заголовок 3 9" xfId="1827"/>
    <cellStyle name="Заголовок 3 9 2" xfId="1828"/>
    <cellStyle name="Заголовок 3 9_46EE.2011(v1.0)" xfId="1829"/>
    <cellStyle name="Заголовок 4 10" xfId="1830"/>
    <cellStyle name="Заголовок 4 2" xfId="1831"/>
    <cellStyle name="Заголовок 4 2 2" xfId="1832"/>
    <cellStyle name="Заголовок 4 3" xfId="1833"/>
    <cellStyle name="Заголовок 4 3 2" xfId="1834"/>
    <cellStyle name="Заголовок 4 4" xfId="1835"/>
    <cellStyle name="Заголовок 4 4 2" xfId="1836"/>
    <cellStyle name="Заголовок 4 5" xfId="1837"/>
    <cellStyle name="Заголовок 4 5 2" xfId="1838"/>
    <cellStyle name="Заголовок 4 6" xfId="1839"/>
    <cellStyle name="Заголовок 4 6 2" xfId="1840"/>
    <cellStyle name="Заголовок 4 7" xfId="1841"/>
    <cellStyle name="Заголовок 4 7 2" xfId="1842"/>
    <cellStyle name="Заголовок 4 8" xfId="1843"/>
    <cellStyle name="Заголовок 4 8 2" xfId="1844"/>
    <cellStyle name="Заголовок 4 9" xfId="1845"/>
    <cellStyle name="Заголовок 4 9 2" xfId="1846"/>
    <cellStyle name="ЗАГОЛОВОК1" xfId="1847"/>
    <cellStyle name="ЗАГОЛОВОК2" xfId="1848"/>
    <cellStyle name="ЗаголовокСтолбца" xfId="1849"/>
    <cellStyle name="Защитный" xfId="1850"/>
    <cellStyle name="Значение" xfId="1851"/>
    <cellStyle name="Зоголовок" xfId="1852"/>
    <cellStyle name="Итог 10" xfId="1853"/>
    <cellStyle name="Итог 2" xfId="1854"/>
    <cellStyle name="Итог 2 2" xfId="1855"/>
    <cellStyle name="Итог 2_46EE.2011(v1.0)" xfId="1856"/>
    <cellStyle name="Итог 3" xfId="1857"/>
    <cellStyle name="Итог 3 2" xfId="1858"/>
    <cellStyle name="Итог 3_46EE.2011(v1.0)" xfId="1859"/>
    <cellStyle name="Итог 4" xfId="1860"/>
    <cellStyle name="Итог 4 2" xfId="1861"/>
    <cellStyle name="Итог 4_46EE.2011(v1.0)" xfId="1862"/>
    <cellStyle name="Итог 5" xfId="1863"/>
    <cellStyle name="Итог 5 2" xfId="1864"/>
    <cellStyle name="Итог 5_46EE.2011(v1.0)" xfId="1865"/>
    <cellStyle name="Итог 6" xfId="1866"/>
    <cellStyle name="Итог 6 2" xfId="1867"/>
    <cellStyle name="Итог 6_46EE.2011(v1.0)" xfId="1868"/>
    <cellStyle name="Итог 7" xfId="1869"/>
    <cellStyle name="Итог 7 2" xfId="1870"/>
    <cellStyle name="Итог 7_46EE.2011(v1.0)" xfId="1871"/>
    <cellStyle name="Итог 8" xfId="1872"/>
    <cellStyle name="Итог 8 2" xfId="1873"/>
    <cellStyle name="Итог 8_46EE.2011(v1.0)" xfId="1874"/>
    <cellStyle name="Итог 9" xfId="1875"/>
    <cellStyle name="Итог 9 2" xfId="1876"/>
    <cellStyle name="Итог 9_46EE.2011(v1.0)" xfId="1877"/>
    <cellStyle name="Итого" xfId="1878"/>
    <cellStyle name="ИТОГОВЫЙ" xfId="1879"/>
    <cellStyle name="ИТОГОВЫЙ 2" xfId="1880"/>
    <cellStyle name="ИТОГОВЫЙ 3" xfId="1881"/>
    <cellStyle name="ИТОГОВЫЙ 4" xfId="1882"/>
    <cellStyle name="ИТОГОВЫЙ 5" xfId="1883"/>
    <cellStyle name="ИТОГОВЫЙ 6" xfId="1884"/>
    <cellStyle name="ИТОГОВЫЙ 7" xfId="1885"/>
    <cellStyle name="ИТОГОВЫЙ 8" xfId="1886"/>
    <cellStyle name="ИТОГОВЫЙ 9" xfId="1887"/>
    <cellStyle name="ИТОГОВЫЙ_1" xfId="1888"/>
    <cellStyle name="Контрольная ячейка 10" xfId="1889"/>
    <cellStyle name="Контрольная ячейка 2" xfId="1890"/>
    <cellStyle name="Контрольная ячейка 2 2" xfId="1891"/>
    <cellStyle name="Контрольная ячейка 2_46EE.2011(v1.0)" xfId="1892"/>
    <cellStyle name="Контрольная ячейка 3" xfId="1893"/>
    <cellStyle name="Контрольная ячейка 3 2" xfId="1894"/>
    <cellStyle name="Контрольная ячейка 3_46EE.2011(v1.0)" xfId="1895"/>
    <cellStyle name="Контрольная ячейка 4" xfId="1896"/>
    <cellStyle name="Контрольная ячейка 4 2" xfId="1897"/>
    <cellStyle name="Контрольная ячейка 4_46EE.2011(v1.0)" xfId="1898"/>
    <cellStyle name="Контрольная ячейка 5" xfId="1899"/>
    <cellStyle name="Контрольная ячейка 5 2" xfId="1900"/>
    <cellStyle name="Контрольная ячейка 5_46EE.2011(v1.0)" xfId="1901"/>
    <cellStyle name="Контрольная ячейка 6" xfId="1902"/>
    <cellStyle name="Контрольная ячейка 6 2" xfId="1903"/>
    <cellStyle name="Контрольная ячейка 6_46EE.2011(v1.0)" xfId="1904"/>
    <cellStyle name="Контрольная ячейка 7" xfId="1905"/>
    <cellStyle name="Контрольная ячейка 7 2" xfId="1906"/>
    <cellStyle name="Контрольная ячейка 7_46EE.2011(v1.0)" xfId="1907"/>
    <cellStyle name="Контрольная ячейка 8" xfId="1908"/>
    <cellStyle name="Контрольная ячейка 8 2" xfId="1909"/>
    <cellStyle name="Контрольная ячейка 8_46EE.2011(v1.0)" xfId="1910"/>
    <cellStyle name="Контрольная ячейка 9" xfId="1911"/>
    <cellStyle name="Контрольная ячейка 9 2" xfId="1912"/>
    <cellStyle name="Контрольная ячейка 9_46EE.2011(v1.0)" xfId="1913"/>
    <cellStyle name="Миша (бланки отчетности)" xfId="1914"/>
    <cellStyle name="Мои наименования показателей" xfId="1919"/>
    <cellStyle name="Мои наименования показателей 10" xfId="1920"/>
    <cellStyle name="Мои наименования показателей 11" xfId="1921"/>
    <cellStyle name="Мои наименования показателей 2" xfId="1922"/>
    <cellStyle name="Мои наименования показателей 2 2" xfId="1923"/>
    <cellStyle name="Мои наименования показателей 2 3" xfId="1924"/>
    <cellStyle name="Мои наименования показателей 2 4" xfId="1925"/>
    <cellStyle name="Мои наименования показателей 2 5" xfId="1926"/>
    <cellStyle name="Мои наименования показателей 2 6" xfId="1927"/>
    <cellStyle name="Мои наименования показателей 2 7" xfId="1928"/>
    <cellStyle name="Мои наименования показателей 2 8" xfId="1929"/>
    <cellStyle name="Мои наименования показателей 2 9" xfId="1930"/>
    <cellStyle name="Мои наименования показателей 2_1" xfId="1931"/>
    <cellStyle name="Мои наименования показателей 3" xfId="1932"/>
    <cellStyle name="Мои наименования показателей 3 2" xfId="1933"/>
    <cellStyle name="Мои наименования показателей 3 3" xfId="1934"/>
    <cellStyle name="Мои наименования показателей 3 4" xfId="1935"/>
    <cellStyle name="Мои наименования показателей 3 5" xfId="1936"/>
    <cellStyle name="Мои наименования показателей 3 6" xfId="1937"/>
    <cellStyle name="Мои наименования показателей 3 7" xfId="1938"/>
    <cellStyle name="Мои наименования показателей 3 8" xfId="1939"/>
    <cellStyle name="Мои наименования показателей 3 9" xfId="1940"/>
    <cellStyle name="Мои наименования показателей 3_1" xfId="1941"/>
    <cellStyle name="Мои наименования показателей 4" xfId="1942"/>
    <cellStyle name="Мои наименования показателей 4 2" xfId="1943"/>
    <cellStyle name="Мои наименования показателей 4 3" xfId="1944"/>
    <cellStyle name="Мои наименования показателей 4 4" xfId="1945"/>
    <cellStyle name="Мои наименования показателей 4 5" xfId="1946"/>
    <cellStyle name="Мои наименования показателей 4 6" xfId="1947"/>
    <cellStyle name="Мои наименования показателей 4 7" xfId="1948"/>
    <cellStyle name="Мои наименования показателей 4 8" xfId="1949"/>
    <cellStyle name="Мои наименования показателей 4 9" xfId="1950"/>
    <cellStyle name="Мои наименования показателей 4_1" xfId="1951"/>
    <cellStyle name="Мои наименования показателей 5" xfId="1952"/>
    <cellStyle name="Мои наименования показателей 5 2" xfId="1953"/>
    <cellStyle name="Мои наименования показателей 5 3" xfId="1954"/>
    <cellStyle name="Мои наименования показателей 5 4" xfId="1955"/>
    <cellStyle name="Мои наименования показателей 5 5" xfId="1956"/>
    <cellStyle name="Мои наименования показателей 5 6" xfId="1957"/>
    <cellStyle name="Мои наименования показателей 5 7" xfId="1958"/>
    <cellStyle name="Мои наименования показателей 5 8" xfId="1959"/>
    <cellStyle name="Мои наименования показателей 5 9" xfId="1960"/>
    <cellStyle name="Мои наименования показателей 5_1" xfId="1961"/>
    <cellStyle name="Мои наименования показателей 6" xfId="1962"/>
    <cellStyle name="Мои наименования показателей 6 2" xfId="1963"/>
    <cellStyle name="Мои наименования показателей 6 3" xfId="1964"/>
    <cellStyle name="Мои наименования показателей 6_46EE.2011(v1.0)" xfId="1965"/>
    <cellStyle name="Мои наименования показателей 7" xfId="1966"/>
    <cellStyle name="Мои наименования показателей 7 2" xfId="1967"/>
    <cellStyle name="Мои наименования показателей 7 3" xfId="1968"/>
    <cellStyle name="Мои наименования показателей 7_46EE.2011(v1.0)" xfId="1969"/>
    <cellStyle name="Мои наименования показателей 8" xfId="1970"/>
    <cellStyle name="Мои наименования показателей 8 2" xfId="1971"/>
    <cellStyle name="Мои наименования показателей 8 3" xfId="1972"/>
    <cellStyle name="Мои наименования показателей 8_46EE.2011(v1.0)" xfId="1973"/>
    <cellStyle name="Мои наименования показателей 9" xfId="1974"/>
    <cellStyle name="Мои наименования показателей_46EE.2011" xfId="1975"/>
    <cellStyle name="Мой заголовок" xfId="1915"/>
    <cellStyle name="Мой заголовок листа" xfId="1916"/>
    <cellStyle name="Мой заголовок листа 2" xfId="1917"/>
    <cellStyle name="Мой заголовок_Новая инструкция1_фст" xfId="1918"/>
    <cellStyle name="назв фил" xfId="1976"/>
    <cellStyle name="Название 10" xfId="1977"/>
    <cellStyle name="Название 2" xfId="1978"/>
    <cellStyle name="Название 2 2" xfId="1979"/>
    <cellStyle name="Название 3" xfId="1980"/>
    <cellStyle name="Название 3 2" xfId="1981"/>
    <cellStyle name="Название 4" xfId="1982"/>
    <cellStyle name="Название 4 2" xfId="1983"/>
    <cellStyle name="Название 5" xfId="1984"/>
    <cellStyle name="Название 5 2" xfId="1985"/>
    <cellStyle name="Название 6" xfId="1986"/>
    <cellStyle name="Название 6 2" xfId="1987"/>
    <cellStyle name="Название 7" xfId="1988"/>
    <cellStyle name="Название 7 2" xfId="1989"/>
    <cellStyle name="Название 8" xfId="1990"/>
    <cellStyle name="Название 8 2" xfId="1991"/>
    <cellStyle name="Название 9" xfId="1992"/>
    <cellStyle name="Название 9 2" xfId="1993"/>
    <cellStyle name="Невидимый" xfId="1994"/>
    <cellStyle name="Нейтральный 10" xfId="1995"/>
    <cellStyle name="Нейтральный 2" xfId="1996"/>
    <cellStyle name="Нейтральный 2 2" xfId="1997"/>
    <cellStyle name="Нейтральный 3" xfId="1998"/>
    <cellStyle name="Нейтральный 3 2" xfId="1999"/>
    <cellStyle name="Нейтральный 4" xfId="2000"/>
    <cellStyle name="Нейтральный 4 2" xfId="2001"/>
    <cellStyle name="Нейтральный 5" xfId="2002"/>
    <cellStyle name="Нейтральный 5 2" xfId="2003"/>
    <cellStyle name="Нейтральный 6" xfId="2004"/>
    <cellStyle name="Нейтральный 6 2" xfId="2005"/>
    <cellStyle name="Нейтральный 7" xfId="2006"/>
    <cellStyle name="Нейтральный 7 2" xfId="2007"/>
    <cellStyle name="Нейтральный 8" xfId="2008"/>
    <cellStyle name="Нейтральный 8 2" xfId="2009"/>
    <cellStyle name="Нейтральный 9" xfId="2010"/>
    <cellStyle name="Нейтральный 9 2" xfId="2011"/>
    <cellStyle name="Низ1" xfId="2012"/>
    <cellStyle name="Низ2" xfId="2013"/>
    <cellStyle name="Обычный" xfId="0" builtinId="0"/>
    <cellStyle name="Обычный 10" xfId="2014"/>
    <cellStyle name="Обычный 11" xfId="2015"/>
    <cellStyle name="Обычный 11 2" xfId="2016"/>
    <cellStyle name="Обычный 11 3" xfId="2017"/>
    <cellStyle name="Обычный 11_46EE.2011(v1.2)" xfId="2018"/>
    <cellStyle name="Обычный 12" xfId="2019"/>
    <cellStyle name="Обычный 12 2" xfId="2020"/>
    <cellStyle name="Обычный 13" xfId="2021"/>
    <cellStyle name="Обычный 14" xfId="2022"/>
    <cellStyle name="Обычный 15" xfId="2023"/>
    <cellStyle name="Обычный 16" xfId="2024"/>
    <cellStyle name="Обычный 17" xfId="2025"/>
    <cellStyle name="Обычный 18" xfId="2026"/>
    <cellStyle name="Обычный 19" xfId="2027"/>
    <cellStyle name="Обычный 2" xfId="2028"/>
    <cellStyle name="Обычный 2 10" xfId="2029"/>
    <cellStyle name="Обычный 2 11" xfId="2030"/>
    <cellStyle name="Обычный 2 12" xfId="2031"/>
    <cellStyle name="Обычный 2 2" xfId="2032"/>
    <cellStyle name="Обычный 2 2 2" xfId="2033"/>
    <cellStyle name="Обычный 2 2 2 2" xfId="2034"/>
    <cellStyle name="Обычный 2 2 2 2 2" xfId="2430"/>
    <cellStyle name="Обычный 2 2 2 3" xfId="2035"/>
    <cellStyle name="Обычный 2 2 2 4" xfId="2036"/>
    <cellStyle name="Обычный 2 2 2 5" xfId="2037"/>
    <cellStyle name="Обычный 2 2 3" xfId="2038"/>
    <cellStyle name="Обычный 2 2 3 2" xfId="2039"/>
    <cellStyle name="Обычный 2 2 4" xfId="2040"/>
    <cellStyle name="Обычный 2 2_46EE.2011(v1.0)" xfId="2041"/>
    <cellStyle name="Обычный 2 3" xfId="2042"/>
    <cellStyle name="Обычный 2 3 2" xfId="2043"/>
    <cellStyle name="Обычный 2 3 3" xfId="2044"/>
    <cellStyle name="Обычный 2 3_46EE.2011(v1.0)" xfId="2045"/>
    <cellStyle name="Обычный 2 4" xfId="2046"/>
    <cellStyle name="Обычный 2 4 2" xfId="2047"/>
    <cellStyle name="Обычный 2 4 3" xfId="2048"/>
    <cellStyle name="Обычный 2 4_46EE.2011(v1.0)" xfId="2049"/>
    <cellStyle name="Обычный 2 5" xfId="2050"/>
    <cellStyle name="Обычный 2 5 2" xfId="2051"/>
    <cellStyle name="Обычный 2 5 3" xfId="2052"/>
    <cellStyle name="Обычный 2 5_46EE.2011(v1.0)" xfId="2053"/>
    <cellStyle name="Обычный 2 6" xfId="2054"/>
    <cellStyle name="Обычный 2 6 2" xfId="2055"/>
    <cellStyle name="Обычный 2 6 3" xfId="2056"/>
    <cellStyle name="Обычный 2 6_46EE.2011(v1.0)" xfId="2057"/>
    <cellStyle name="Обычный 2 7" xfId="2058"/>
    <cellStyle name="Обычный 2 8" xfId="2059"/>
    <cellStyle name="Обычный 2 9" xfId="2060"/>
    <cellStyle name="Обычный 2_1" xfId="2061"/>
    <cellStyle name="Обычный 20" xfId="2062"/>
    <cellStyle name="Обычный 20 2" xfId="2442"/>
    <cellStyle name="Обычный 21" xfId="2063"/>
    <cellStyle name="Обычный 21 2" xfId="2443"/>
    <cellStyle name="Обычный 22" xfId="2064"/>
    <cellStyle name="Обычный 22 2" xfId="2445"/>
    <cellStyle name="Обычный 23" xfId="2065"/>
    <cellStyle name="Обычный 23 2" xfId="2444"/>
    <cellStyle name="Обычный 24" xfId="2066"/>
    <cellStyle name="Обычный 25" xfId="2067"/>
    <cellStyle name="Обычный 26" xfId="2068"/>
    <cellStyle name="Обычный 27" xfId="2069"/>
    <cellStyle name="Обычный 28" xfId="2070"/>
    <cellStyle name="Обычный 29" xfId="2071"/>
    <cellStyle name="Обычный 3" xfId="2072"/>
    <cellStyle name="Обычный 3 2" xfId="2073"/>
    <cellStyle name="Обычный 3 2 2" xfId="2435"/>
    <cellStyle name="Обычный 3 3" xfId="2074"/>
    <cellStyle name="Обычный 3 4" xfId="2075"/>
    <cellStyle name="Обычный 3_Общехоз." xfId="2076"/>
    <cellStyle name="Обычный 30" xfId="2077"/>
    <cellStyle name="Обычный 31" xfId="2078"/>
    <cellStyle name="Обычный 32" xfId="2079"/>
    <cellStyle name="Обычный 33" xfId="2080"/>
    <cellStyle name="Обычный 34" xfId="2081"/>
    <cellStyle name="Обычный 35" xfId="2082"/>
    <cellStyle name="Обычный 36" xfId="2083"/>
    <cellStyle name="Обычный 37" xfId="2084"/>
    <cellStyle name="Обычный 38" xfId="2085"/>
    <cellStyle name="Обычный 39" xfId="2086"/>
    <cellStyle name="Обычный 4" xfId="2087"/>
    <cellStyle name="Обычный 4 2" xfId="2088"/>
    <cellStyle name="Обычный 4 2 2" xfId="2089"/>
    <cellStyle name="Обычный 4 2 3" xfId="2090"/>
    <cellStyle name="Обычный 4 2 4" xfId="2091"/>
    <cellStyle name="Обычный 4 2_46EP.2012(v0.1)" xfId="2092"/>
    <cellStyle name="Обычный 4 3" xfId="2093"/>
    <cellStyle name="Обычный 4_ARMRAZR" xfId="2094"/>
    <cellStyle name="Обычный 40" xfId="2095"/>
    <cellStyle name="Обычный 41" xfId="2096"/>
    <cellStyle name="Обычный 42" xfId="2097"/>
    <cellStyle name="Обычный 43" xfId="2098"/>
    <cellStyle name="Обычный 43 2" xfId="2431"/>
    <cellStyle name="Обычный 44" xfId="2099"/>
    <cellStyle name="Обычный 45" xfId="2432"/>
    <cellStyle name="Обычный 5" xfId="2100"/>
    <cellStyle name="Обычный 5 2" xfId="2101"/>
    <cellStyle name="Обычный 6" xfId="2102"/>
    <cellStyle name="Обычный 6 2" xfId="2103"/>
    <cellStyle name="Обычный 7" xfId="2104"/>
    <cellStyle name="Обычный 7 2" xfId="2105"/>
    <cellStyle name="Обычный 8" xfId="2106"/>
    <cellStyle name="Обычный 8 2" xfId="2107"/>
    <cellStyle name="Обычный 9" xfId="2108"/>
    <cellStyle name="Обычный 9 2" xfId="2109"/>
    <cellStyle name="Обычный_13 12 11_1 затраты+" xfId="2441"/>
    <cellStyle name="Ошибка" xfId="2110"/>
    <cellStyle name="Плохой 10" xfId="2111"/>
    <cellStyle name="Плохой 2" xfId="2112"/>
    <cellStyle name="Плохой 2 2" xfId="2113"/>
    <cellStyle name="Плохой 3" xfId="2114"/>
    <cellStyle name="Плохой 3 2" xfId="2115"/>
    <cellStyle name="Плохой 4" xfId="2116"/>
    <cellStyle name="Плохой 4 2" xfId="2117"/>
    <cellStyle name="Плохой 5" xfId="2118"/>
    <cellStyle name="Плохой 5 2" xfId="2119"/>
    <cellStyle name="Плохой 6" xfId="2120"/>
    <cellStyle name="Плохой 6 2" xfId="2121"/>
    <cellStyle name="Плохой 7" xfId="2122"/>
    <cellStyle name="Плохой 7 2" xfId="2123"/>
    <cellStyle name="Плохой 8" xfId="2124"/>
    <cellStyle name="Плохой 8 2" xfId="2125"/>
    <cellStyle name="Плохой 9" xfId="2126"/>
    <cellStyle name="Плохой 9 2" xfId="2127"/>
    <cellStyle name="По центру с переносом" xfId="2128"/>
    <cellStyle name="По центру с переносом 2" xfId="2129"/>
    <cellStyle name="По центру с переносом 3" xfId="2130"/>
    <cellStyle name="По центру с переносом 4" xfId="2131"/>
    <cellStyle name="По ширине с переносом" xfId="2132"/>
    <cellStyle name="По ширине с переносом 2" xfId="2133"/>
    <cellStyle name="По ширине с переносом 3" xfId="2134"/>
    <cellStyle name="По ширине с переносом 4" xfId="2135"/>
    <cellStyle name="Подгруппа" xfId="2136"/>
    <cellStyle name="Поле ввода" xfId="2137"/>
    <cellStyle name="Пояснение 10" xfId="2138"/>
    <cellStyle name="Пояснение 2" xfId="2139"/>
    <cellStyle name="Пояснение 2 2" xfId="2140"/>
    <cellStyle name="Пояснение 3" xfId="2141"/>
    <cellStyle name="Пояснение 3 2" xfId="2142"/>
    <cellStyle name="Пояснение 4" xfId="2143"/>
    <cellStyle name="Пояснение 4 2" xfId="2144"/>
    <cellStyle name="Пояснение 5" xfId="2145"/>
    <cellStyle name="Пояснение 5 2" xfId="2146"/>
    <cellStyle name="Пояснение 6" xfId="2147"/>
    <cellStyle name="Пояснение 6 2" xfId="2148"/>
    <cellStyle name="Пояснение 7" xfId="2149"/>
    <cellStyle name="Пояснение 7 2" xfId="2150"/>
    <cellStyle name="Пояснение 8" xfId="2151"/>
    <cellStyle name="Пояснение 8 2" xfId="2152"/>
    <cellStyle name="Пояснение 9" xfId="2153"/>
    <cellStyle name="Пояснение 9 2" xfId="2154"/>
    <cellStyle name="Примечание 10" xfId="2155"/>
    <cellStyle name="Примечание 10 2" xfId="2156"/>
    <cellStyle name="Примечание 10 3" xfId="2157"/>
    <cellStyle name="Примечание 10 4" xfId="2158"/>
    <cellStyle name="Примечание 10_46EE.2011(v1.0)" xfId="2159"/>
    <cellStyle name="Примечание 11" xfId="2160"/>
    <cellStyle name="Примечание 11 2" xfId="2161"/>
    <cellStyle name="Примечание 11 3" xfId="2162"/>
    <cellStyle name="Примечание 11 4" xfId="2163"/>
    <cellStyle name="Примечание 11_46EE.2011(v1.0)" xfId="2164"/>
    <cellStyle name="Примечание 12" xfId="2165"/>
    <cellStyle name="Примечание 12 2" xfId="2166"/>
    <cellStyle name="Примечание 12 3" xfId="2167"/>
    <cellStyle name="Примечание 12 4" xfId="2168"/>
    <cellStyle name="Примечание 12_46EE.2011(v1.0)" xfId="2169"/>
    <cellStyle name="Примечание 13" xfId="2170"/>
    <cellStyle name="Примечание 14" xfId="2171"/>
    <cellStyle name="Примечание 15" xfId="2172"/>
    <cellStyle name="Примечание 16" xfId="2173"/>
    <cellStyle name="Примечание 17" xfId="2174"/>
    <cellStyle name="Примечание 18" xfId="2175"/>
    <cellStyle name="Примечание 19" xfId="2176"/>
    <cellStyle name="Примечание 2" xfId="2177"/>
    <cellStyle name="Примечание 2 2" xfId="2178"/>
    <cellStyle name="Примечание 2 3" xfId="2179"/>
    <cellStyle name="Примечание 2 4" xfId="2180"/>
    <cellStyle name="Примечание 2 5" xfId="2181"/>
    <cellStyle name="Примечание 2 6" xfId="2182"/>
    <cellStyle name="Примечание 2 7" xfId="2183"/>
    <cellStyle name="Примечание 2 8" xfId="2184"/>
    <cellStyle name="Примечание 2 9" xfId="2185"/>
    <cellStyle name="Примечание 2_46EE.2011(v1.0)" xfId="2186"/>
    <cellStyle name="Примечание 20" xfId="2187"/>
    <cellStyle name="Примечание 21" xfId="2188"/>
    <cellStyle name="Примечание 22" xfId="2189"/>
    <cellStyle name="Примечание 23" xfId="2190"/>
    <cellStyle name="Примечание 24" xfId="2191"/>
    <cellStyle name="Примечание 25" xfId="2192"/>
    <cellStyle name="Примечание 26" xfId="2193"/>
    <cellStyle name="Примечание 27" xfId="2194"/>
    <cellStyle name="Примечание 28" xfId="2195"/>
    <cellStyle name="Примечание 29" xfId="2196"/>
    <cellStyle name="Примечание 3" xfId="2197"/>
    <cellStyle name="Примечание 3 2" xfId="2198"/>
    <cellStyle name="Примечание 3 3" xfId="2199"/>
    <cellStyle name="Примечание 3 4" xfId="2200"/>
    <cellStyle name="Примечание 3 5" xfId="2201"/>
    <cellStyle name="Примечание 3 6" xfId="2202"/>
    <cellStyle name="Примечание 3 7" xfId="2203"/>
    <cellStyle name="Примечание 3 8" xfId="2204"/>
    <cellStyle name="Примечание 3 9" xfId="2205"/>
    <cellStyle name="Примечание 3_46EE.2011(v1.0)" xfId="2206"/>
    <cellStyle name="Примечание 30" xfId="2207"/>
    <cellStyle name="Примечание 31" xfId="2208"/>
    <cellStyle name="Примечание 32" xfId="2209"/>
    <cellStyle name="Примечание 33" xfId="2210"/>
    <cellStyle name="Примечание 34" xfId="2211"/>
    <cellStyle name="Примечание 35" xfId="2212"/>
    <cellStyle name="Примечание 36" xfId="2213"/>
    <cellStyle name="Примечание 37" xfId="2214"/>
    <cellStyle name="Примечание 4" xfId="2215"/>
    <cellStyle name="Примечание 4 2" xfId="2216"/>
    <cellStyle name="Примечание 4 3" xfId="2217"/>
    <cellStyle name="Примечание 4 4" xfId="2218"/>
    <cellStyle name="Примечание 4 5" xfId="2219"/>
    <cellStyle name="Примечание 4 6" xfId="2220"/>
    <cellStyle name="Примечание 4 7" xfId="2221"/>
    <cellStyle name="Примечание 4 8" xfId="2222"/>
    <cellStyle name="Примечание 4 9" xfId="2223"/>
    <cellStyle name="Примечание 4_46EE.2011(v1.0)" xfId="2224"/>
    <cellStyle name="Примечание 5" xfId="2225"/>
    <cellStyle name="Примечание 5 2" xfId="2226"/>
    <cellStyle name="Примечание 5 3" xfId="2227"/>
    <cellStyle name="Примечание 5 4" xfId="2228"/>
    <cellStyle name="Примечание 5 5" xfId="2229"/>
    <cellStyle name="Примечание 5 6" xfId="2230"/>
    <cellStyle name="Примечание 5 7" xfId="2231"/>
    <cellStyle name="Примечание 5 8" xfId="2232"/>
    <cellStyle name="Примечание 5 9" xfId="2233"/>
    <cellStyle name="Примечание 5_46EE.2011(v1.0)" xfId="2234"/>
    <cellStyle name="Примечание 6" xfId="2235"/>
    <cellStyle name="Примечание 6 2" xfId="2236"/>
    <cellStyle name="Примечание 6_46EE.2011(v1.0)" xfId="2237"/>
    <cellStyle name="Примечание 7" xfId="2238"/>
    <cellStyle name="Примечание 7 2" xfId="2239"/>
    <cellStyle name="Примечание 7_46EE.2011(v1.0)" xfId="2240"/>
    <cellStyle name="Примечание 8" xfId="2241"/>
    <cellStyle name="Примечание 8 2" xfId="2242"/>
    <cellStyle name="Примечание 8_46EE.2011(v1.0)" xfId="2243"/>
    <cellStyle name="Примечание 9" xfId="2244"/>
    <cellStyle name="Примечание 9 2" xfId="2245"/>
    <cellStyle name="Примечание 9_46EE.2011(v1.0)" xfId="2246"/>
    <cellStyle name="Продукт" xfId="2247"/>
    <cellStyle name="Процентный" xfId="2440" builtinId="5"/>
    <cellStyle name="Процентный 10" xfId="2248"/>
    <cellStyle name="Процентный 2" xfId="2249"/>
    <cellStyle name="Процентный 2 2" xfId="2250"/>
    <cellStyle name="Процентный 2 2 2" xfId="2251"/>
    <cellStyle name="Процентный 2 2 3" xfId="2252"/>
    <cellStyle name="Процентный 2 2 4" xfId="2253"/>
    <cellStyle name="Процентный 2 3" xfId="2254"/>
    <cellStyle name="Процентный 2 3 2" xfId="2255"/>
    <cellStyle name="Процентный 2 3 3" xfId="2256"/>
    <cellStyle name="Процентный 2 3 4" xfId="2257"/>
    <cellStyle name="Процентный 2 4" xfId="2258"/>
    <cellStyle name="Процентный 2 5" xfId="2259"/>
    <cellStyle name="Процентный 2 6" xfId="2260"/>
    <cellStyle name="Процентный 3" xfId="2261"/>
    <cellStyle name="Процентный 3 2" xfId="2262"/>
    <cellStyle name="Процентный 3 3" xfId="2263"/>
    <cellStyle name="Процентный 3 4" xfId="2264"/>
    <cellStyle name="Процентный 4" xfId="2265"/>
    <cellStyle name="Процентный 4 2" xfId="2266"/>
    <cellStyle name="Процентный 4 3" xfId="2267"/>
    <cellStyle name="Процентный 4 4" xfId="2268"/>
    <cellStyle name="Процентный 5" xfId="2269"/>
    <cellStyle name="Процентный 6" xfId="2270"/>
    <cellStyle name="Процентный 7" xfId="2433"/>
    <cellStyle name="Процентный 7 2" xfId="2434"/>
    <cellStyle name="Процентный 9" xfId="2271"/>
    <cellStyle name="Разница" xfId="2272"/>
    <cellStyle name="Рамки" xfId="2273"/>
    <cellStyle name="Сводная таблица" xfId="2274"/>
    <cellStyle name="Связанная ячейка 10" xfId="2275"/>
    <cellStyle name="Связанная ячейка 2" xfId="2276"/>
    <cellStyle name="Связанная ячейка 2 2" xfId="2277"/>
    <cellStyle name="Связанная ячейка 2_46EE.2011(v1.0)" xfId="2278"/>
    <cellStyle name="Связанная ячейка 3" xfId="2279"/>
    <cellStyle name="Связанная ячейка 3 2" xfId="2280"/>
    <cellStyle name="Связанная ячейка 3_46EE.2011(v1.0)" xfId="2281"/>
    <cellStyle name="Связанная ячейка 4" xfId="2282"/>
    <cellStyle name="Связанная ячейка 4 2" xfId="2283"/>
    <cellStyle name="Связанная ячейка 4_46EE.2011(v1.0)" xfId="2284"/>
    <cellStyle name="Связанная ячейка 5" xfId="2285"/>
    <cellStyle name="Связанная ячейка 5 2" xfId="2286"/>
    <cellStyle name="Связанная ячейка 5_46EE.2011(v1.0)" xfId="2287"/>
    <cellStyle name="Связанная ячейка 6" xfId="2288"/>
    <cellStyle name="Связанная ячейка 6 2" xfId="2289"/>
    <cellStyle name="Связанная ячейка 6_46EE.2011(v1.0)" xfId="2290"/>
    <cellStyle name="Связанная ячейка 7" xfId="2291"/>
    <cellStyle name="Связанная ячейка 7 2" xfId="2292"/>
    <cellStyle name="Связанная ячейка 7_46EE.2011(v1.0)" xfId="2293"/>
    <cellStyle name="Связанная ячейка 8" xfId="2294"/>
    <cellStyle name="Связанная ячейка 8 2" xfId="2295"/>
    <cellStyle name="Связанная ячейка 8_46EE.2011(v1.0)" xfId="2296"/>
    <cellStyle name="Связанная ячейка 9" xfId="2297"/>
    <cellStyle name="Связанная ячейка 9 2" xfId="2298"/>
    <cellStyle name="Связанная ячейка 9_46EE.2011(v1.0)" xfId="2299"/>
    <cellStyle name="Стиль 1" xfId="2300"/>
    <cellStyle name="Стиль 1 2" xfId="2301"/>
    <cellStyle name="Стиль 1 2 2" xfId="2302"/>
    <cellStyle name="Стиль 1 2_46EP.2011(v2.0)" xfId="2303"/>
    <cellStyle name="Стиль 1_Новая инструкция1_фст" xfId="2304"/>
    <cellStyle name="Стиль 2" xfId="2305"/>
    <cellStyle name="Субсчет" xfId="2306"/>
    <cellStyle name="Счет" xfId="2307"/>
    <cellStyle name="ТЕКСТ" xfId="2308"/>
    <cellStyle name="ТЕКСТ 2" xfId="2309"/>
    <cellStyle name="ТЕКСТ 3" xfId="2310"/>
    <cellStyle name="ТЕКСТ 4" xfId="2311"/>
    <cellStyle name="ТЕКСТ 5" xfId="2312"/>
    <cellStyle name="ТЕКСТ 6" xfId="2313"/>
    <cellStyle name="ТЕКСТ 7" xfId="2314"/>
    <cellStyle name="ТЕКСТ 8" xfId="2315"/>
    <cellStyle name="ТЕКСТ 9" xfId="2316"/>
    <cellStyle name="Текст предупреждения 10" xfId="2317"/>
    <cellStyle name="Текст предупреждения 2" xfId="2318"/>
    <cellStyle name="Текст предупреждения 2 2" xfId="2319"/>
    <cellStyle name="Текст предупреждения 3" xfId="2320"/>
    <cellStyle name="Текст предупреждения 3 2" xfId="2321"/>
    <cellStyle name="Текст предупреждения 4" xfId="2322"/>
    <cellStyle name="Текст предупреждения 4 2" xfId="2323"/>
    <cellStyle name="Текст предупреждения 5" xfId="2324"/>
    <cellStyle name="Текст предупреждения 5 2" xfId="2325"/>
    <cellStyle name="Текст предупреждения 6" xfId="2326"/>
    <cellStyle name="Текст предупреждения 6 2" xfId="2327"/>
    <cellStyle name="Текст предупреждения 7" xfId="2328"/>
    <cellStyle name="Текст предупреждения 7 2" xfId="2329"/>
    <cellStyle name="Текст предупреждения 8" xfId="2330"/>
    <cellStyle name="Текст предупреждения 8 2" xfId="2331"/>
    <cellStyle name="Текст предупреждения 9" xfId="2332"/>
    <cellStyle name="Текст предупреждения 9 2" xfId="2333"/>
    <cellStyle name="Текстовый" xfId="2334"/>
    <cellStyle name="Текстовый 10" xfId="2335"/>
    <cellStyle name="Текстовый 11" xfId="2336"/>
    <cellStyle name="Текстовый 12" xfId="2337"/>
    <cellStyle name="Текстовый 13" xfId="2338"/>
    <cellStyle name="Текстовый 14" xfId="2339"/>
    <cellStyle name="Текстовый 15" xfId="2340"/>
    <cellStyle name="Текстовый 16" xfId="2341"/>
    <cellStyle name="Текстовый 2" xfId="2342"/>
    <cellStyle name="Текстовый 3" xfId="2343"/>
    <cellStyle name="Текстовый 4" xfId="2344"/>
    <cellStyle name="Текстовый 5" xfId="2345"/>
    <cellStyle name="Текстовый 6" xfId="2346"/>
    <cellStyle name="Текстовый 7" xfId="2347"/>
    <cellStyle name="Текстовый 8" xfId="2348"/>
    <cellStyle name="Текстовый 9" xfId="2349"/>
    <cellStyle name="Текстовый_1" xfId="2350"/>
    <cellStyle name="Тысячи [0]_ СБ$ " xfId="2351"/>
    <cellStyle name="Тысячи_ СБ$ " xfId="2352"/>
    <cellStyle name="ФИКСИРОВАННЫЙ" xfId="2353"/>
    <cellStyle name="ФИКСИРОВАННЫЙ 2" xfId="2354"/>
    <cellStyle name="ФИКСИРОВАННЫЙ 3" xfId="2355"/>
    <cellStyle name="ФИКСИРОВАННЫЙ 4" xfId="2356"/>
    <cellStyle name="ФИКСИРОВАННЫЙ 5" xfId="2357"/>
    <cellStyle name="ФИКСИРОВАННЫЙ 6" xfId="2358"/>
    <cellStyle name="ФИКСИРОВАННЫЙ 7" xfId="2359"/>
    <cellStyle name="ФИКСИРОВАННЫЙ 8" xfId="2360"/>
    <cellStyle name="ФИКСИРОВАННЫЙ 9" xfId="2361"/>
    <cellStyle name="ФИКСИРОВАННЫЙ_1" xfId="2362"/>
    <cellStyle name="Финансовый" xfId="2363" builtinId="3"/>
    <cellStyle name="Финансовый 10" xfId="2446"/>
    <cellStyle name="Финансовый 11" xfId="2447"/>
    <cellStyle name="Финансовый 2" xfId="2364"/>
    <cellStyle name="Финансовый 2 2" xfId="2365"/>
    <cellStyle name="Финансовый 2 2 2" xfId="2366"/>
    <cellStyle name="Финансовый 2 2 3" xfId="2367"/>
    <cellStyle name="Финансовый 2 2 4" xfId="2437"/>
    <cellStyle name="Финансовый 2 2_INDEX.STATION.2012(v1.0)_" xfId="2368"/>
    <cellStyle name="Финансовый 2 3" xfId="2369"/>
    <cellStyle name="Финансовый 2 4" xfId="2370"/>
    <cellStyle name="Финансовый 2 5" xfId="2436"/>
    <cellStyle name="Финансовый 2_46EE.2011(v1.0)" xfId="2371"/>
    <cellStyle name="Финансовый 3" xfId="2372"/>
    <cellStyle name="Финансовый 3 2" xfId="2373"/>
    <cellStyle name="Финансовый 3 2 2" xfId="2374"/>
    <cellStyle name="Финансовый 3 2 3" xfId="2439"/>
    <cellStyle name="Финансовый 3 2_UPDATE.MONITORING.OS.EE.2.02.TO.1.3.64" xfId="2375"/>
    <cellStyle name="Финансовый 3 3" xfId="2376"/>
    <cellStyle name="Финансовый 3 4" xfId="2377"/>
    <cellStyle name="Финансовый 3 5" xfId="2378"/>
    <cellStyle name="Финансовый 3 6" xfId="2438"/>
    <cellStyle name="Финансовый 3_ARMRAZR" xfId="2379"/>
    <cellStyle name="Финансовый 4" xfId="2380"/>
    <cellStyle name="Финансовый 4 2" xfId="2381"/>
    <cellStyle name="Финансовый 4_TEHSHEET" xfId="2382"/>
    <cellStyle name="Финансовый 5" xfId="2383"/>
    <cellStyle name="Финансовый 6" xfId="2384"/>
    <cellStyle name="Финансовый 7" xfId="2385"/>
    <cellStyle name="Финансовый 8" xfId="2386"/>
    <cellStyle name="Финансовый 9" xfId="2427"/>
    <cellStyle name="Финансовый0[0]_FU_bal" xfId="2387"/>
    <cellStyle name="Формула" xfId="2388"/>
    <cellStyle name="Формула 2" xfId="2389"/>
    <cellStyle name="Формула 3" xfId="2390"/>
    <cellStyle name="Формула_A РТ 2009 Рязаньэнерго" xfId="2391"/>
    <cellStyle name="ФормулаВБ" xfId="2392"/>
    <cellStyle name="ФормулаВБ 2" xfId="2393"/>
    <cellStyle name="ФормулаНаКонтроль" xfId="2394"/>
    <cellStyle name="ФормулаНаКонтроль 2" xfId="2395"/>
    <cellStyle name="Хороший 10" xfId="2396"/>
    <cellStyle name="Хороший 2" xfId="2397"/>
    <cellStyle name="Хороший 2 2" xfId="2398"/>
    <cellStyle name="Хороший 3" xfId="2399"/>
    <cellStyle name="Хороший 3 2" xfId="2400"/>
    <cellStyle name="Хороший 4" xfId="2401"/>
    <cellStyle name="Хороший 4 2" xfId="2402"/>
    <cellStyle name="Хороший 5" xfId="2403"/>
    <cellStyle name="Хороший 5 2" xfId="2404"/>
    <cellStyle name="Хороший 6" xfId="2405"/>
    <cellStyle name="Хороший 6 2" xfId="2406"/>
    <cellStyle name="Хороший 7" xfId="2407"/>
    <cellStyle name="Хороший 7 2" xfId="2408"/>
    <cellStyle name="Хороший 8" xfId="2409"/>
    <cellStyle name="Хороший 8 2" xfId="2410"/>
    <cellStyle name="Хороший 9" xfId="2411"/>
    <cellStyle name="Хороший 9 2" xfId="2412"/>
    <cellStyle name="Цена_продукта" xfId="2413"/>
    <cellStyle name="Цифры по центру с десятыми" xfId="2414"/>
    <cellStyle name="Цифры по центру с десятыми 2" xfId="2415"/>
    <cellStyle name="Цифры по центру с десятыми 3" xfId="2416"/>
    <cellStyle name="Цифры по центру с десятыми 4" xfId="2417"/>
    <cellStyle name="число" xfId="2418"/>
    <cellStyle name="Џђћ–…ќ’ќ›‰" xfId="2419"/>
    <cellStyle name="Џђћ–…ќ’ќ›‰ 2" xfId="2420"/>
    <cellStyle name="Шапка" xfId="2421"/>
    <cellStyle name="Шапка таблицы" xfId="2422"/>
    <cellStyle name="Шапка_4DNS.UPDATE.EXAMPLE" xfId="2423"/>
    <cellStyle name="ШАУ" xfId="2424"/>
    <cellStyle name="標準_PL-CF sheet" xfId="2425"/>
    <cellStyle name="䁺_x0001_" xfId="2426"/>
  </cellStyles>
  <dxfs count="0"/>
  <tableStyles count="0" defaultTableStyle="TableStyleMedium9" defaultPivotStyle="PivotStyleLight16"/>
  <colors>
    <mruColors>
      <color rgb="FF0000CC"/>
      <color rgb="FFFDE8D7"/>
      <color rgb="FFFFEDB3"/>
      <color rgb="FFD6FFC9"/>
      <color rgb="FF66FFFF"/>
      <color rgb="FF05FF05"/>
      <color rgb="FFDECDFF"/>
      <color rgb="FFC5FFFF"/>
      <color rgb="FF006600"/>
      <color rgb="FF3F3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13\V2008-2011%2081208%20var&#1050;50&#1082;&#1083;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SC_W\&#1055;&#1088;&#1086;&#1075;&#1085;&#1086;&#1079;\&#1055;&#1088;&#1086;&#1075;05_00(27.06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DC99F4\&#1057;&#1074;&#1077;&#1088;&#1082;&#1072;2000&#1055;&#1086;&#1083;&#1080;&#1089;&#1090;&#1080;&#108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ICE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SC_W\&#1055;&#1088;&#1086;&#1075;&#1085;&#1086;&#1079;\&#1055;&#1088;&#1086;&#1075;05_00(27.06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BBS.ABS\o&amp;g\Clients\UES\2002\2002%20annual\Pack%204q%202002\pack_4q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&#1061;&#1072;&#1085;&#1086;&#1074;&#1072;\&#1043;&#1088;(27.07.00)5&#106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BS\&#1055;&#1086;&#1088;&#1090;%20&#1041;&#1077;&#1088;&#1077;&#1079;&#1085;&#1103;&#1082;&#1080;\OLD\RY\GOST\&#1052;&#1086;&#1080;%20&#1076;&#1086;&#1082;&#1091;&#1084;&#1077;&#1085;&#1090;&#1099;\&#1050;&#1085;&#1080;&#1075;&#10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1046;&#1077;&#1085;&#1103;\&#1058;&#1072;&#1088;&#1080;&#1092;&#1099;\&#1058;&#1072;&#1088;&#1080;&#1092;%20&#1085;&#1072;%202011\&#1069;&#1082;&#1089;&#1087;&#1077;&#1088;&#1090;&#1085;&#1099;&#1077;%20&#1086;&#1094;&#1077;&#1085;&#1082;&#1080;\&#1053;&#1072;&#1088;&#1086;-&#1060;&#1086;&#1084;&#1080;&#1085;&#1089;&#1082;&#1080;&#1081;\&#1053;&#1058;&#1069;&#1050;%20&#1050;&#1072;&#1083;&#1100;&#1082;&#1091;&#1083;&#1103;&#1094;&#1080;&#1103;%20&#1090;&#1072;&#1088;&#1080;&#1092;&#1072;%202011%20&#1085;&#1072;%20&#1090;&#1077;&#1087;&#1083;&#1086;&#1074;&#1091;&#1102;%20&#1101;&#1085;&#1077;&#1088;&#1075;&#1080;&#110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\Standart\Standart\Tax\Tax_Table\&#1055;&#1083;&#1072;&#1085;&#1080;&#1088;&#1086;&#1074;&#1072;&#1085;&#1080;&#10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52;&#1086;&#1080;%20&#1076;&#1086;&#1082;&#1091;&#1084;&#1077;&#1085;&#1090;&#1099;\&#1052;&#1054;&#1041;\06-03-06\Var2.7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Documents%20and%20Settings\sentureva\&#1052;&#1086;&#1080;%20&#1076;&#1086;&#1082;&#1091;&#1084;&#1077;&#1085;&#1090;&#1099;\&#1052;&#1086;&#1080;%20&#1076;&#1086;&#1082;&#1091;&#1084;&#1077;&#1085;&#1090;&#1099;\&#1058;&#1072;&#1088;&#1080;&#1092;&#1099;%202009%20&#1075;&#1086;&#1076;\&#1052;&#1059;&#1055;%20&#1058;&#1077;&#1087;&#1083;&#1086;&#1089;&#1077;&#1090;&#1100;%20&#1075;.%20&#1050;&#1086;&#1088;&#1086;&#1083;&#1077;&#1074;%202009\&#1058;&#1077;&#1093;%20&#1086;&#1073;&#1089;&#1083;&#1091;&#1078;\&#1090;&#1072;&#1088;&#1080;&#1092;&#1099;\376-1\&#1043;&#1059;&#1055;%20&#1043;&#1052;&#1062;%20&#1043;&#1086;&#1089;&#1082;&#1086;&#1084;&#1089;&#1090;&#1072;&#1090;&#1072;\Standart\&#1058;&#1072;&#1073;&#1083;&#1080;&#1094;&#1099;\USERS\PP\Stroin\CFGU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RY\&#1043;&#1060;&#1059;&#1055;%20&#1043;&#1052;&#1062;%20&#1043;&#1086;&#1089;&#1082;&#1086;&#1084;&#1089;&#1090;&#1072;&#1090;&#1072;%20&#1056;&#1086;&#1089;&#1089;&#1080;&#1080;\&#1043;&#1086;&#1089;&#1082;&#1086;&#1084;&#1089;&#1090;&#1072;&#1090;\Standart\&#1058;&#1072;&#1073;&#1083;&#1080;&#1094;&#1099;\USERS\PP\Stroin\CFGU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61;&#1072;&#1085;&#1086;&#1074;&#1072;\&#1043;&#1088;(27.07.00)5&#106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Standart\ClassA\USERS\AQ%20(&#1050;&#1072;&#1079;&#1099;&#1084;&#1086;&#1074;)\&#1060;&#1043;&#1059;&#1055;%20&#1050;&#1086;&#1085;&#1077;&#1079;&#1072;&#1074;&#1086;&#1076;\USERS\PP\Stroin\CFGU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&#1052;&#1086;&#1080;%20&#1076;&#1086;&#1082;&#1091;&#1084;&#1077;&#1085;&#1090;&#1099;\&#1050;&#1085;&#1080;&#1075;&#1072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83D3FB\CFGU02.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V&#1045;&#1052;_2001.5.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SC_W\&#1055;&#1088;&#1086;&#1075;&#1085;&#1086;&#1079;\&#1055;&#1088;&#1086;&#1075;05_00(27.06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&#1087;&#1082;\Desktop\&#1042;&#1054;&#1056;&#1054;&#1041;&#1068;&#1045;&#1042;&#1040;%20&#1050;&#1054;&#1052;&#1048;&#1058;&#1045;&#1058;\&#1055;&#1056;&#1054;&#1043;&#1056;&#1040;&#1052;&#1052;&#1048;&#1056;&#1054;&#1042;&#1040;&#1053;&#1048;&#1045;\&#1048;&#1057;&#1055;&#1056;_&#1057;&#1074;&#1086;&#1076;&#1085;&#1099;&#1077;%20&#1090;&#1072;&#1073;&#1083;&#1080;&#1094;&#1099;_&#1057;&#1058;&#1056;&#1059;&#1050;&#1058;&#1059;&#1056;&#1040;%20&#1058;&#1055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58;&#1040;&#1056;&#1048;&#1060;&#1067;\&#1058;&#1040;&#1056;&#1048;&#1060;&#1067;%202021%20&#1043;&#1042;&#1057;\!!!&#1058;&#1040;&#1056;&#1048;&#1060;&#1067;%20&#1043;&#1042;&#1057;%202021_&#1052;&#1054;&#1044;&#1045;&#1051;&#1068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DOC\documenty\&#1058;&#1077;&#1087;&#1083;&#1086;&#1089;&#1085;&#1072;&#1073;&#1078;&#1077;&#1085;&#1080;&#1077;\&#1042;&#1086;&#1088;&#1086;&#1073;&#1100;&#1077;&#1074;&#1072;\&#1044;&#1086;&#1082;&#1091;&#1084;&#1077;&#1085;&#1090;&#1099;\&#1055;&#1056;&#1048;&#1050;&#1040;&#1047;&#1067;%20&#1048;%20&#1056;&#1040;&#1057;&#1063;&#1045;&#1058;&#1067;\2024\&#1058;&#1072;&#1088;&#1080;&#1092;&#1085;&#1099;&#1077;%20&#1076;&#1077;&#1083;&#1072;%20&#1085;&#1072;%202024\6.%20&#1043;&#1059;&#1055;&#1050;&#1054;%20&#1050;&#1059;&#1056;&#1057;&#1050;&#1054;&#1041;&#1051;&#1046;&#1048;&#1051;&#1050;&#1054;&#1052;&#1061;&#1054;&#1047;%202024-2028\&#1058;&#1069;\!!!%20&#1057;&#1052;&#1045;&#1058;&#1040;_&#1043;&#1059;&#1055;&#1050;&#1054;%20&#1050;&#1054;&#1046;&#1050;&#1061;_&#1059;&#1057;&#1058;&#1040;&#1053;%202024-2028_&#1086;&#1090;%2004.12.2023_&#1086;&#1089;&#1085;&#1086;&#1074;&#1085;&#1086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food 50"/>
      <sheetName val="ИПЦ-2011-50"/>
      <sheetName val="df04-07"/>
      <sheetName val="50 (2)"/>
      <sheetName val="Мир _цены"/>
      <sheetName val="df08-25"/>
      <sheetName val="уголь-мазут"/>
      <sheetName val="электро-11"/>
      <sheetName val="пч-25"/>
      <sheetName val="2025-ИПЦ-ЖКХ-жд"/>
      <sheetName val="1999-veca"/>
      <sheetName val="ИЦПМЭ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  <sheetName val="2002(v2)"/>
      <sheetName val="ПР_627"/>
      <sheetName val="топография"/>
      <sheetName val="1кв."/>
      <sheetName val="2кв."/>
      <sheetName val="3кв."/>
      <sheetName val="4кв."/>
      <sheetName val="ТИТУЛ"/>
      <sheetName val="6.14"/>
      <sheetName val="ОБЩЕСТВА"/>
      <sheetName val="1.  Исходная инф. и свод"/>
      <sheetName val="план индексы"/>
      <sheetName val="Исходные данные"/>
      <sheetName val="доходы ТЭК СПБ (всего 17095,7)"/>
      <sheetName val="доходы ТЭК СПБ (всего 16463,2)"/>
      <sheetName val="доходы транзит"/>
      <sheetName val="Анализ пл.усл."/>
      <sheetName val="платные услуги"/>
      <sheetName val="Доходы за подключение"/>
      <sheetName val="т_эн и тр"/>
      <sheetName val="Эл-эн ВСЕГО"/>
      <sheetName val="Топливо ВСЕГО заявка сл 16463,2"/>
      <sheetName val="Топливо ВСЕГО 16463,2"/>
      <sheetName val="Топливо ВСЕГО заявка сл 17095,7"/>
      <sheetName val="Вода ВСЕГО 16463,2"/>
      <sheetName val="Вода ВСЕГО 17095,7"/>
      <sheetName val="Покупка"/>
      <sheetName val="Смета 2013"/>
      <sheetName val="Смета 2013 транзит"/>
      <sheetName val="расх на подключение"/>
      <sheetName val="доходы ТЭК СПБ (город 16431)"/>
      <sheetName val="доходы ТЭК СПБ (город 17064,4)"/>
      <sheetName val="доходы ТЭК СПБ (Заневка 48)"/>
      <sheetName val="доходы Кащенко"/>
      <sheetName val="расчет разницы амортиз"/>
      <sheetName val="1999-veca"/>
      <sheetName val="Заголовок"/>
      <sheetName val="Приложение 3"/>
      <sheetName val="Справочники"/>
      <sheetName val="Данные"/>
      <sheetName val="2002(v1)"/>
      <sheetName val="Параметры"/>
      <sheetName val="Лист1"/>
      <sheetName val="Текущие цены"/>
      <sheetName val="рабочий"/>
      <sheetName val="окраска"/>
      <sheetName val="тар"/>
      <sheetName val="т1.15(смета8а)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16">
          <cell r="D16">
            <v>10995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VLDProvGeneralProc"/>
      <sheetName val="modVLDProvDATA"/>
      <sheetName val="Ice"/>
      <sheetName val="Инструкция"/>
      <sheetName val="modInstruction"/>
      <sheetName val="Лог обновления"/>
      <sheetName val="Список МО"/>
      <sheetName val="ИРР"/>
      <sheetName val="ПУ"/>
      <sheetName val="СУБС ЖКУ"/>
      <sheetName val="СУБС ПИ"/>
      <sheetName val="ТФ 1"/>
      <sheetName val="НМ 1"/>
      <sheetName val="СРЕД 1"/>
      <sheetName val="МАКС 1"/>
      <sheetName val="ТФ 2"/>
      <sheetName val="НМ 2"/>
      <sheetName val="СРЕД 2"/>
      <sheetName val="МАКС 2"/>
      <sheetName val="ТФ 3"/>
      <sheetName val="НМ 3"/>
      <sheetName val="СРЕД 3"/>
      <sheetName val="МАКС 3"/>
      <sheetName val="ТФ 4"/>
      <sheetName val="НМ 4"/>
      <sheetName val="СРЕД 4"/>
      <sheetName val="МАКС 4"/>
      <sheetName val="ТФ 5"/>
      <sheetName val="НМ 5"/>
      <sheetName val="СРЕД 5"/>
      <sheetName val="МАКС 5"/>
      <sheetName val="ТФ 6"/>
      <sheetName val="НМ 6"/>
      <sheetName val="СРЕД 6"/>
      <sheetName val="МАКС 6"/>
      <sheetName val="ТФ 7"/>
      <sheetName val="НМ 7"/>
      <sheetName val="СРЕД 7"/>
      <sheetName val="МАКС 7"/>
      <sheetName val="ТФ 8"/>
      <sheetName val="НМ 8"/>
      <sheetName val="СРЕД 8"/>
      <sheetName val="МАКС 8"/>
      <sheetName val="ТФ 9"/>
      <sheetName val="НМ 9"/>
      <sheetName val="СРЕД 9"/>
      <sheetName val="МАКС 9"/>
      <sheetName val="ТФ 10"/>
      <sheetName val="НМ 10"/>
      <sheetName val="СРЕД 10"/>
      <sheetName val="МАКС 10"/>
      <sheetName val="ТФ 11"/>
      <sheetName val="НМ 11"/>
      <sheetName val="СРЕД 11"/>
      <sheetName val="МАКС 11"/>
      <sheetName val="ТФ 12"/>
      <sheetName val="НМ 12"/>
      <sheetName val="СРЕД 12"/>
      <sheetName val="МАКС 12"/>
      <sheetName val="ТФ 13"/>
      <sheetName val="НМ 13"/>
      <sheetName val="СРЕД 13"/>
      <sheetName val="МАКС 13"/>
      <sheetName val="ТФ 14"/>
      <sheetName val="НМ 14"/>
      <sheetName val="СРЕД 14"/>
      <sheetName val="МАКС 14"/>
      <sheetName val="ТФ 15"/>
      <sheetName val="НМ 15"/>
      <sheetName val="СРЕД 15"/>
      <sheetName val="МАКС 15"/>
      <sheetName val="Проверка"/>
      <sheetName val="ORG_TF"/>
      <sheetName val="VBLAG_NM"/>
      <sheetName val="tech"/>
      <sheetName val="ТФ PATTERN"/>
      <sheetName val="НМ PATTERN"/>
      <sheetName val="СРЕД PATTERN"/>
      <sheetName val="МАКС PATTERN"/>
      <sheetName val="ТФ"/>
      <sheetName val="НМ"/>
      <sheetName val="СРЕД"/>
      <sheetName val="МАКС"/>
      <sheetName val="TECHSHEET"/>
      <sheetName val="modGetGeoBase"/>
      <sheetName val="REESTR_FILTERED"/>
      <sheetName val="REESTR_ORG"/>
      <sheetName val="RP_ORG_TF"/>
      <sheetName val="BP_ORG_TF"/>
      <sheetName val="RP_NVV"/>
      <sheetName val="BP_NVV"/>
      <sheetName val="NTKU1X_LIST_MO_BY_RN"/>
      <sheetName val="NTKU1X_LIST_MO"/>
      <sheetName val="NTKU1X_CE"/>
      <sheetName val="NTKU1X_SUBS_JKU"/>
      <sheetName val="NTKU1X_SUBS_IDX"/>
      <sheetName val="NTKU1X_ORG"/>
      <sheetName val="NTKU1X_ORG_TF"/>
      <sheetName val="NTKU1X_VF"/>
      <sheetName val="NTKU1X_VF_NM"/>
      <sheetName val="NTKU1X_AVG"/>
      <sheetName val="NTKU1X_MAX"/>
      <sheetName val="NTKU1X_HOT_LINES"/>
      <sheetName val="NTKU1X_VBLAG"/>
      <sheetName val="NTKU1X_VBLAG_TOTAL"/>
      <sheetName val="REESTR_MO"/>
      <sheetName val="modVLDProv"/>
      <sheetName val="modVLDProvLIST_MO"/>
      <sheetName val="modAVG"/>
      <sheetName val="modMAX"/>
      <sheetName val="modCommandButton"/>
      <sheetName val="modListMO"/>
      <sheetName val="modfrmRegion"/>
      <sheetName val="modfrmVBLAG"/>
      <sheetName val="modfrmReestr"/>
      <sheetName val="modfrmOrg"/>
      <sheetName val="modfrmNTKU1XCheckInIsInProgress"/>
      <sheetName val="modfrmNTKU1XUpdateIsInProgress"/>
      <sheetName val="modUpdTemplMain"/>
      <sheetName val="modfrmCheckUpdates"/>
      <sheetName val="modfrmKU_LENGTH_PERIOD"/>
      <sheetName val="modfrmDateChoose"/>
      <sheetName val="modfrmNormativeDetailed"/>
      <sheetName val="modTF"/>
      <sheetName val="modNM"/>
      <sheetName val="modSUBS_JKU"/>
      <sheetName val="modSUBS_IDX"/>
      <sheetName val="modADVOCACY"/>
      <sheetName val="modCE"/>
      <sheetName val="modIHLCommandBar"/>
      <sheetName val="modfrmHEATAdditionalOrgData"/>
      <sheetName val="modfrmVSNAVOTVAdditionalOrgData"/>
      <sheetName val="modfrmHOTVSNAAdditionalOrgData"/>
      <sheetName val="modGeneralProcedures"/>
      <sheetName val="modUIButtons"/>
      <sheetName val="modInfo"/>
      <sheetName val="modfrmDynamicList"/>
      <sheetName val="modfrmORGTFList"/>
      <sheetName val="Лист1"/>
    </sheetNames>
    <sheetDataSet>
      <sheetData sheetId="0"/>
      <sheetData sheetId="1"/>
      <sheetData sheetId="2"/>
      <sheetData sheetId="3">
        <row r="3">
          <cell r="B3" t="str">
            <v>Версия 1.0.1</v>
          </cell>
        </row>
      </sheetData>
      <sheetData sheetId="4"/>
      <sheetData sheetId="5"/>
      <sheetData sheetId="6">
        <row r="69">
          <cell r="M69">
            <v>4.0999999999999996</v>
          </cell>
        </row>
        <row r="73">
          <cell r="M73">
            <v>8.1999999999999993</v>
          </cell>
        </row>
        <row r="75">
          <cell r="G75">
            <v>22</v>
          </cell>
        </row>
        <row r="77">
          <cell r="G77" t="str">
            <v>Постановление Администрации Курской области от 24 июня 2013 года № 399-ПА "О максимально допустимой доле расходов граждан на оплату жилого помещения и коммунальных услуг в совокупном доходе семьи"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74">
          <cell r="CV74">
            <v>104.00452015694668</v>
          </cell>
          <cell r="CX74">
            <v>104.00452015694668</v>
          </cell>
        </row>
      </sheetData>
      <sheetData sheetId="14"/>
      <sheetData sheetId="15"/>
      <sheetData sheetId="16"/>
      <sheetData sheetId="17">
        <row r="75">
          <cell r="CV75">
            <v>103.98352750242191</v>
          </cell>
          <cell r="CX75">
            <v>103.98352750242191</v>
          </cell>
        </row>
      </sheetData>
      <sheetData sheetId="18"/>
      <sheetData sheetId="19"/>
      <sheetData sheetId="20"/>
      <sheetData sheetId="21">
        <row r="98">
          <cell r="CV98">
            <v>108.37147366868717</v>
          </cell>
          <cell r="CX98">
            <v>108.37147366868717</v>
          </cell>
        </row>
      </sheetData>
      <sheetData sheetId="22"/>
      <sheetData sheetId="23"/>
      <sheetData sheetId="24"/>
      <sheetData sheetId="25">
        <row r="95">
          <cell r="CV95">
            <v>99.0394037692528</v>
          </cell>
          <cell r="CX95">
            <v>99.0394037692528</v>
          </cell>
        </row>
      </sheetData>
      <sheetData sheetId="26"/>
      <sheetData sheetId="27"/>
      <sheetData sheetId="28"/>
      <sheetData sheetId="29">
        <row r="73">
          <cell r="CV73">
            <v>104.07205030190359</v>
          </cell>
          <cell r="CX73">
            <v>104.07205030190359</v>
          </cell>
        </row>
      </sheetData>
      <sheetData sheetId="30"/>
      <sheetData sheetId="31"/>
      <sheetData sheetId="32"/>
      <sheetData sheetId="33">
        <row r="79">
          <cell r="CV79">
            <v>103.64532855365709</v>
          </cell>
          <cell r="CX79">
            <v>103.64532855365709</v>
          </cell>
        </row>
      </sheetData>
      <sheetData sheetId="34"/>
      <sheetData sheetId="35"/>
      <sheetData sheetId="36"/>
      <sheetData sheetId="37">
        <row r="80">
          <cell r="CV80">
            <v>104.09531978636926</v>
          </cell>
          <cell r="CX80">
            <v>104.09531978636926</v>
          </cell>
        </row>
      </sheetData>
      <sheetData sheetId="38"/>
      <sheetData sheetId="39"/>
      <sheetData sheetId="40"/>
      <sheetData sheetId="41">
        <row r="71">
          <cell r="CV71">
            <v>103.74961371967647</v>
          </cell>
          <cell r="CX71">
            <v>103.74961371967647</v>
          </cell>
        </row>
      </sheetData>
      <sheetData sheetId="42"/>
      <sheetData sheetId="43"/>
      <sheetData sheetId="44"/>
      <sheetData sheetId="45">
        <row r="86">
          <cell r="CV86">
            <v>104.09356059838801</v>
          </cell>
          <cell r="CX86">
            <v>104.09356059838801</v>
          </cell>
        </row>
      </sheetData>
      <sheetData sheetId="46"/>
      <sheetData sheetId="47"/>
      <sheetData sheetId="48"/>
      <sheetData sheetId="49">
        <row r="88">
          <cell r="CV88">
            <v>104.04578620383751</v>
          </cell>
          <cell r="CX88">
            <v>104.04578620383751</v>
          </cell>
        </row>
      </sheetData>
      <sheetData sheetId="50"/>
      <sheetData sheetId="51"/>
      <sheetData sheetId="52"/>
      <sheetData sheetId="53">
        <row r="78">
          <cell r="CV78">
            <v>104.09059730608519</v>
          </cell>
          <cell r="CX78">
            <v>104.09059730608519</v>
          </cell>
        </row>
      </sheetData>
      <sheetData sheetId="54"/>
      <sheetData sheetId="55"/>
      <sheetData sheetId="56"/>
      <sheetData sheetId="57">
        <row r="79">
          <cell r="CV79">
            <v>104.10222846628973</v>
          </cell>
          <cell r="CX79">
            <v>104.10222846628973</v>
          </cell>
        </row>
      </sheetData>
      <sheetData sheetId="58"/>
      <sheetData sheetId="59"/>
      <sheetData sheetId="60"/>
      <sheetData sheetId="61">
        <row r="86">
          <cell r="CV86">
            <v>104.09538597007464</v>
          </cell>
          <cell r="CX86">
            <v>104.09538597007464</v>
          </cell>
        </row>
      </sheetData>
      <sheetData sheetId="62"/>
      <sheetData sheetId="63"/>
      <sheetData sheetId="64"/>
      <sheetData sheetId="65">
        <row r="78">
          <cell r="CV78">
            <v>104.09082299296257</v>
          </cell>
          <cell r="CX78">
            <v>104.09082299296257</v>
          </cell>
        </row>
      </sheetData>
      <sheetData sheetId="66"/>
      <sheetData sheetId="67"/>
      <sheetData sheetId="68"/>
      <sheetData sheetId="69">
        <row r="84">
          <cell r="CV84">
            <v>104.09554182117498</v>
          </cell>
          <cell r="CX84">
            <v>104.09554182117498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K2">
            <v>2013</v>
          </cell>
        </row>
        <row r="3">
          <cell r="D3" t="str">
            <v>Водоотведение</v>
          </cell>
          <cell r="K3">
            <v>2014</v>
          </cell>
        </row>
        <row r="4">
          <cell r="D4" t="str">
            <v>Водоснабжение</v>
          </cell>
        </row>
        <row r="5">
          <cell r="D5" t="str">
            <v>Газоснабжение</v>
          </cell>
          <cell r="K5" t="str">
            <v>Август</v>
          </cell>
        </row>
        <row r="6">
          <cell r="D6" t="str">
            <v>Плата граждан за коммунальные услуги</v>
          </cell>
          <cell r="K6" t="str">
            <v>Декабрь</v>
          </cell>
        </row>
        <row r="7">
          <cell r="D7" t="str">
            <v xml:space="preserve">Субсидии </v>
          </cell>
          <cell r="K7" t="str">
            <v>Базовый период</v>
          </cell>
        </row>
        <row r="8">
          <cell r="D8" t="str">
            <v>ТБО</v>
          </cell>
          <cell r="K8" t="str">
            <v>Регулируемый период</v>
          </cell>
        </row>
        <row r="9">
          <cell r="D9" t="str">
            <v>Тепловая энергия</v>
          </cell>
        </row>
        <row r="10">
          <cell r="D10" t="str">
            <v>Электроснабжение</v>
          </cell>
        </row>
        <row r="14">
          <cell r="D14" t="str">
            <v>т</v>
          </cell>
        </row>
        <row r="15">
          <cell r="D15" t="str">
            <v>м3</v>
          </cell>
        </row>
        <row r="45">
          <cell r="D45" t="str">
            <v>да</v>
          </cell>
        </row>
        <row r="46">
          <cell r="D46" t="str">
            <v>нет</v>
          </cell>
        </row>
        <row r="55">
          <cell r="D55" t="str">
            <v>2-х зонная тарификация</v>
          </cell>
        </row>
        <row r="56">
          <cell r="D56" t="str">
            <v>3-х зонная тарификация</v>
          </cell>
        </row>
        <row r="87">
          <cell r="D87" t="str">
            <v>чел</v>
          </cell>
        </row>
        <row r="88">
          <cell r="D88" t="str">
            <v>м2</v>
          </cell>
        </row>
        <row r="89">
          <cell r="D89" t="str">
            <v>голов дом. жив.</v>
          </cell>
        </row>
        <row r="90">
          <cell r="D90" t="str">
            <v>ТС</v>
          </cell>
        </row>
        <row r="91">
          <cell r="D91" t="str">
            <v>иное</v>
          </cell>
        </row>
        <row r="95">
          <cell r="D95" t="str">
            <v>Тариф для населения</v>
          </cell>
        </row>
        <row r="96">
          <cell r="D96" t="str">
            <v>ЭОТ</v>
          </cell>
        </row>
        <row r="100">
          <cell r="D100" t="str">
            <v>Вода для домашних животных</v>
          </cell>
        </row>
        <row r="101">
          <cell r="D101" t="str">
            <v>Вода на уборку</v>
          </cell>
        </row>
        <row r="102">
          <cell r="D102" t="str">
            <v>Вода на хозяйственные нужды</v>
          </cell>
        </row>
        <row r="103">
          <cell r="D103" t="str">
            <v>Полив</v>
          </cell>
        </row>
        <row r="107">
          <cell r="D107" t="str">
            <v>Городское население, дома с газовыми плитами</v>
          </cell>
        </row>
        <row r="108">
          <cell r="D108" t="str">
            <v>Городское население, дома с электроплитами</v>
          </cell>
        </row>
        <row r="109">
          <cell r="D109" t="str">
            <v>Сельское население, дома с газовыми плитами</v>
          </cell>
        </row>
        <row r="110">
          <cell r="D110" t="str">
            <v>Сельское население, дома с электроплитами</v>
          </cell>
        </row>
        <row r="111">
          <cell r="D111" t="str">
            <v>Освещение территории</v>
          </cell>
        </row>
        <row r="112">
          <cell r="D112" t="str">
            <v>Освещение двора</v>
          </cell>
        </row>
        <row r="113">
          <cell r="D113" t="str">
            <v>Освещение коридоров и лестничных площадок</v>
          </cell>
        </row>
        <row r="114">
          <cell r="D114" t="str">
            <v>Освещение подъезда</v>
          </cell>
        </row>
        <row r="115">
          <cell r="D115" t="str">
            <v>Электроэнергия для работы лифта</v>
          </cell>
        </row>
        <row r="119">
          <cell r="D119" t="str">
            <v>Субсидии субъекта РФ</v>
          </cell>
        </row>
        <row r="120">
          <cell r="D120" t="str">
            <v>Субсидии муниципального образования</v>
          </cell>
        </row>
        <row r="121">
          <cell r="D121" t="str">
            <v>Субсидии субъекта РФ; Субсидии муниципального образования</v>
          </cell>
        </row>
        <row r="125">
          <cell r="D125" t="str">
            <v>дрова</v>
          </cell>
        </row>
        <row r="126">
          <cell r="D126" t="str">
            <v>уголь</v>
          </cell>
        </row>
        <row r="127">
          <cell r="D127" t="str">
            <v>уголь АМ</v>
          </cell>
        </row>
        <row r="128">
          <cell r="D128" t="str">
            <v>уголь ТПКО</v>
          </cell>
        </row>
        <row r="129">
          <cell r="D129" t="str">
            <v>уголь ССПК (ССО, ССОМ)</v>
          </cell>
        </row>
        <row r="130">
          <cell r="D130" t="str">
            <v>иное</v>
          </cell>
        </row>
        <row r="134">
          <cell r="D134" t="str">
            <v>реализуемый в баллонах без доставки до потребителя</v>
          </cell>
        </row>
        <row r="135">
          <cell r="D135" t="str">
            <v>реализуемый в баллонах с доставкой до потребителя</v>
          </cell>
        </row>
        <row r="136">
          <cell r="D136" t="str">
            <v>реализуемый в баллонах с места промежуточного хранения</v>
          </cell>
        </row>
        <row r="137">
          <cell r="D137" t="str">
            <v>реализуемый из групповых резервуарных установок</v>
          </cell>
        </row>
        <row r="138">
          <cell r="D138" t="str">
            <v>иное</v>
          </cell>
        </row>
        <row r="142">
          <cell r="D142" t="str">
            <v>перекрёстное субсидирование между населением и другими группами</v>
          </cell>
        </row>
        <row r="143">
          <cell r="D143" t="str">
            <v>тариф для населения не доведён до ЭОУ (осуществляется возмещение затрат организации)</v>
          </cell>
        </row>
        <row r="144">
          <cell r="D144" t="str">
            <v>другое</v>
          </cell>
        </row>
        <row r="148">
          <cell r="D148" t="str">
            <v>новая организация</v>
          </cell>
        </row>
        <row r="149">
          <cell r="D149" t="str">
            <v>доведение до ЭОУ</v>
          </cell>
        </row>
        <row r="150">
          <cell r="D150" t="str">
            <v>другое</v>
          </cell>
        </row>
        <row r="154">
          <cell r="D154" t="str">
            <v>мониторинг плановых показателей</v>
          </cell>
        </row>
        <row r="155">
          <cell r="D155" t="str">
            <v>тариф для населения (льготный тариф) не указан в мониторинге плановых показателей</v>
          </cell>
        </row>
        <row r="156">
          <cell r="D156" t="str">
            <v>другой</v>
          </cell>
        </row>
        <row r="160">
          <cell r="D160" t="str">
            <v>да</v>
          </cell>
        </row>
        <row r="161">
          <cell r="D161" t="str">
            <v>нет</v>
          </cell>
        </row>
        <row r="165">
          <cell r="D165" t="str">
            <v>Новое решение</v>
          </cell>
        </row>
        <row r="166">
          <cell r="D166" t="str">
            <v>Исправления в соответствии с предписанием КРУ</v>
          </cell>
        </row>
        <row r="167">
          <cell r="D167" t="str">
            <v>Перерегулирование</v>
          </cell>
        </row>
        <row r="168">
          <cell r="D168" t="str">
            <v>Старое решение</v>
          </cell>
        </row>
        <row r="169">
          <cell r="D169" t="str">
            <v>Иное</v>
          </cell>
        </row>
        <row r="173">
          <cell r="D173" t="str">
            <v>постановление</v>
          </cell>
        </row>
        <row r="174">
          <cell r="D174" t="str">
            <v>распоряжение</v>
          </cell>
        </row>
        <row r="175">
          <cell r="D175" t="str">
            <v>решение</v>
          </cell>
        </row>
        <row r="176">
          <cell r="D176" t="str">
            <v>приказ</v>
          </cell>
        </row>
        <row r="177">
          <cell r="D177" t="str">
            <v>иное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2">
          <cell r="D2" t="str">
            <v>Беловский муниципальный район</v>
          </cell>
        </row>
        <row r="3">
          <cell r="D3" t="str">
            <v>Большесолдатский муниципальный район</v>
          </cell>
        </row>
        <row r="4">
          <cell r="D4" t="str">
            <v>Глушковский муниципальный район</v>
          </cell>
        </row>
        <row r="5">
          <cell r="D5" t="str">
            <v>Горшеченский муниципальный район</v>
          </cell>
        </row>
        <row r="6">
          <cell r="D6" t="str">
            <v>Дмитриевский муниципальный район</v>
          </cell>
        </row>
        <row r="7">
          <cell r="D7" t="str">
            <v>Железногорский муниципальный район</v>
          </cell>
        </row>
        <row r="8">
          <cell r="D8" t="str">
            <v>Золотухинский муниципальный район</v>
          </cell>
        </row>
        <row r="9">
          <cell r="D9" t="str">
            <v>Касторенский муниципальный район</v>
          </cell>
        </row>
        <row r="10">
          <cell r="D10" t="str">
            <v>Конышевский муниципальный район</v>
          </cell>
        </row>
        <row r="11">
          <cell r="D11" t="str">
            <v>Кореневский муниципальный район</v>
          </cell>
        </row>
        <row r="12">
          <cell r="D12" t="str">
            <v>Курский муниципальный район</v>
          </cell>
        </row>
        <row r="13">
          <cell r="D13" t="str">
            <v>Курчатовский муниципальный район</v>
          </cell>
        </row>
        <row r="14">
          <cell r="D14" t="str">
            <v>Льговский муниципальный район</v>
          </cell>
        </row>
        <row r="15">
          <cell r="D15" t="str">
            <v>Мантуровский муниципальный район</v>
          </cell>
        </row>
        <row r="16">
          <cell r="D16" t="str">
            <v>Медвенский муниципальный район</v>
          </cell>
        </row>
        <row r="17">
          <cell r="D17" t="str">
            <v>Обоянский муниципальный район</v>
          </cell>
        </row>
        <row r="18">
          <cell r="D18" t="str">
            <v>Октябрьский муниципальный район</v>
          </cell>
        </row>
        <row r="19">
          <cell r="D19" t="str">
            <v>Поныровский муниципальный район</v>
          </cell>
        </row>
        <row r="20">
          <cell r="D20" t="str">
            <v>Пристенский муниципальный район</v>
          </cell>
        </row>
        <row r="21">
          <cell r="D21" t="str">
            <v>Рыльский муниципальный район</v>
          </cell>
        </row>
        <row r="22">
          <cell r="D22" t="str">
            <v>Советский муниципальный район</v>
          </cell>
        </row>
        <row r="23">
          <cell r="D23" t="str">
            <v>Солнцевский муниципальный район</v>
          </cell>
        </row>
        <row r="24">
          <cell r="D24" t="str">
            <v>Суджанский муниципальный район</v>
          </cell>
        </row>
        <row r="25">
          <cell r="B25" t="str">
            <v>Алексеевский сельсовет</v>
          </cell>
          <cell r="D25" t="str">
            <v>Тимский муниципальный район</v>
          </cell>
        </row>
        <row r="26">
          <cell r="B26" t="str">
            <v>Веселовский сельсовет</v>
          </cell>
          <cell r="D26" t="str">
            <v>Фатежский муниципальный район</v>
          </cell>
        </row>
        <row r="27">
          <cell r="B27" t="str">
            <v>Глушковский муниципальный район</v>
          </cell>
          <cell r="D27" t="str">
            <v>Хомутовский муниципальный район</v>
          </cell>
        </row>
        <row r="28">
          <cell r="B28" t="str">
            <v>Званновский сельсовет</v>
          </cell>
          <cell r="D28" t="str">
            <v>Черемисиновский муниципальный район</v>
          </cell>
        </row>
        <row r="29">
          <cell r="B29" t="str">
            <v>Карыжский сельсовет</v>
          </cell>
          <cell r="D29" t="str">
            <v>Щигровский муниципальный район</v>
          </cell>
        </row>
        <row r="30">
          <cell r="B30" t="str">
            <v>Кобыльский сельсовет</v>
          </cell>
          <cell r="D30" t="str">
            <v>город Железногорск</v>
          </cell>
        </row>
        <row r="31">
          <cell r="B31" t="str">
            <v>Коровяковский сельсовет</v>
          </cell>
          <cell r="D31" t="str">
            <v>город Курск</v>
          </cell>
        </row>
        <row r="32">
          <cell r="B32" t="str">
            <v>Кульбакинский сельсовет</v>
          </cell>
          <cell r="D32" t="str">
            <v>город Курчатов</v>
          </cell>
        </row>
        <row r="33">
          <cell r="B33" t="str">
            <v>Марковский сельсовет</v>
          </cell>
          <cell r="D33" t="str">
            <v>город Льгов</v>
          </cell>
        </row>
        <row r="34">
          <cell r="B34" t="str">
            <v>Нижнемордокский сельсовет</v>
          </cell>
          <cell r="D34" t="str">
            <v>город Щигры</v>
          </cell>
        </row>
        <row r="35">
          <cell r="B35" t="str">
            <v>Попово-Лежачанский сельсовет</v>
          </cell>
        </row>
        <row r="36">
          <cell r="B36" t="str">
            <v>Сухиновский сельсовет</v>
          </cell>
        </row>
        <row r="37">
          <cell r="B37" t="str">
            <v>поселок Глушково</v>
          </cell>
        </row>
        <row r="38">
          <cell r="B38" t="str">
            <v>поселок Теткино</v>
          </cell>
        </row>
        <row r="39">
          <cell r="B39" t="str">
            <v>Богатыревский сельсовет</v>
          </cell>
        </row>
        <row r="40">
          <cell r="B40" t="str">
            <v>Быковский сельсовет</v>
          </cell>
        </row>
        <row r="41">
          <cell r="B41" t="str">
            <v>Горшеченский муниципальный район</v>
          </cell>
        </row>
        <row r="42">
          <cell r="B42" t="str">
            <v>Знаменский сельсовет</v>
          </cell>
        </row>
        <row r="43">
          <cell r="B43" t="str">
            <v>Ключевский сельсовет</v>
          </cell>
        </row>
        <row r="44">
          <cell r="B44" t="str">
            <v>Куньевский сельсовет</v>
          </cell>
        </row>
        <row r="45">
          <cell r="B45" t="str">
            <v>Нижнеборковский сельсовет</v>
          </cell>
        </row>
        <row r="46">
          <cell r="B46" t="str">
            <v>Никольский сельсовет</v>
          </cell>
        </row>
        <row r="47">
          <cell r="B47" t="str">
            <v>Новомеловский сельсовет</v>
          </cell>
        </row>
        <row r="48">
          <cell r="B48" t="str">
            <v>Солдатский сельсовет</v>
          </cell>
        </row>
        <row r="49">
          <cell r="B49" t="str">
            <v>Сосновский сельсовет</v>
          </cell>
        </row>
        <row r="50">
          <cell r="B50" t="str">
            <v>Среднеапоченский сельсовет</v>
          </cell>
        </row>
        <row r="51">
          <cell r="B51" t="str">
            <v>Старороговский сельсовет</v>
          </cell>
        </row>
        <row r="52">
          <cell r="B52" t="str">
            <v>Удобенский сельсовет</v>
          </cell>
        </row>
        <row r="53">
          <cell r="B53" t="str">
            <v>Ясеновский сельсовет</v>
          </cell>
        </row>
        <row r="54">
          <cell r="B54" t="str">
            <v>поселок Горшечное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ольный лист"/>
      <sheetName val="Ошибки"/>
      <sheetName val="F1"/>
      <sheetName val="F2"/>
      <sheetName val="1"/>
      <sheetName val="2"/>
      <sheetName val="2a"/>
      <sheetName val="2-1"/>
      <sheetName val="2-2"/>
      <sheetName val="3"/>
      <sheetName val="3а"/>
      <sheetName val="4"/>
      <sheetName val="5а"/>
      <sheetName val="5"/>
      <sheetName val="6"/>
      <sheetName val="7"/>
      <sheetName val="8"/>
      <sheetName val="9"/>
      <sheetName val="10"/>
      <sheetName val="11"/>
      <sheetName val="12"/>
      <sheetName val="12-1"/>
      <sheetName val="12-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a"/>
      <sheetName val="23"/>
      <sheetName val="24"/>
      <sheetName val="25"/>
      <sheetName val="25a"/>
      <sheetName val="26"/>
      <sheetName val="27"/>
      <sheetName val="28"/>
      <sheetName val="29"/>
      <sheetName val="30"/>
      <sheetName val="31"/>
      <sheetName val="Список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  <sheetName val="XLR_NoRangeSheet"/>
      <sheetName val="6.12"/>
      <sheetName val="ТИТУЛ"/>
      <sheetName val="6.14"/>
      <sheetName val="ОБЩЕСТВА"/>
      <sheetName val="6.7"/>
      <sheetName val="6.8"/>
      <sheetName val="6.9.2"/>
      <sheetName val="6.9.1"/>
      <sheetName val="6.9"/>
      <sheetName val="6.10.1"/>
      <sheetName val="6.22"/>
      <sheetName val="6.17"/>
      <sheetName val="6.15"/>
      <sheetName val="6.11.1"/>
      <sheetName val="6.19"/>
      <sheetName val="6.20"/>
      <sheetName val="6.28"/>
      <sheetName val="6.5.1_ТНП"/>
      <sheetName val="6.13"/>
      <sheetName val="6.23"/>
      <sheetName val="6.24"/>
      <sheetName val="6.21"/>
      <sheetName val="TSheet"/>
      <sheetName val="Лист1"/>
      <sheetName val="ИТ-бюджет"/>
      <sheetName val="Исходные данные"/>
      <sheetName val="Общехозяйственные расходы"/>
      <sheetName val="Штатное"/>
      <sheetName val="10"/>
      <sheetName val="Огл__Графиков"/>
      <sheetName val="Текущие_цены"/>
      <sheetName val="2002(v1)"/>
      <sheetName val="Проект"/>
      <sheetName val="12июля"/>
      <sheetName val="Гр5_о_"/>
      <sheetName val="6_12"/>
      <sheetName val="6_14"/>
      <sheetName val="6_7"/>
      <sheetName val="6_8"/>
      <sheetName val="6_9_2"/>
      <sheetName val="6_9_1"/>
      <sheetName val="6_9"/>
      <sheetName val="6_10_1"/>
      <sheetName val="6_22"/>
      <sheetName val="6_17"/>
      <sheetName val="6_15"/>
      <sheetName val="6_11_1"/>
      <sheetName val="6_19"/>
      <sheetName val="6_20"/>
      <sheetName val="6_28"/>
      <sheetName val="6_5_1_ТНП"/>
      <sheetName val="6_13"/>
      <sheetName val="6_23"/>
      <sheetName val="6_24"/>
      <sheetName val="6_21"/>
      <sheetName val="Lists"/>
      <sheetName val="Форма1"/>
      <sheetName val="Форма2"/>
      <sheetName val="BS_ias"/>
      <sheetName val="Сумм"/>
      <sheetName val="Титульный"/>
      <sheetName val="TEHSHEET"/>
      <sheetName val="1.10.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"/>
      <sheetName val="Инструкция"/>
      <sheetName val="Титульный"/>
      <sheetName val="Оценка"/>
      <sheetName val="Проверка"/>
      <sheetName val="REESTR"/>
      <sheetName val="et_union"/>
      <sheetName val="TEHSHEET"/>
      <sheetName val="Заголовок"/>
      <sheetName val="Заголовок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Московская область</v>
          </cell>
        </row>
        <row r="3">
          <cell r="A3" t="str">
            <v>Волоколамский муниципальный район</v>
          </cell>
        </row>
        <row r="4">
          <cell r="A4" t="str">
            <v>Воскресенский муниципальный район</v>
          </cell>
        </row>
        <row r="5">
          <cell r="A5" t="str">
            <v>Город Балашиха</v>
          </cell>
        </row>
        <row r="6">
          <cell r="A6" t="str">
            <v>Город Бронницы</v>
          </cell>
        </row>
        <row r="7">
          <cell r="A7" t="str">
            <v>Город Дзержинский</v>
          </cell>
        </row>
        <row r="8">
          <cell r="A8" t="str">
            <v>Город Долгопрудный</v>
          </cell>
        </row>
        <row r="9">
          <cell r="A9" t="str">
            <v>Город Домодедово</v>
          </cell>
        </row>
        <row r="10">
          <cell r="A10" t="str">
            <v>Город Дубна</v>
          </cell>
        </row>
        <row r="11">
          <cell r="A11" t="str">
            <v>Город Железнодорожный</v>
          </cell>
        </row>
        <row r="12">
          <cell r="A12" t="str">
            <v>Город Жуковский</v>
          </cell>
        </row>
        <row r="13">
          <cell r="A13" t="str">
            <v>Город Звенигород</v>
          </cell>
        </row>
        <row r="14">
          <cell r="A14" t="str">
            <v>Город Ивантеевка</v>
          </cell>
        </row>
        <row r="15">
          <cell r="A15" t="str">
            <v>Город Климовск</v>
          </cell>
        </row>
        <row r="16">
          <cell r="A16" t="str">
            <v>Город Коломна</v>
          </cell>
        </row>
        <row r="17">
          <cell r="A17" t="str">
            <v>Город Королев</v>
          </cell>
        </row>
        <row r="18">
          <cell r="A18" t="str">
            <v>Город Котельники</v>
          </cell>
        </row>
        <row r="19">
          <cell r="A19" t="str">
            <v>Город Красноармейск</v>
          </cell>
        </row>
        <row r="20">
          <cell r="A20" t="str">
            <v>Город Краснознаменск (ЗАТО)</v>
          </cell>
        </row>
        <row r="21">
          <cell r="A21" t="str">
            <v>Город Лобня</v>
          </cell>
        </row>
        <row r="22">
          <cell r="A22" t="str">
            <v>Город Лосино-Петровский</v>
          </cell>
        </row>
        <row r="23">
          <cell r="A23" t="str">
            <v>Город Лыткарино</v>
          </cell>
        </row>
        <row r="24">
          <cell r="A24" t="str">
            <v>Город Орехово-Зуево</v>
          </cell>
        </row>
        <row r="25">
          <cell r="A25" t="str">
            <v>Город Подольск</v>
          </cell>
        </row>
        <row r="26">
          <cell r="A26" t="str">
            <v>Город Протвино</v>
          </cell>
        </row>
        <row r="27">
          <cell r="A27" t="str">
            <v>Город Пущино</v>
          </cell>
        </row>
        <row r="28">
          <cell r="A28" t="str">
            <v>Город Реутов</v>
          </cell>
        </row>
        <row r="29">
          <cell r="A29" t="str">
            <v>Город Рошаль</v>
          </cell>
        </row>
        <row r="30">
          <cell r="A30" t="str">
            <v>Город Серпухов</v>
          </cell>
        </row>
        <row r="31">
          <cell r="A31" t="str">
            <v>Город Троицк</v>
          </cell>
        </row>
        <row r="32">
          <cell r="A32" t="str">
            <v>Город Фрязино</v>
          </cell>
        </row>
        <row r="33">
          <cell r="A33" t="str">
            <v>Город Химки</v>
          </cell>
        </row>
        <row r="34">
          <cell r="A34" t="str">
            <v>Город Черноголовка</v>
          </cell>
        </row>
        <row r="35">
          <cell r="A35" t="str">
            <v>Город Щербинка</v>
          </cell>
        </row>
        <row r="36">
          <cell r="A36" t="str">
            <v>Город Электрогорск</v>
          </cell>
        </row>
        <row r="37">
          <cell r="A37" t="str">
            <v>Город Электросталь</v>
          </cell>
        </row>
        <row r="38">
          <cell r="A38" t="str">
            <v>Город Юбилейный</v>
          </cell>
        </row>
        <row r="39">
          <cell r="A39" t="str">
            <v>Дмитровский муниципальный район</v>
          </cell>
        </row>
        <row r="40">
          <cell r="A40" t="str">
            <v>Егорьевский муниципальный район</v>
          </cell>
        </row>
        <row r="41">
          <cell r="A41" t="str">
            <v>Зарайский муниципальный район</v>
          </cell>
        </row>
        <row r="42">
          <cell r="A42" t="str">
            <v>Истринский муниципальный район</v>
          </cell>
        </row>
        <row r="43">
          <cell r="A43" t="str">
            <v>Каширский муниципальный район</v>
          </cell>
        </row>
        <row r="44">
          <cell r="A44" t="str">
            <v>Клинский муниципальный район</v>
          </cell>
        </row>
        <row r="45">
          <cell r="A45" t="str">
            <v>Коломенский муниципальный район</v>
          </cell>
        </row>
        <row r="46">
          <cell r="A46" t="str">
            <v>Красногорский муниципальный район</v>
          </cell>
        </row>
        <row r="47">
          <cell r="A47" t="str">
            <v>Ленинский муниципальный район</v>
          </cell>
        </row>
        <row r="48">
          <cell r="A48" t="str">
            <v>Лотошинский муниципальный район</v>
          </cell>
        </row>
        <row r="49">
          <cell r="A49" t="str">
            <v>Луховицкий муниципальный район</v>
          </cell>
        </row>
        <row r="50">
          <cell r="A50" t="str">
            <v>Люберецкий муниципальный район</v>
          </cell>
        </row>
        <row r="51">
          <cell r="A51" t="str">
            <v>Можайский муниципальный район</v>
          </cell>
        </row>
        <row r="52">
          <cell r="A52" t="str">
            <v>Мытищинский муниципальный район</v>
          </cell>
        </row>
        <row r="53">
          <cell r="A53" t="str">
            <v>Наро-Фоминский муниципальный район</v>
          </cell>
        </row>
        <row r="54">
          <cell r="A54" t="str">
            <v>Ногинский муниципальный район</v>
          </cell>
        </row>
        <row r="55">
          <cell r="A55" t="str">
            <v>Одинцовский муниципальный район</v>
          </cell>
        </row>
        <row r="56">
          <cell r="A56" t="str">
            <v>Озерский муниципальный район</v>
          </cell>
        </row>
        <row r="57">
          <cell r="A57" t="str">
            <v>Орехово-Зуевский муниципальный район</v>
          </cell>
        </row>
        <row r="58">
          <cell r="A58" t="str">
            <v>Павлово-Посадский муниципальный район</v>
          </cell>
        </row>
        <row r="59">
          <cell r="A59" t="str">
            <v>Подольский муниципальный район</v>
          </cell>
        </row>
        <row r="60">
          <cell r="A60" t="str">
            <v>Поселок Восход (ЗАТО)</v>
          </cell>
        </row>
        <row r="61">
          <cell r="A61" t="str">
            <v>Поселок Молодежный (ЗАТО)</v>
          </cell>
        </row>
        <row r="62">
          <cell r="A62" t="str">
            <v>Пушкинский муниципальный район</v>
          </cell>
        </row>
        <row r="63">
          <cell r="A63" t="str">
            <v>Раменский муниципальный район</v>
          </cell>
        </row>
        <row r="64">
          <cell r="A64" t="str">
            <v>Рузский муниципальный район</v>
          </cell>
        </row>
        <row r="65">
          <cell r="A65" t="str">
            <v>Сергиево-Посадский муниципальный район</v>
          </cell>
        </row>
        <row r="66">
          <cell r="A66" t="str">
            <v>Серебряно-Прудский муниципальный район</v>
          </cell>
        </row>
        <row r="67">
          <cell r="A67" t="str">
            <v>Серпуховский муниципальный район</v>
          </cell>
        </row>
        <row r="68">
          <cell r="A68" t="str">
            <v>Солнечногорский муниципальный район</v>
          </cell>
        </row>
        <row r="69">
          <cell r="A69" t="str">
            <v>Ступинский муниципальный район</v>
          </cell>
        </row>
        <row r="70">
          <cell r="A70" t="str">
            <v>Талдомский муниципальный район</v>
          </cell>
        </row>
        <row r="71">
          <cell r="A71" t="str">
            <v>Чеховский муниципальный район</v>
          </cell>
        </row>
        <row r="72">
          <cell r="A72" t="str">
            <v>Шатурский муниципальный район</v>
          </cell>
        </row>
        <row r="73">
          <cell r="A73" t="str">
            <v>Шаховской муниципальный район</v>
          </cell>
        </row>
        <row r="74">
          <cell r="A74" t="str">
            <v>Щелковский муниципальный район</v>
          </cell>
        </row>
      </sheetData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росник"/>
      <sheetName val="Программа_Проверки"/>
      <sheetName val="Распределение"/>
      <sheetName val="ОтчетНЗ"/>
      <sheetName val="Переменные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(v1)"/>
      <sheetName val="Инф99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ИСХ"/>
      <sheetName val="СВОДНАЯ ТАБЛИЦА"/>
      <sheetName val="ИТОГО"/>
      <sheetName val="База_А"/>
      <sheetName val="РАСЧЕТЫ"/>
      <sheetName val="БАЗА_Б"/>
      <sheetName val="РАСЧЕТЫ 2"/>
      <sheetName val="!!!!!!!!!!!!"/>
    </sheetNames>
    <sheetDataSet>
      <sheetData sheetId="0">
        <row r="4">
          <cell r="L4">
            <v>3605</v>
          </cell>
        </row>
      </sheetData>
      <sheetData sheetId="1" refreshError="1"/>
      <sheetData sheetId="2" refreshError="1"/>
      <sheetData sheetId="3" refreshError="1"/>
      <sheetData sheetId="4">
        <row r="1">
          <cell r="B1" t="str">
            <v>Район</v>
          </cell>
          <cell r="H1" t="str">
            <v>ГОДОВОЙ ОБЪЕМ ТЭ ВСЕГО</v>
          </cell>
          <cell r="I1" t="str">
            <v>ГОДОВОЙ объем ТЭ ЮРЛИЦ</v>
          </cell>
          <cell r="J1" t="str">
            <v>ГОДОВОЙ объем ТЭ НАСЕЛЕНИЯ</v>
          </cell>
          <cell r="K1" t="str">
            <v>ЭОТ 
1 полугодия</v>
          </cell>
          <cell r="L1" t="str">
            <v>ЭОТ 
2 полугодия</v>
          </cell>
          <cell r="M1" t="str">
            <v>ТН 
1 полугодия</v>
          </cell>
          <cell r="N1" t="str">
            <v>ТН 
2 полугодия</v>
          </cell>
        </row>
      </sheetData>
      <sheetData sheetId="5" refreshError="1"/>
      <sheetData sheetId="6"/>
      <sheetData sheetId="7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9">
          <cell r="D9">
            <v>42788</v>
          </cell>
        </row>
        <row r="12">
          <cell r="D12">
            <v>13344</v>
          </cell>
        </row>
        <row r="16">
          <cell r="D16">
            <v>10995</v>
          </cell>
        </row>
        <row r="26">
          <cell r="D26">
            <v>23076</v>
          </cell>
        </row>
        <row r="41">
          <cell r="D41">
            <v>13184</v>
          </cell>
        </row>
        <row r="52">
          <cell r="D52">
            <v>1453</v>
          </cell>
        </row>
        <row r="77">
          <cell r="D77">
            <v>14439</v>
          </cell>
        </row>
        <row r="83">
          <cell r="D83">
            <v>4000</v>
          </cell>
        </row>
        <row r="86">
          <cell r="D86">
            <v>26359</v>
          </cell>
        </row>
      </sheetData>
      <sheetData sheetId="1" refreshError="1"/>
      <sheetData sheetId="2" refreshError="1">
        <row r="57">
          <cell r="D57">
            <v>60666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9">
          <cell r="D9">
            <v>42788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ИСХ"/>
      <sheetName val="БАЗА"/>
      <sheetName val="РАСЧЕТ ИДЕКСОВ С НДС (БЕЗ БОЙЛ)"/>
      <sheetName val="Расчет индексов БЕЗ НДС"/>
      <sheetName val="Курский и ЖД районы"/>
      <sheetName val="..."/>
      <sheetName val="...."/>
      <sheetName val="бойлеры"/>
      <sheetName val="БАЗА (С БОЙЛЕРАМИ В ГВС)"/>
      <sheetName val="РАСЧЕТ ИНН С НДС (БЕЗ БОЙЛ 2022"/>
    </sheetNames>
    <sheetDataSet>
      <sheetData sheetId="0">
        <row r="38">
          <cell r="AI38">
            <v>0.95236178179999997</v>
          </cell>
          <cell r="AL38">
            <v>1.0708874794000001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ИФФЕРЕНЦ,РАСЧЕТ ТАРИФОВ"/>
      <sheetName val="БАЛАНС ПРОИЗВОДСТВА 2024"/>
      <sheetName val="Баланс Иванино и Дичня"/>
      <sheetName val="Перераспр Ив и Дичн для Калькул"/>
      <sheetName val="СМЕТА Иванино_Дичня 2023"/>
      <sheetName val="!!!! СМЕТА КОРРЕКТИРОВКА 2024"/>
      <sheetName val="ВЫПАД_2023"/>
      <sheetName val="!!!! СМЕТА КОРРЕКТИРОВКА 20 (2"/>
      <sheetName val="!!!ТОПЛИВО  2023"/>
      <sheetName val="!!!ТОПЛИВО_2024"/>
      <sheetName val="СОБИРАЕМОСТЬ2023"/>
      <sheetName val="!!! СВОДЫ РАСХ 2024-2028"/>
      <sheetName val="! НЕПОДК 2024"/>
      <sheetName val="не нужен ИКА 2024 тк ЭОТ "/>
      <sheetName val="ТОПЛИВО ФАКТ 2022"/>
      <sheetName val="!!!! СМЕТА КОРРЕКТИРОВКА 2023"/>
      <sheetName val="ВЫРУЧКА 2022"/>
      <sheetName val="! ОПЕРАЦИОННЫЕ 2024"/>
      <sheetName val="ВЫПАД 2023"/>
      <sheetName val="АМОРТ ФАКТ 2022"/>
      <sheetName val="СВОД НЕПОДК 2022"/>
      <sheetName val="АМОРТ ЗА 2019-2022"/>
      <sheetName val="Расчет ИКА 2022"/>
      <sheetName val="АРЕНДА земли  2022"/>
      <sheetName val="ИНВЕСТПРОГРАММА КИП"/>
      <sheetName val="!!!!ПЛАН ВЫПАД_2023"/>
      <sheetName val="АМОРТИЗАЦИЯ ФАКТ 2021"/>
      <sheetName val="НАЛОГ НА ИМУЩ"/>
      <sheetName val="ТОПЛИВО ФАКТ 2021 (2)"/>
      <sheetName val="ВЫРУЧКА ЗА 2021"/>
      <sheetName val="ЭЭ 2024"/>
      <sheetName val="Расчет ИКА 2023"/>
      <sheetName val="ИКА 2023"/>
      <sheetName val="АРЕНДА ЗЕМЛИ Реестр на 16.11.20"/>
      <sheetName val="%% ЗА КРЕДИТ 2022"/>
      <sheetName val="ФАКТ ЭЭ за 2020"/>
      <sheetName val="%% ЗА КРЕДИТ 2023"/>
      <sheetName val="ФАКТ ТОПЛИВО ЗА 2020"/>
      <sheetName val="! ВЫПАДАЮЩИЕ НА 2021"/>
      <sheetName val="ИНВЕСТПРОГР 2019"/>
      <sheetName val="СВОД ТАРИФВ 2023"/>
      <sheetName val="НАЛОГ НА ИМУЩ 2021"/>
      <sheetName val="СВОД_НВВ_ОПЕРАЦ"/>
      <sheetName val="ПРИБЫЛЬ"/>
      <sheetName val="СВОД ТАРИФОВ ТЕПЛО ЗАКР СИСТ"/>
      <sheetName val="ВЫПАД ЩИГРЫ ОТКР_2023"/>
      <sheetName val="СВОД ТАРИФОВ"/>
      <sheetName val="СВОД ТАРИФОВ ТЕПЛО для зак 2024"/>
      <sheetName val="!!!ПРОИЗВ. ПРОГРАМА___2024-2028"/>
      <sheetName val="СВОД_НВВ ГВС ЗАКР"/>
      <sheetName val="!!ПЕРЕЧЕНЬ ПОСТАВЩИКОВ ХВС 2024"/>
      <sheetName val="БАЛАНС ОТКР СИСТ 2023"/>
      <sheetName val="ТАРИФЫ ЩИГРЫ 2024-2028"/>
      <sheetName val="ЩИГРЫ ОТКР ГВС_2024-2028"/>
      <sheetName val="ТАРИФЫ ХОЛ Курск 2024-2028"/>
      <sheetName val="КУРСК ГВС  2024-2028 ДА"/>
      <sheetName val="ТАР ХОЛ ИНТЕРНАТ 2024-2028"/>
      <sheetName val="Курск ИНТЕРНАТ ГВС 2024-2028 ДА"/>
      <sheetName val="ВЫПАД Курск ИНТЕРНАТ"/>
      <sheetName val="ЩИГРЫ ЗАКР ГВС  2024-2028 ДА"/>
      <sheetName val="ВЫПАД ЩИГРЫ ЗАКР_2023"/>
      <sheetName val="Медвенка ГВС  2024-2028 ДА"/>
      <sheetName val="ТАРИФЫ ХОЛ Медвенка 2024-2028"/>
      <sheetName val="Панинский ГВС 2022д"/>
      <sheetName val="ТАРИФЫ ХОЛ Панинский"/>
      <sheetName val="Ивановский  ГВС  2024-2028 ДА"/>
      <sheetName val="ТАР ХОЛ Ивановский  2024-2028"/>
      <sheetName val="ТАР ХОЛ пКШЕНСКИЙ СОВ 2024-2028"/>
      <sheetName val="КШЕНСК Советск ГВС 2024-2028 ДА"/>
      <sheetName val="ТАРИФЫ ХОЛ Краснопол 2024-2028"/>
      <sheetName val="Краснополянски ГВС 2024-2028 ДА"/>
      <sheetName val="ТАР ХОЛ К.Либкнехта 2024-2028"/>
      <sheetName val="К.Либкнехта ГВС 2024-2028 ДА"/>
      <sheetName val="ТАР ХОЛ Льгов Водокан 2024-2028"/>
      <sheetName val="Льгов  ГВС 2024-2028 ДА"/>
      <sheetName val="ВЫПАД МАГНИТНЫЙ"/>
      <sheetName val="ТАР ХОЛ  Фатеж 2024-2028"/>
      <sheetName val="Фатеж ГВС 2024-2028 ДА"/>
      <sheetName val="ТАР ХОЛ  Магнитный 2024-2028"/>
      <sheetName val="Магнитный ГВС 2024-2028 ДА"/>
      <sheetName val="ТАР ХОЛ  ЛАЧИНОВСК СС 2024-2028"/>
      <sheetName val="ЛАЧИНОВСКИЙ ГВС 2024-2028"/>
      <sheetName val="СКВАЖИНЫ ПОТРЕБИТ ГВС 2019-2023"/>
      <sheetName val="! ВЫПАДАЮЩИЕ_2024"/>
      <sheetName val="! ВЫПАДАЮЩИЕ_2025"/>
      <sheetName val="! ВЫПАДАЮЩИЕ_2026"/>
      <sheetName val="! ВЫПАДАЮЩИЕ_2027"/>
      <sheetName val="! ВЫПАДАЮЩИЕ_2028"/>
      <sheetName val="Приложение 1_ДПР ТЭ"/>
      <sheetName val="Приложение 2 ДПР_ откр сисГВС"/>
      <sheetName val="Прилож _3"/>
      <sheetName val="Прилож_4 Магн"/>
      <sheetName val="Прилож_5 Иванино"/>
      <sheetName val="Прилож_6 Дичня"/>
      <sheetName val="Прилож  7 все прочие СС"/>
      <sheetName val="Прилож 8 Щиг откр"/>
      <sheetName val="Прилож 3 будет прочее"/>
      <sheetName val="Прил5 К.Либкх В ПРОЧЕЕ"/>
      <sheetName val="Прилож 6 Курск"/>
      <sheetName val="Прилож 9 Щигры Бюдж"/>
      <sheetName val="Прилож 10 Щигры Насел"/>
      <sheetName val="Приложение_1 ДПР_ ДПР ГВС Да"/>
      <sheetName val="Приложение 2 ГВС КУРСК ДА"/>
      <sheetName val="Приложение ГВС 3 Интернат ДА"/>
      <sheetName val="Приложение ГВС 4 Щигры ДА"/>
      <sheetName val="Приложение ГВС 5 Медвенка ДА"/>
      <sheetName val="Приложение ГВС 6 Панинский"/>
      <sheetName val="Приложение ГВС 6 Ивановский ДА"/>
      <sheetName val="Приложение ГВС 7 Советский ДА"/>
      <sheetName val="Приложение ГВС 8 КраснополянсДА"/>
      <sheetName val="Приложение ГВС 9 К.Либкнехт ДА"/>
      <sheetName val="Приложение ГВС 10 Льгов ДА"/>
      <sheetName val="Приложение ГВС 11 Фатеж ДА"/>
      <sheetName val="Приложение ГВС 12 Магнитный ДА"/>
      <sheetName val="Приложение ГВС 13 Лачиновск ДА"/>
      <sheetName val="Приложение ГВС 14 Скважины потр"/>
      <sheetName val="Аренда 17-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6">
          <cell r="Z16">
            <v>8477.67</v>
          </cell>
          <cell r="AA16">
            <v>4950.67</v>
          </cell>
          <cell r="AB16">
            <v>3527</v>
          </cell>
        </row>
        <row r="17">
          <cell r="Z17">
            <v>2668.77</v>
          </cell>
          <cell r="AA17">
            <v>1551.42</v>
          </cell>
          <cell r="AB17">
            <v>1117.3499999999999</v>
          </cell>
        </row>
        <row r="88">
          <cell r="Z88">
            <v>640879.24932240241</v>
          </cell>
        </row>
        <row r="90">
          <cell r="Z90">
            <v>22733.553242136801</v>
          </cell>
        </row>
      </sheetData>
      <sheetData sheetId="6" refreshError="1"/>
      <sheetData sheetId="7">
        <row r="106">
          <cell r="Z106">
            <v>622789.14354952786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FF00"/>
  </sheetPr>
  <dimension ref="A1:AE605"/>
  <sheetViews>
    <sheetView zoomScale="115" zoomScaleNormal="115" workbookViewId="0">
      <pane xSplit="6" ySplit="6" topLeftCell="G77" activePane="bottomRight" state="frozen"/>
      <selection pane="topRight" activeCell="G1" sqref="G1"/>
      <selection pane="bottomLeft" activeCell="A7" sqref="A7"/>
      <selection pane="bottomRight" activeCell="F96" sqref="F96"/>
    </sheetView>
  </sheetViews>
  <sheetFormatPr defaultRowHeight="15" outlineLevelCol="1"/>
  <cols>
    <col min="1" max="1" width="4.5703125" style="75" customWidth="1"/>
    <col min="2" max="2" width="31" style="81" customWidth="1"/>
    <col min="3" max="3" width="14.7109375" style="81" customWidth="1" outlineLevel="1"/>
    <col min="4" max="4" width="26.42578125" style="81" customWidth="1"/>
    <col min="5" max="5" width="15.140625" style="81" customWidth="1" outlineLevel="1"/>
    <col min="6" max="6" width="36" style="81" customWidth="1"/>
    <col min="7" max="7" width="15.7109375" style="82" customWidth="1"/>
    <col min="8" max="10" width="16.5703125" style="75" customWidth="1"/>
    <col min="11" max="11" width="15.7109375" style="75" customWidth="1"/>
    <col min="12" max="12" width="15.28515625" style="75" customWidth="1"/>
    <col min="13" max="16" width="15.7109375" style="75" customWidth="1"/>
    <col min="17" max="22" width="16.5703125" style="75" customWidth="1"/>
    <col min="23" max="24" width="16.28515625" style="78" customWidth="1"/>
    <col min="25" max="26" width="16.28515625" style="212" customWidth="1"/>
    <col min="27" max="30" width="16.5703125" style="78" customWidth="1"/>
    <col min="31" max="31" width="11.5703125" style="75" bestFit="1" customWidth="1"/>
    <col min="32" max="16384" width="9.140625" style="75"/>
  </cols>
  <sheetData>
    <row r="1" spans="1:30" ht="15.75" thickBot="1">
      <c r="H1" s="77" t="e">
        <f>H2-H3</f>
        <v>#REF!</v>
      </c>
      <c r="I1" s="77" t="e">
        <f t="shared" ref="I1:AD1" si="0">I2-I3</f>
        <v>#REF!</v>
      </c>
      <c r="J1" s="77" t="e">
        <f t="shared" si="0"/>
        <v>#REF!</v>
      </c>
      <c r="K1" s="77" t="e">
        <f t="shared" si="0"/>
        <v>#REF!</v>
      </c>
      <c r="L1" s="77" t="e">
        <f t="shared" si="0"/>
        <v>#REF!</v>
      </c>
      <c r="M1" s="77" t="e">
        <f t="shared" si="0"/>
        <v>#REF!</v>
      </c>
      <c r="N1" s="77" t="e">
        <f t="shared" si="0"/>
        <v>#REF!</v>
      </c>
      <c r="O1" s="77" t="e">
        <f t="shared" si="0"/>
        <v>#REF!</v>
      </c>
      <c r="P1" s="77" t="e">
        <f t="shared" si="0"/>
        <v>#REF!</v>
      </c>
      <c r="Q1" s="77" t="e">
        <f t="shared" si="0"/>
        <v>#REF!</v>
      </c>
      <c r="R1" s="77" t="e">
        <f t="shared" si="0"/>
        <v>#REF!</v>
      </c>
      <c r="S1" s="77" t="e">
        <f t="shared" si="0"/>
        <v>#REF!</v>
      </c>
      <c r="T1" s="77" t="e">
        <f t="shared" si="0"/>
        <v>#REF!</v>
      </c>
      <c r="U1" s="77" t="e">
        <f t="shared" si="0"/>
        <v>#REF!</v>
      </c>
      <c r="V1" s="77" t="e">
        <f t="shared" si="0"/>
        <v>#REF!</v>
      </c>
      <c r="W1" s="77">
        <f t="shared" si="0"/>
        <v>0</v>
      </c>
      <c r="X1" s="77">
        <f t="shared" si="0"/>
        <v>0</v>
      </c>
      <c r="Y1" s="77">
        <f t="shared" si="0"/>
        <v>0</v>
      </c>
      <c r="Z1" s="77">
        <f t="shared" si="0"/>
        <v>0</v>
      </c>
      <c r="AA1" s="77">
        <f t="shared" si="0"/>
        <v>0</v>
      </c>
      <c r="AB1" s="77">
        <f t="shared" si="0"/>
        <v>0</v>
      </c>
      <c r="AC1" s="77">
        <f t="shared" si="0"/>
        <v>0</v>
      </c>
      <c r="AD1" s="77">
        <f t="shared" si="0"/>
        <v>0</v>
      </c>
    </row>
    <row r="2" spans="1:30" s="79" customFormat="1" ht="15.75" thickBot="1">
      <c r="B2" s="1893">
        <v>2024</v>
      </c>
      <c r="C2" s="81"/>
      <c r="D2" s="87" t="e">
        <f>L2+Q2</f>
        <v>#REF!</v>
      </c>
      <c r="E2" s="81"/>
      <c r="F2" s="1890" t="s">
        <v>257</v>
      </c>
      <c r="G2" s="82"/>
      <c r="H2" s="1270" t="e">
        <f>' 2024'!#REF!</f>
        <v>#REF!</v>
      </c>
      <c r="I2" s="1270" t="e">
        <f>' 2024'!#REF!</f>
        <v>#REF!</v>
      </c>
      <c r="J2" s="1270" t="e">
        <f>' 2024'!#REF!</f>
        <v>#REF!</v>
      </c>
      <c r="K2" s="1270" t="e">
        <f>' 2024'!#REF!+' 2024'!#REF!</f>
        <v>#REF!</v>
      </c>
      <c r="L2" s="1270" t="e">
        <f>' 2024'!#REF!+' 2024'!#REF!</f>
        <v>#REF!</v>
      </c>
      <c r="M2" s="1270" t="e">
        <f>' 2024'!#REF!+' 2024'!#REF!</f>
        <v>#REF!</v>
      </c>
      <c r="N2" s="1270" t="e">
        <f>' 2024'!#REF!+' 2024'!#REF!</f>
        <v>#REF!</v>
      </c>
      <c r="O2" s="1270" t="e">
        <f>' 2024'!#REF!</f>
        <v>#REF!</v>
      </c>
      <c r="P2" s="1270" t="e">
        <f>' 2024'!#REF!</f>
        <v>#REF!</v>
      </c>
      <c r="Q2" s="1270" t="e">
        <f>' 2024'!#REF!+' 2024'!#REF!</f>
        <v>#REF!</v>
      </c>
      <c r="R2" s="1270" t="e">
        <f>' 2024'!#REF!+' 2024'!#REF!</f>
        <v>#REF!</v>
      </c>
      <c r="S2" s="1270" t="e">
        <f>' 2024'!#REF!</f>
        <v>#REF!</v>
      </c>
      <c r="T2" s="1270" t="e">
        <f>' 2024'!#REF!</f>
        <v>#REF!</v>
      </c>
      <c r="U2" s="1270" t="e">
        <f>' 2024'!#REF!</f>
        <v>#REF!</v>
      </c>
      <c r="V2" s="1270" t="e">
        <f>' 2024'!#REF!</f>
        <v>#REF!</v>
      </c>
      <c r="W2" s="76"/>
      <c r="X2" s="76"/>
      <c r="Y2" s="213"/>
      <c r="Z2" s="213"/>
      <c r="AA2" s="76"/>
      <c r="AB2" s="76"/>
      <c r="AC2" s="76"/>
      <c r="AD2" s="76"/>
    </row>
    <row r="3" spans="1:30" s="186" customFormat="1" ht="15.75" thickBot="1">
      <c r="A3" s="80"/>
      <c r="B3" s="1894"/>
      <c r="C3" s="87"/>
      <c r="D3" s="87" t="e">
        <f>M2+R2</f>
        <v>#REF!</v>
      </c>
      <c r="E3" s="87"/>
      <c r="F3" s="1891"/>
      <c r="G3" s="95" t="e">
        <f>SUM(H3:V3)-SUM(H2:V2)</f>
        <v>#REF!</v>
      </c>
      <c r="H3" s="1271" t="e">
        <f>SUBTOTAL(9,H7:H139)</f>
        <v>#REF!</v>
      </c>
      <c r="I3" s="1271" t="e">
        <f t="shared" ref="I3:Z3" si="1">SUBTOTAL(9,I7:I139)</f>
        <v>#REF!</v>
      </c>
      <c r="J3" s="1271" t="e">
        <f t="shared" si="1"/>
        <v>#REF!</v>
      </c>
      <c r="K3" s="1271" t="e">
        <f t="shared" si="1"/>
        <v>#REF!</v>
      </c>
      <c r="L3" s="1271" t="e">
        <f t="shared" si="1"/>
        <v>#REF!</v>
      </c>
      <c r="M3" s="1271" t="e">
        <f t="shared" si="1"/>
        <v>#REF!</v>
      </c>
      <c r="N3" s="1271" t="e">
        <f t="shared" si="1"/>
        <v>#REF!</v>
      </c>
      <c r="O3" s="1271" t="e">
        <f t="shared" si="1"/>
        <v>#REF!</v>
      </c>
      <c r="P3" s="1271" t="e">
        <f t="shared" si="1"/>
        <v>#REF!</v>
      </c>
      <c r="Q3" s="1271" t="e">
        <f t="shared" si="1"/>
        <v>#REF!</v>
      </c>
      <c r="R3" s="1271" t="e">
        <f t="shared" si="1"/>
        <v>#REF!</v>
      </c>
      <c r="S3" s="1271" t="e">
        <f t="shared" si="1"/>
        <v>#REF!</v>
      </c>
      <c r="T3" s="1271" t="e">
        <f t="shared" si="1"/>
        <v>#REF!</v>
      </c>
      <c r="U3" s="1271" t="e">
        <f t="shared" si="1"/>
        <v>#REF!</v>
      </c>
      <c r="V3" s="1271" t="e">
        <f t="shared" si="1"/>
        <v>#REF!</v>
      </c>
      <c r="W3" s="1271"/>
      <c r="X3" s="1271"/>
      <c r="Y3" s="1271">
        <f t="shared" si="1"/>
        <v>0</v>
      </c>
      <c r="Z3" s="1271">
        <f t="shared" si="1"/>
        <v>0</v>
      </c>
      <c r="AA3" s="1271"/>
      <c r="AB3" s="1271"/>
      <c r="AC3" s="1271"/>
      <c r="AD3" s="1271"/>
    </row>
    <row r="4" spans="1:30" s="187" customFormat="1" ht="19.5" thickBot="1">
      <c r="A4" s="46"/>
      <c r="B4" s="1895"/>
      <c r="C4" s="88"/>
      <c r="D4" s="88"/>
      <c r="E4" s="88"/>
      <c r="F4" s="1892"/>
      <c r="G4" s="83"/>
      <c r="H4">
        <v>1</v>
      </c>
      <c r="I4">
        <f t="shared" ref="I4:AD4" si="2">H4+1</f>
        <v>2</v>
      </c>
      <c r="J4">
        <f t="shared" si="2"/>
        <v>3</v>
      </c>
      <c r="K4">
        <f t="shared" si="2"/>
        <v>4</v>
      </c>
      <c r="L4">
        <f t="shared" si="2"/>
        <v>5</v>
      </c>
      <c r="M4">
        <f t="shared" si="2"/>
        <v>6</v>
      </c>
      <c r="N4">
        <f t="shared" si="2"/>
        <v>7</v>
      </c>
      <c r="O4">
        <f t="shared" si="2"/>
        <v>8</v>
      </c>
      <c r="P4">
        <f t="shared" si="2"/>
        <v>9</v>
      </c>
      <c r="Q4">
        <f t="shared" si="2"/>
        <v>10</v>
      </c>
      <c r="R4">
        <f t="shared" si="2"/>
        <v>11</v>
      </c>
      <c r="S4">
        <f t="shared" si="2"/>
        <v>12</v>
      </c>
      <c r="T4">
        <f t="shared" si="2"/>
        <v>13</v>
      </c>
      <c r="U4">
        <f t="shared" si="2"/>
        <v>14</v>
      </c>
      <c r="V4">
        <f t="shared" si="2"/>
        <v>15</v>
      </c>
      <c r="W4">
        <f t="shared" ref="W4:W5" si="3">V4+1</f>
        <v>16</v>
      </c>
      <c r="X4">
        <f t="shared" ref="X4:X5" si="4">W4+1</f>
        <v>17</v>
      </c>
      <c r="Y4">
        <f t="shared" ref="Y4:Y5" si="5">X4+1</f>
        <v>18</v>
      </c>
      <c r="Z4">
        <f t="shared" ref="Z4:Z5" si="6">Y4+1</f>
        <v>19</v>
      </c>
      <c r="AA4">
        <f t="shared" ref="AA4:AA5" si="7">Z4+1</f>
        <v>20</v>
      </c>
      <c r="AB4">
        <f t="shared" si="2"/>
        <v>21</v>
      </c>
      <c r="AC4">
        <f t="shared" si="2"/>
        <v>22</v>
      </c>
      <c r="AD4">
        <f t="shared" si="2"/>
        <v>23</v>
      </c>
    </row>
    <row r="5" spans="1:30" ht="15.75" thickBot="1">
      <c r="A5">
        <v>1</v>
      </c>
      <c r="B5" s="50">
        <f t="shared" ref="B5:G5" si="8">A5+1</f>
        <v>2</v>
      </c>
      <c r="C5" s="81">
        <f>B5+1</f>
        <v>3</v>
      </c>
      <c r="D5" s="81">
        <f t="shared" si="8"/>
        <v>4</v>
      </c>
      <c r="E5" s="81">
        <f t="shared" si="8"/>
        <v>5</v>
      </c>
      <c r="F5" s="81">
        <f t="shared" si="8"/>
        <v>6</v>
      </c>
      <c r="G5" s="51">
        <f t="shared" si="8"/>
        <v>7</v>
      </c>
      <c r="H5">
        <f>G5+1</f>
        <v>8</v>
      </c>
      <c r="I5">
        <f t="shared" ref="I5:AD5" si="9">H5+1</f>
        <v>9</v>
      </c>
      <c r="J5">
        <f t="shared" si="9"/>
        <v>10</v>
      </c>
      <c r="K5">
        <f t="shared" si="9"/>
        <v>11</v>
      </c>
      <c r="L5">
        <f t="shared" si="9"/>
        <v>12</v>
      </c>
      <c r="M5">
        <f t="shared" si="9"/>
        <v>13</v>
      </c>
      <c r="N5">
        <f t="shared" si="9"/>
        <v>14</v>
      </c>
      <c r="O5">
        <f t="shared" si="9"/>
        <v>15</v>
      </c>
      <c r="P5">
        <f t="shared" si="9"/>
        <v>16</v>
      </c>
      <c r="Q5">
        <f t="shared" si="9"/>
        <v>17</v>
      </c>
      <c r="R5">
        <f t="shared" si="9"/>
        <v>18</v>
      </c>
      <c r="S5">
        <f t="shared" si="9"/>
        <v>19</v>
      </c>
      <c r="T5">
        <f t="shared" si="9"/>
        <v>20</v>
      </c>
      <c r="U5">
        <f t="shared" si="9"/>
        <v>21</v>
      </c>
      <c r="V5">
        <f t="shared" si="9"/>
        <v>22</v>
      </c>
      <c r="W5">
        <f t="shared" si="3"/>
        <v>23</v>
      </c>
      <c r="X5">
        <f t="shared" si="4"/>
        <v>24</v>
      </c>
      <c r="Y5">
        <f t="shared" si="5"/>
        <v>25</v>
      </c>
      <c r="Z5">
        <f t="shared" si="6"/>
        <v>26</v>
      </c>
      <c r="AA5">
        <f t="shared" si="7"/>
        <v>27</v>
      </c>
      <c r="AB5">
        <f t="shared" si="9"/>
        <v>28</v>
      </c>
      <c r="AC5">
        <f t="shared" si="9"/>
        <v>29</v>
      </c>
      <c r="AD5">
        <f t="shared" si="9"/>
        <v>30</v>
      </c>
    </row>
    <row r="6" spans="1:30" s="188" customFormat="1" ht="79.5" thickBot="1">
      <c r="A6" s="47"/>
      <c r="B6" s="93" t="s">
        <v>234</v>
      </c>
      <c r="C6" s="84" t="s">
        <v>235</v>
      </c>
      <c r="D6" s="94" t="s">
        <v>236</v>
      </c>
      <c r="E6" s="84" t="s">
        <v>237</v>
      </c>
      <c r="F6" s="84" t="s">
        <v>238</v>
      </c>
      <c r="G6" s="90" t="s">
        <v>223</v>
      </c>
      <c r="H6" s="52" t="s">
        <v>239</v>
      </c>
      <c r="I6" s="52" t="s">
        <v>282</v>
      </c>
      <c r="J6" s="52" t="s">
        <v>283</v>
      </c>
      <c r="K6" s="53" t="s">
        <v>240</v>
      </c>
      <c r="L6" s="54" t="s">
        <v>241</v>
      </c>
      <c r="M6" s="55" t="s">
        <v>242</v>
      </c>
      <c r="N6" s="56" t="s">
        <v>243</v>
      </c>
      <c r="O6" s="57" t="s">
        <v>244</v>
      </c>
      <c r="P6" s="58" t="s">
        <v>245</v>
      </c>
      <c r="Q6" s="59" t="s">
        <v>246</v>
      </c>
      <c r="R6" s="59" t="s">
        <v>247</v>
      </c>
      <c r="S6" s="60" t="s">
        <v>248</v>
      </c>
      <c r="T6" s="60" t="s">
        <v>249</v>
      </c>
      <c r="U6" s="61" t="s">
        <v>250</v>
      </c>
      <c r="V6" s="61" t="s">
        <v>251</v>
      </c>
      <c r="W6" s="62" t="s">
        <v>1044</v>
      </c>
      <c r="X6" s="63" t="s">
        <v>1045</v>
      </c>
      <c r="Y6" s="210" t="s">
        <v>1046</v>
      </c>
      <c r="Z6" s="210" t="s">
        <v>1047</v>
      </c>
      <c r="AA6" s="64" t="s">
        <v>1057</v>
      </c>
      <c r="AB6" s="64" t="s">
        <v>1058</v>
      </c>
      <c r="AC6" s="64" t="s">
        <v>1055</v>
      </c>
      <c r="AD6" s="64" t="s">
        <v>1056</v>
      </c>
    </row>
    <row r="7" spans="1:30">
      <c r="A7">
        <v>1</v>
      </c>
      <c r="B7" s="85" t="str">
        <f>' 2024'!B14</f>
        <v>Большесолдатский район</v>
      </c>
      <c r="C7" s="92" t="str">
        <f>C6</f>
        <v>Код района</v>
      </c>
      <c r="D7" s="66" t="str">
        <f>' 2024'!C14</f>
        <v>Б.Солдатский сельсовет</v>
      </c>
      <c r="E7" s="92" t="str">
        <f t="shared" ref="E7:E70" si="10">E6</f>
        <v>Код сельсовета</v>
      </c>
      <c r="F7" s="89" t="str">
        <f>' 2024'!D14</f>
        <v xml:space="preserve">ГУПКО "Курскоблжилкомхоз" </v>
      </c>
      <c r="G7" s="91">
        <f>' 2024'!E14</f>
        <v>4632024035</v>
      </c>
      <c r="H7" s="48" t="e">
        <f t="shared" ref="H7" si="11">K7+N7</f>
        <v>#REF!</v>
      </c>
      <c r="I7" s="48" t="e">
        <f t="shared" ref="I7" si="12">L7+Q7</f>
        <v>#REF!</v>
      </c>
      <c r="J7" s="48" t="e">
        <f t="shared" ref="J7" si="13">M7+R7</f>
        <v>#REF!</v>
      </c>
      <c r="K7" s="49" t="e">
        <f>L7+M7</f>
        <v>#REF!</v>
      </c>
      <c r="L7" s="86" t="e">
        <f>' 2024'!#REF!+' 2024'!#REF!</f>
        <v>#REF!</v>
      </c>
      <c r="M7" s="71" t="e">
        <f>' 2024'!#REF!+' 2024'!#REF!</f>
        <v>#REF!</v>
      </c>
      <c r="N7" s="67" t="e">
        <f>Q7+R7</f>
        <v>#REF!</v>
      </c>
      <c r="O7" s="68" t="e">
        <f>S7+T7</f>
        <v>#REF!</v>
      </c>
      <c r="P7" s="69" t="e">
        <f>U7+V7</f>
        <v>#REF!</v>
      </c>
      <c r="Q7" s="70" t="e">
        <f>S7+U7</f>
        <v>#REF!</v>
      </c>
      <c r="R7" s="70" t="e">
        <f>T7+V7</f>
        <v>#REF!</v>
      </c>
      <c r="S7" s="71" t="e">
        <f>' 2024'!#REF!</f>
        <v>#REF!</v>
      </c>
      <c r="T7" s="71" t="e">
        <f>' 2024'!#REF!</f>
        <v>#REF!</v>
      </c>
      <c r="U7" s="72" t="e">
        <f>' 2024'!#REF!</f>
        <v>#REF!</v>
      </c>
      <c r="V7" s="72" t="e">
        <f>' 2024'!#REF!</f>
        <v>#REF!</v>
      </c>
      <c r="W7" s="73">
        <f>' 2024'!H14</f>
        <v>3314.9639999999995</v>
      </c>
      <c r="X7" s="74">
        <f>' 2024'!N14</f>
        <v>3758.5679999999998</v>
      </c>
      <c r="Y7" s="217">
        <v>0</v>
      </c>
      <c r="Z7" s="217">
        <v>0</v>
      </c>
      <c r="AA7" s="74">
        <f>' 2024'!J14</f>
        <v>0</v>
      </c>
      <c r="AB7" s="74">
        <f>' 2024'!P14</f>
        <v>0</v>
      </c>
      <c r="AC7" s="74">
        <f>' 2024'!K14</f>
        <v>0</v>
      </c>
      <c r="AD7" s="74">
        <f>' 2024'!Q14</f>
        <v>0</v>
      </c>
    </row>
    <row r="8" spans="1:30">
      <c r="A8">
        <f t="shared" ref="A8:A72" si="14">A7+1</f>
        <v>2</v>
      </c>
      <c r="B8" s="85" t="str">
        <f>' 2024'!B15</f>
        <v>Большесолдатский район</v>
      </c>
      <c r="C8" s="92" t="str">
        <f t="shared" ref="C8:C71" si="15">C7</f>
        <v>Код района</v>
      </c>
      <c r="D8" s="66" t="str">
        <f>' 2024'!C15</f>
        <v>Любостанский сельсовет</v>
      </c>
      <c r="E8" s="92" t="str">
        <f t="shared" si="10"/>
        <v>Код сельсовета</v>
      </c>
      <c r="F8" s="89" t="str">
        <f>' 2024'!D15</f>
        <v xml:space="preserve">ГУПКО "Курскоблжилкомхоз" </v>
      </c>
      <c r="G8" s="91">
        <f>' 2024'!E15</f>
        <v>4632024035</v>
      </c>
      <c r="H8" s="48" t="e">
        <f t="shared" ref="H8:H71" si="16">K8+N8</f>
        <v>#REF!</v>
      </c>
      <c r="I8" s="48" t="e">
        <f t="shared" ref="I8:I71" si="17">L8+Q8</f>
        <v>#REF!</v>
      </c>
      <c r="J8" s="48" t="e">
        <f t="shared" ref="J8:J71" si="18">M8+R8</f>
        <v>#REF!</v>
      </c>
      <c r="K8" s="49" t="e">
        <f t="shared" ref="K8:K71" si="19">L8+M8</f>
        <v>#REF!</v>
      </c>
      <c r="L8" s="86" t="e">
        <f>' 2024'!#REF!+' 2024'!#REF!</f>
        <v>#REF!</v>
      </c>
      <c r="M8" s="71" t="e">
        <f>' 2024'!#REF!+' 2024'!#REF!</f>
        <v>#REF!</v>
      </c>
      <c r="N8" s="67" t="e">
        <f t="shared" ref="N8:N71" si="20">Q8+R8</f>
        <v>#REF!</v>
      </c>
      <c r="O8" s="68" t="e">
        <f t="shared" ref="O8:O71" si="21">S8+T8</f>
        <v>#REF!</v>
      </c>
      <c r="P8" s="69" t="e">
        <f t="shared" ref="P8:P71" si="22">U8+V8</f>
        <v>#REF!</v>
      </c>
      <c r="Q8" s="70" t="e">
        <f t="shared" ref="Q8:Q71" si="23">S8+U8</f>
        <v>#REF!</v>
      </c>
      <c r="R8" s="70" t="e">
        <f t="shared" ref="R8:R71" si="24">T8+V8</f>
        <v>#REF!</v>
      </c>
      <c r="S8" s="71" t="e">
        <f>' 2024'!#REF!</f>
        <v>#REF!</v>
      </c>
      <c r="T8" s="71" t="e">
        <f>' 2024'!#REF!</f>
        <v>#REF!</v>
      </c>
      <c r="U8" s="72" t="e">
        <f>' 2024'!#REF!</f>
        <v>#REF!</v>
      </c>
      <c r="V8" s="72" t="e">
        <f>' 2024'!#REF!</f>
        <v>#REF!</v>
      </c>
      <c r="W8" s="73">
        <f>' 2024'!H15</f>
        <v>3314.9639999999995</v>
      </c>
      <c r="X8" s="74">
        <f>' 2024'!N15</f>
        <v>3758.5679999999998</v>
      </c>
      <c r="Y8" s="217">
        <v>0</v>
      </c>
      <c r="Z8" s="217">
        <v>0</v>
      </c>
      <c r="AA8" s="74">
        <f>' 2024'!J15</f>
        <v>0</v>
      </c>
      <c r="AB8" s="74">
        <f>' 2024'!P15</f>
        <v>0</v>
      </c>
      <c r="AC8" s="74">
        <f>' 2024'!K15</f>
        <v>0</v>
      </c>
      <c r="AD8" s="74">
        <f>' 2024'!Q15</f>
        <v>0</v>
      </c>
    </row>
    <row r="9" spans="1:30">
      <c r="A9">
        <f t="shared" si="14"/>
        <v>3</v>
      </c>
      <c r="B9" s="85" t="str">
        <f>' 2024'!B16</f>
        <v>Большесолдатский район</v>
      </c>
      <c r="C9" s="92" t="str">
        <f t="shared" si="15"/>
        <v>Код района</v>
      </c>
      <c r="D9" s="66" t="str">
        <f>' 2024'!C16</f>
        <v>Нижнегридинский сельсовет</v>
      </c>
      <c r="E9" s="92" t="str">
        <f t="shared" si="10"/>
        <v>Код сельсовета</v>
      </c>
      <c r="F9" s="89" t="str">
        <f>' 2024'!D16</f>
        <v xml:space="preserve">ГУПКО "Курскоблжилкомхоз" </v>
      </c>
      <c r="G9" s="91">
        <f>' 2024'!E16</f>
        <v>4632024035</v>
      </c>
      <c r="H9" s="48" t="e">
        <f t="shared" si="16"/>
        <v>#REF!</v>
      </c>
      <c r="I9" s="48" t="e">
        <f t="shared" si="17"/>
        <v>#REF!</v>
      </c>
      <c r="J9" s="48" t="e">
        <f t="shared" si="18"/>
        <v>#REF!</v>
      </c>
      <c r="K9" s="49" t="e">
        <f t="shared" si="19"/>
        <v>#REF!</v>
      </c>
      <c r="L9" s="86" t="e">
        <f>' 2024'!#REF!+' 2024'!#REF!</f>
        <v>#REF!</v>
      </c>
      <c r="M9" s="71" t="e">
        <f>' 2024'!#REF!+' 2024'!#REF!</f>
        <v>#REF!</v>
      </c>
      <c r="N9" s="67" t="e">
        <f t="shared" si="20"/>
        <v>#REF!</v>
      </c>
      <c r="O9" s="68" t="e">
        <f t="shared" si="21"/>
        <v>#REF!</v>
      </c>
      <c r="P9" s="69" t="e">
        <f t="shared" si="22"/>
        <v>#REF!</v>
      </c>
      <c r="Q9" s="70" t="e">
        <f t="shared" si="23"/>
        <v>#REF!</v>
      </c>
      <c r="R9" s="70" t="e">
        <f t="shared" si="24"/>
        <v>#REF!</v>
      </c>
      <c r="S9" s="71" t="e">
        <f>' 2024'!#REF!</f>
        <v>#REF!</v>
      </c>
      <c r="T9" s="71" t="e">
        <f>' 2024'!#REF!</f>
        <v>#REF!</v>
      </c>
      <c r="U9" s="72" t="e">
        <f>' 2024'!#REF!</f>
        <v>#REF!</v>
      </c>
      <c r="V9" s="72" t="e">
        <f>' 2024'!#REF!</f>
        <v>#REF!</v>
      </c>
      <c r="W9" s="73">
        <f>' 2024'!H16</f>
        <v>3314.9639999999995</v>
      </c>
      <c r="X9" s="74">
        <f>' 2024'!N16</f>
        <v>3758.5679999999998</v>
      </c>
      <c r="Y9" s="217">
        <v>0</v>
      </c>
      <c r="Z9" s="217">
        <v>0</v>
      </c>
      <c r="AA9" s="74">
        <f>' 2024'!J16</f>
        <v>0</v>
      </c>
      <c r="AB9" s="74">
        <f>' 2024'!P16</f>
        <v>0</v>
      </c>
      <c r="AC9" s="74">
        <f>' 2024'!K16</f>
        <v>0</v>
      </c>
      <c r="AD9" s="74">
        <f>' 2024'!Q16</f>
        <v>0</v>
      </c>
    </row>
    <row r="10" spans="1:30">
      <c r="A10">
        <f t="shared" si="14"/>
        <v>4</v>
      </c>
      <c r="B10" s="85" t="str">
        <f>' 2024'!B17</f>
        <v>Большесолдатский район</v>
      </c>
      <c r="C10" s="92" t="str">
        <f t="shared" si="15"/>
        <v>Код района</v>
      </c>
      <c r="D10" s="66" t="str">
        <f>' 2024'!C17</f>
        <v>Волоконский сельсовет</v>
      </c>
      <c r="E10" s="92" t="str">
        <f t="shared" si="10"/>
        <v>Код сельсовета</v>
      </c>
      <c r="F10" s="89" t="str">
        <f>' 2024'!D17</f>
        <v xml:space="preserve">ГУПКО "Курскоблжилкомхоз" </v>
      </c>
      <c r="G10" s="91">
        <f>' 2024'!E17</f>
        <v>4632024035</v>
      </c>
      <c r="H10" s="48" t="e">
        <f t="shared" si="16"/>
        <v>#REF!</v>
      </c>
      <c r="I10" s="48" t="e">
        <f t="shared" si="17"/>
        <v>#REF!</v>
      </c>
      <c r="J10" s="48" t="e">
        <f t="shared" si="18"/>
        <v>#REF!</v>
      </c>
      <c r="K10" s="49" t="e">
        <f t="shared" si="19"/>
        <v>#REF!</v>
      </c>
      <c r="L10" s="86" t="e">
        <f>' 2024'!#REF!+' 2024'!#REF!</f>
        <v>#REF!</v>
      </c>
      <c r="M10" s="71" t="e">
        <f>' 2024'!#REF!+' 2024'!#REF!</f>
        <v>#REF!</v>
      </c>
      <c r="N10" s="67" t="e">
        <f t="shared" si="20"/>
        <v>#REF!</v>
      </c>
      <c r="O10" s="68" t="e">
        <f t="shared" si="21"/>
        <v>#REF!</v>
      </c>
      <c r="P10" s="69" t="e">
        <f t="shared" si="22"/>
        <v>#REF!</v>
      </c>
      <c r="Q10" s="70" t="e">
        <f t="shared" si="23"/>
        <v>#REF!</v>
      </c>
      <c r="R10" s="70" t="e">
        <f t="shared" si="24"/>
        <v>#REF!</v>
      </c>
      <c r="S10" s="71" t="e">
        <f>' 2024'!#REF!</f>
        <v>#REF!</v>
      </c>
      <c r="T10" s="71" t="e">
        <f>' 2024'!#REF!</f>
        <v>#REF!</v>
      </c>
      <c r="U10" s="72" t="e">
        <f>' 2024'!#REF!</f>
        <v>#REF!</v>
      </c>
      <c r="V10" s="72" t="e">
        <f>' 2024'!#REF!</f>
        <v>#REF!</v>
      </c>
      <c r="W10" s="73">
        <f>' 2024'!H17</f>
        <v>3314.9639999999995</v>
      </c>
      <c r="X10" s="74">
        <f>' 2024'!N17</f>
        <v>3758.5679999999998</v>
      </c>
      <c r="Y10" s="217">
        <v>0</v>
      </c>
      <c r="Z10" s="217">
        <v>0</v>
      </c>
      <c r="AA10" s="74">
        <f>' 2024'!J17</f>
        <v>0</v>
      </c>
      <c r="AB10" s="74">
        <f>' 2024'!P17</f>
        <v>0</v>
      </c>
      <c r="AC10" s="74">
        <f>' 2024'!K17</f>
        <v>0</v>
      </c>
      <c r="AD10" s="74">
        <f>' 2024'!Q17</f>
        <v>0</v>
      </c>
    </row>
    <row r="11" spans="1:30">
      <c r="A11">
        <f t="shared" si="14"/>
        <v>5</v>
      </c>
      <c r="B11" s="85" t="str">
        <f>' 2024'!B18</f>
        <v>Глушковский район</v>
      </c>
      <c r="C11" s="92" t="str">
        <f t="shared" si="15"/>
        <v>Код района</v>
      </c>
      <c r="D11" s="66" t="str">
        <f>' 2024'!C18</f>
        <v>п.Теткино</v>
      </c>
      <c r="E11" s="92" t="str">
        <f t="shared" si="10"/>
        <v>Код сельсовета</v>
      </c>
      <c r="F11" s="89" t="str">
        <f>' 2024'!D18</f>
        <v>ООО  "Теткинское МУП ЖКХ"</v>
      </c>
      <c r="G11" s="91" t="str">
        <f>' 2024'!E18</f>
        <v>4603005599</v>
      </c>
      <c r="H11" s="48" t="e">
        <f t="shared" si="16"/>
        <v>#REF!</v>
      </c>
      <c r="I11" s="48" t="e">
        <f t="shared" si="17"/>
        <v>#REF!</v>
      </c>
      <c r="J11" s="48" t="e">
        <f t="shared" si="18"/>
        <v>#REF!</v>
      </c>
      <c r="K11" s="49" t="e">
        <f t="shared" si="19"/>
        <v>#REF!</v>
      </c>
      <c r="L11" s="86" t="e">
        <f>' 2024'!#REF!+' 2024'!#REF!</f>
        <v>#REF!</v>
      </c>
      <c r="M11" s="71" t="e">
        <f>' 2024'!#REF!+' 2024'!#REF!</f>
        <v>#REF!</v>
      </c>
      <c r="N11" s="67" t="e">
        <f t="shared" si="20"/>
        <v>#REF!</v>
      </c>
      <c r="O11" s="68" t="e">
        <f t="shared" si="21"/>
        <v>#REF!</v>
      </c>
      <c r="P11" s="69" t="e">
        <f t="shared" si="22"/>
        <v>#REF!</v>
      </c>
      <c r="Q11" s="70" t="e">
        <f t="shared" si="23"/>
        <v>#REF!</v>
      </c>
      <c r="R11" s="70" t="e">
        <f t="shared" si="24"/>
        <v>#REF!</v>
      </c>
      <c r="S11" s="71" t="e">
        <f>' 2024'!#REF!</f>
        <v>#REF!</v>
      </c>
      <c r="T11" s="71" t="e">
        <f>' 2024'!#REF!</f>
        <v>#REF!</v>
      </c>
      <c r="U11" s="72" t="e">
        <f>' 2024'!#REF!</f>
        <v>#REF!</v>
      </c>
      <c r="V11" s="72" t="e">
        <f>' 2024'!#REF!</f>
        <v>#REF!</v>
      </c>
      <c r="W11" s="73">
        <f>' 2024'!H18</f>
        <v>3079.41</v>
      </c>
      <c r="X11" s="74">
        <f>' 2024'!N18</f>
        <v>3469.64</v>
      </c>
      <c r="Y11" s="217">
        <v>0</v>
      </c>
      <c r="Z11" s="217">
        <v>0</v>
      </c>
      <c r="AA11" s="74">
        <f>' 2024'!J18</f>
        <v>2953.2</v>
      </c>
      <c r="AB11" s="74">
        <f>' 2024'!P18</f>
        <v>3307.58</v>
      </c>
      <c r="AC11" s="74">
        <f>' 2024'!K18</f>
        <v>0</v>
      </c>
      <c r="AD11" s="74">
        <f>' 2024'!Q18</f>
        <v>0</v>
      </c>
    </row>
    <row r="12" spans="1:30">
      <c r="A12">
        <f t="shared" si="14"/>
        <v>6</v>
      </c>
      <c r="B12" s="85" t="str">
        <f>' 2024'!B19</f>
        <v>Глушковский район</v>
      </c>
      <c r="C12" s="92" t="str">
        <f t="shared" si="15"/>
        <v>Код района</v>
      </c>
      <c r="D12" s="66" t="str">
        <f>' 2024'!C19</f>
        <v>п.Глушково</v>
      </c>
      <c r="E12" s="92" t="str">
        <f t="shared" si="10"/>
        <v>Код сельсовета</v>
      </c>
      <c r="F12" s="89" t="str">
        <f>' 2024'!D19</f>
        <v>МУП "Глушковское ЖКХ"</v>
      </c>
      <c r="G12" s="91">
        <f>' 2024'!E19</f>
        <v>4603004186</v>
      </c>
      <c r="H12" s="48" t="e">
        <f t="shared" si="16"/>
        <v>#REF!</v>
      </c>
      <c r="I12" s="48" t="e">
        <f t="shared" si="17"/>
        <v>#REF!</v>
      </c>
      <c r="J12" s="48" t="e">
        <f t="shared" si="18"/>
        <v>#REF!</v>
      </c>
      <c r="K12" s="49" t="e">
        <f t="shared" si="19"/>
        <v>#REF!</v>
      </c>
      <c r="L12" s="86" t="e">
        <f>' 2024'!#REF!+' 2024'!#REF!</f>
        <v>#REF!</v>
      </c>
      <c r="M12" s="71" t="e">
        <f>' 2024'!#REF!+' 2024'!#REF!</f>
        <v>#REF!</v>
      </c>
      <c r="N12" s="67" t="e">
        <f t="shared" si="20"/>
        <v>#REF!</v>
      </c>
      <c r="O12" s="68" t="e">
        <f t="shared" si="21"/>
        <v>#REF!</v>
      </c>
      <c r="P12" s="69" t="e">
        <f t="shared" si="22"/>
        <v>#REF!</v>
      </c>
      <c r="Q12" s="70" t="e">
        <f t="shared" si="23"/>
        <v>#REF!</v>
      </c>
      <c r="R12" s="70" t="e">
        <f t="shared" si="24"/>
        <v>#REF!</v>
      </c>
      <c r="S12" s="71" t="e">
        <f>' 2024'!#REF!</f>
        <v>#REF!</v>
      </c>
      <c r="T12" s="71" t="e">
        <f>' 2024'!#REF!</f>
        <v>#REF!</v>
      </c>
      <c r="U12" s="72" t="e">
        <f>' 2024'!#REF!</f>
        <v>#REF!</v>
      </c>
      <c r="V12" s="72" t="e">
        <f>' 2024'!#REF!</f>
        <v>#REF!</v>
      </c>
      <c r="W12" s="73">
        <f>' 2024'!H19</f>
        <v>2541.2199999999998</v>
      </c>
      <c r="X12" s="74">
        <f>' 2024'!N19</f>
        <v>2798.28</v>
      </c>
      <c r="Y12" s="217">
        <v>0</v>
      </c>
      <c r="Z12" s="217">
        <v>0</v>
      </c>
      <c r="AA12" s="74">
        <f>' 2024'!J19</f>
        <v>2541.2199999999998</v>
      </c>
      <c r="AB12" s="74">
        <f>' 2024'!P19</f>
        <v>2798.28</v>
      </c>
      <c r="AC12" s="74">
        <f>' 2024'!K19</f>
        <v>0</v>
      </c>
      <c r="AD12" s="74">
        <f>' 2024'!Q19</f>
        <v>0</v>
      </c>
    </row>
    <row r="13" spans="1:30">
      <c r="A13">
        <f t="shared" si="14"/>
        <v>7</v>
      </c>
      <c r="B13" s="85" t="str">
        <f>' 2024'!B20</f>
        <v>Большесолдатский район</v>
      </c>
      <c r="C13" s="92" t="str">
        <f t="shared" si="15"/>
        <v>Код района</v>
      </c>
      <c r="D13" s="66" t="str">
        <f>' 2024'!C20</f>
        <v xml:space="preserve"> Кобыльский сельсовет</v>
      </c>
      <c r="E13" s="92" t="str">
        <f t="shared" si="10"/>
        <v>Код сельсовета</v>
      </c>
      <c r="F13" s="89" t="str">
        <f>' 2024'!D20</f>
        <v>ГУПКО "Курскоблжилкомхоз"</v>
      </c>
      <c r="G13" s="91">
        <f>' 2024'!E20</f>
        <v>4632024035</v>
      </c>
      <c r="H13" s="48" t="e">
        <f t="shared" si="16"/>
        <v>#REF!</v>
      </c>
      <c r="I13" s="48" t="e">
        <f t="shared" si="17"/>
        <v>#REF!</v>
      </c>
      <c r="J13" s="48" t="e">
        <f t="shared" si="18"/>
        <v>#REF!</v>
      </c>
      <c r="K13" s="49" t="e">
        <f t="shared" si="19"/>
        <v>#REF!</v>
      </c>
      <c r="L13" s="86" t="e">
        <f>' 2024'!#REF!+' 2024'!#REF!</f>
        <v>#REF!</v>
      </c>
      <c r="M13" s="71" t="e">
        <f>' 2024'!#REF!+' 2024'!#REF!</f>
        <v>#REF!</v>
      </c>
      <c r="N13" s="67" t="e">
        <f t="shared" si="20"/>
        <v>#REF!</v>
      </c>
      <c r="O13" s="68" t="e">
        <f t="shared" si="21"/>
        <v>#REF!</v>
      </c>
      <c r="P13" s="69" t="e">
        <f t="shared" si="22"/>
        <v>#REF!</v>
      </c>
      <c r="Q13" s="70" t="e">
        <f t="shared" si="23"/>
        <v>#REF!</v>
      </c>
      <c r="R13" s="70" t="e">
        <f t="shared" si="24"/>
        <v>#REF!</v>
      </c>
      <c r="S13" s="71" t="e">
        <f>' 2024'!#REF!</f>
        <v>#REF!</v>
      </c>
      <c r="T13" s="71" t="e">
        <f>' 2024'!#REF!</f>
        <v>#REF!</v>
      </c>
      <c r="U13" s="72" t="e">
        <f>' 2024'!#REF!</f>
        <v>#REF!</v>
      </c>
      <c r="V13" s="72" t="e">
        <f>' 2024'!#REF!</f>
        <v>#REF!</v>
      </c>
      <c r="W13" s="73">
        <f>' 2024'!H20</f>
        <v>3314.9639999999995</v>
      </c>
      <c r="X13" s="74">
        <f>' 2024'!N20</f>
        <v>3758.5679999999998</v>
      </c>
      <c r="Y13" s="217">
        <v>0</v>
      </c>
      <c r="Z13" s="217">
        <v>0</v>
      </c>
      <c r="AA13" s="74">
        <f>' 2024'!J20</f>
        <v>0</v>
      </c>
      <c r="AB13" s="74">
        <f>' 2024'!P20</f>
        <v>0</v>
      </c>
      <c r="AC13" s="74">
        <f>' 2024'!K20</f>
        <v>0</v>
      </c>
      <c r="AD13" s="74">
        <f>' 2024'!Q20</f>
        <v>0</v>
      </c>
    </row>
    <row r="14" spans="1:30">
      <c r="A14">
        <f t="shared" si="14"/>
        <v>8</v>
      </c>
      <c r="B14" s="85" t="str">
        <f>' 2024'!B21</f>
        <v>Большесолдатский район</v>
      </c>
      <c r="C14" s="92" t="str">
        <f t="shared" si="15"/>
        <v>Код района</v>
      </c>
      <c r="D14" s="66" t="str">
        <f>' 2024'!C21</f>
        <v>Кульбакинский сельсовет</v>
      </c>
      <c r="E14" s="92" t="str">
        <f t="shared" si="10"/>
        <v>Код сельсовета</v>
      </c>
      <c r="F14" s="89" t="str">
        <f>' 2024'!D21</f>
        <v xml:space="preserve">ГУПКО "Курскоблжилкомхоз" </v>
      </c>
      <c r="G14" s="91">
        <f>' 2024'!E21</f>
        <v>4632024035</v>
      </c>
      <c r="H14" s="48" t="e">
        <f t="shared" si="16"/>
        <v>#REF!</v>
      </c>
      <c r="I14" s="48" t="e">
        <f t="shared" si="17"/>
        <v>#REF!</v>
      </c>
      <c r="J14" s="48" t="e">
        <f t="shared" si="18"/>
        <v>#REF!</v>
      </c>
      <c r="K14" s="49" t="e">
        <f t="shared" si="19"/>
        <v>#REF!</v>
      </c>
      <c r="L14" s="86" t="e">
        <f>' 2024'!#REF!+' 2024'!#REF!</f>
        <v>#REF!</v>
      </c>
      <c r="M14" s="71" t="e">
        <f>' 2024'!#REF!+' 2024'!#REF!</f>
        <v>#REF!</v>
      </c>
      <c r="N14" s="67" t="e">
        <f t="shared" si="20"/>
        <v>#REF!</v>
      </c>
      <c r="O14" s="68" t="e">
        <f t="shared" si="21"/>
        <v>#REF!</v>
      </c>
      <c r="P14" s="69" t="e">
        <f t="shared" si="22"/>
        <v>#REF!</v>
      </c>
      <c r="Q14" s="70" t="e">
        <f t="shared" si="23"/>
        <v>#REF!</v>
      </c>
      <c r="R14" s="70" t="e">
        <f t="shared" si="24"/>
        <v>#REF!</v>
      </c>
      <c r="S14" s="71" t="e">
        <f>' 2024'!#REF!</f>
        <v>#REF!</v>
      </c>
      <c r="T14" s="71" t="e">
        <f>' 2024'!#REF!</f>
        <v>#REF!</v>
      </c>
      <c r="U14" s="72" t="e">
        <f>' 2024'!#REF!</f>
        <v>#REF!</v>
      </c>
      <c r="V14" s="72" t="e">
        <f>' 2024'!#REF!</f>
        <v>#REF!</v>
      </c>
      <c r="W14" s="73">
        <f>' 2024'!H21</f>
        <v>3314.9639999999995</v>
      </c>
      <c r="X14" s="74">
        <f>' 2024'!N21</f>
        <v>3758.5679999999998</v>
      </c>
      <c r="Y14" s="217">
        <v>0</v>
      </c>
      <c r="Z14" s="217">
        <v>0</v>
      </c>
      <c r="AA14" s="74">
        <f>' 2024'!J21</f>
        <v>0</v>
      </c>
      <c r="AB14" s="74">
        <f>' 2024'!P21</f>
        <v>0</v>
      </c>
      <c r="AC14" s="74">
        <f>' 2024'!K21</f>
        <v>0</v>
      </c>
      <c r="AD14" s="74">
        <f>' 2024'!Q21</f>
        <v>0</v>
      </c>
    </row>
    <row r="15" spans="1:30">
      <c r="A15">
        <f t="shared" si="14"/>
        <v>9</v>
      </c>
      <c r="B15" s="85" t="str">
        <f>' 2024'!B22</f>
        <v>Горшеченский район</v>
      </c>
      <c r="C15" s="92" t="str">
        <f t="shared" si="15"/>
        <v>Код района</v>
      </c>
      <c r="D15" s="66" t="str">
        <f>' 2024'!C22</f>
        <v xml:space="preserve"> пос. Горшечное</v>
      </c>
      <c r="E15" s="92" t="str">
        <f t="shared" si="10"/>
        <v>Код сельсовета</v>
      </c>
      <c r="F15" s="89" t="str">
        <f>' 2024'!D22</f>
        <v>ГУПКО "Курскоблжилкомхоз"</v>
      </c>
      <c r="G15" s="91">
        <f>' 2024'!E22</f>
        <v>4632024035</v>
      </c>
      <c r="H15" s="48" t="e">
        <f t="shared" si="16"/>
        <v>#REF!</v>
      </c>
      <c r="I15" s="48" t="e">
        <f t="shared" si="17"/>
        <v>#REF!</v>
      </c>
      <c r="J15" s="48" t="e">
        <f t="shared" si="18"/>
        <v>#REF!</v>
      </c>
      <c r="K15" s="49" t="e">
        <f t="shared" si="19"/>
        <v>#REF!</v>
      </c>
      <c r="L15" s="86" t="e">
        <f>' 2024'!#REF!+' 2024'!#REF!</f>
        <v>#REF!</v>
      </c>
      <c r="M15" s="71" t="e">
        <f>' 2024'!#REF!+' 2024'!#REF!</f>
        <v>#REF!</v>
      </c>
      <c r="N15" s="67" t="e">
        <f t="shared" si="20"/>
        <v>#REF!</v>
      </c>
      <c r="O15" s="68" t="e">
        <f t="shared" si="21"/>
        <v>#REF!</v>
      </c>
      <c r="P15" s="69" t="e">
        <f t="shared" si="22"/>
        <v>#REF!</v>
      </c>
      <c r="Q15" s="70" t="e">
        <f t="shared" si="23"/>
        <v>#REF!</v>
      </c>
      <c r="R15" s="70" t="e">
        <f t="shared" si="24"/>
        <v>#REF!</v>
      </c>
      <c r="S15" s="71" t="e">
        <f>' 2024'!#REF!</f>
        <v>#REF!</v>
      </c>
      <c r="T15" s="71" t="e">
        <f>' 2024'!#REF!</f>
        <v>#REF!</v>
      </c>
      <c r="U15" s="72" t="e">
        <f>' 2024'!#REF!</f>
        <v>#REF!</v>
      </c>
      <c r="V15" s="72" t="e">
        <f>' 2024'!#REF!</f>
        <v>#REF!</v>
      </c>
      <c r="W15" s="73">
        <f>' 2024'!H22</f>
        <v>3314.9639999999995</v>
      </c>
      <c r="X15" s="74">
        <f>' 2024'!N22</f>
        <v>3758.5679999999998</v>
      </c>
      <c r="Y15" s="217">
        <v>0</v>
      </c>
      <c r="Z15" s="217">
        <v>0</v>
      </c>
      <c r="AA15" s="74">
        <f>' 2024'!J22</f>
        <v>2484</v>
      </c>
      <c r="AB15" s="74">
        <f>' 2024'!P22</f>
        <v>2719.98</v>
      </c>
      <c r="AC15" s="74">
        <f>' 2024'!K22</f>
        <v>0</v>
      </c>
      <c r="AD15" s="74">
        <f>' 2024'!Q22</f>
        <v>0</v>
      </c>
    </row>
    <row r="16" spans="1:30">
      <c r="A16">
        <f t="shared" si="14"/>
        <v>10</v>
      </c>
      <c r="B16" s="85" t="str">
        <f>' 2024'!B23</f>
        <v>Горшеченский район</v>
      </c>
      <c r="C16" s="92" t="str">
        <f t="shared" si="15"/>
        <v>Код района</v>
      </c>
      <c r="D16" s="66" t="str">
        <f>' 2024'!C23</f>
        <v>Среднеапоченский сельсовет</v>
      </c>
      <c r="E16" s="92" t="str">
        <f t="shared" si="10"/>
        <v>Код сельсовета</v>
      </c>
      <c r="F16" s="89" t="str">
        <f>' 2024'!D23</f>
        <v xml:space="preserve">ГУПКО "Курскоблжилкомхоз" </v>
      </c>
      <c r="G16" s="91">
        <f>' 2024'!E23</f>
        <v>4632024035</v>
      </c>
      <c r="H16" s="48" t="e">
        <f t="shared" si="16"/>
        <v>#REF!</v>
      </c>
      <c r="I16" s="48" t="e">
        <f t="shared" si="17"/>
        <v>#REF!</v>
      </c>
      <c r="J16" s="48" t="e">
        <f t="shared" si="18"/>
        <v>#REF!</v>
      </c>
      <c r="K16" s="49" t="e">
        <f t="shared" si="19"/>
        <v>#REF!</v>
      </c>
      <c r="L16" s="86" t="e">
        <f>' 2024'!#REF!+' 2024'!#REF!</f>
        <v>#REF!</v>
      </c>
      <c r="M16" s="71" t="e">
        <f>' 2024'!#REF!+' 2024'!#REF!</f>
        <v>#REF!</v>
      </c>
      <c r="N16" s="67" t="e">
        <f t="shared" si="20"/>
        <v>#REF!</v>
      </c>
      <c r="O16" s="68" t="e">
        <f t="shared" si="21"/>
        <v>#REF!</v>
      </c>
      <c r="P16" s="69" t="e">
        <f t="shared" si="22"/>
        <v>#REF!</v>
      </c>
      <c r="Q16" s="70" t="e">
        <f t="shared" si="23"/>
        <v>#REF!</v>
      </c>
      <c r="R16" s="70" t="e">
        <f t="shared" si="24"/>
        <v>#REF!</v>
      </c>
      <c r="S16" s="71" t="e">
        <f>' 2024'!#REF!</f>
        <v>#REF!</v>
      </c>
      <c r="T16" s="71" t="e">
        <f>' 2024'!#REF!</f>
        <v>#REF!</v>
      </c>
      <c r="U16" s="72" t="e">
        <f>' 2024'!#REF!</f>
        <v>#REF!</v>
      </c>
      <c r="V16" s="72" t="e">
        <f>' 2024'!#REF!</f>
        <v>#REF!</v>
      </c>
      <c r="W16" s="73">
        <f>' 2024'!H23</f>
        <v>3314.9639999999995</v>
      </c>
      <c r="X16" s="74">
        <f>' 2024'!N23</f>
        <v>3758.5679999999998</v>
      </c>
      <c r="Y16" s="217">
        <v>0</v>
      </c>
      <c r="Z16" s="217">
        <v>0</v>
      </c>
      <c r="AA16" s="74">
        <f>' 2024'!J23</f>
        <v>0</v>
      </c>
      <c r="AB16" s="74">
        <f>' 2024'!P23</f>
        <v>0</v>
      </c>
      <c r="AC16" s="74">
        <f>' 2024'!K23</f>
        <v>0</v>
      </c>
      <c r="AD16" s="74">
        <f>' 2024'!Q23</f>
        <v>0</v>
      </c>
    </row>
    <row r="17" spans="1:30">
      <c r="A17">
        <f t="shared" si="14"/>
        <v>11</v>
      </c>
      <c r="B17" s="85" t="str">
        <f>' 2024'!B24</f>
        <v>Горшеченский район</v>
      </c>
      <c r="C17" s="92" t="str">
        <f t="shared" si="15"/>
        <v>Код района</v>
      </c>
      <c r="D17" s="66" t="str">
        <f>' 2024'!C24</f>
        <v>Ясеновский сельсовет</v>
      </c>
      <c r="E17" s="92" t="str">
        <f t="shared" si="10"/>
        <v>Код сельсовета</v>
      </c>
      <c r="F17" s="89" t="str">
        <f>' 2024'!D24</f>
        <v xml:space="preserve">ГУПКО "Курскоблжилкомхоз" </v>
      </c>
      <c r="G17" s="91">
        <f>' 2024'!E24</f>
        <v>4632024035</v>
      </c>
      <c r="H17" s="48" t="e">
        <f t="shared" si="16"/>
        <v>#REF!</v>
      </c>
      <c r="I17" s="48" t="e">
        <f t="shared" si="17"/>
        <v>#REF!</v>
      </c>
      <c r="J17" s="48" t="e">
        <f t="shared" si="18"/>
        <v>#REF!</v>
      </c>
      <c r="K17" s="49" t="e">
        <f t="shared" si="19"/>
        <v>#REF!</v>
      </c>
      <c r="L17" s="86" t="e">
        <f>' 2024'!#REF!+' 2024'!#REF!</f>
        <v>#REF!</v>
      </c>
      <c r="M17" s="71" t="e">
        <f>' 2024'!#REF!+' 2024'!#REF!</f>
        <v>#REF!</v>
      </c>
      <c r="N17" s="67" t="e">
        <f t="shared" si="20"/>
        <v>#REF!</v>
      </c>
      <c r="O17" s="68" t="e">
        <f t="shared" si="21"/>
        <v>#REF!</v>
      </c>
      <c r="P17" s="69" t="e">
        <f t="shared" si="22"/>
        <v>#REF!</v>
      </c>
      <c r="Q17" s="70" t="e">
        <f t="shared" si="23"/>
        <v>#REF!</v>
      </c>
      <c r="R17" s="70" t="e">
        <f t="shared" si="24"/>
        <v>#REF!</v>
      </c>
      <c r="S17" s="71" t="e">
        <f>' 2024'!#REF!</f>
        <v>#REF!</v>
      </c>
      <c r="T17" s="71" t="e">
        <f>' 2024'!#REF!</f>
        <v>#REF!</v>
      </c>
      <c r="U17" s="72" t="e">
        <f>' 2024'!#REF!</f>
        <v>#REF!</v>
      </c>
      <c r="V17" s="72" t="e">
        <f>' 2024'!#REF!</f>
        <v>#REF!</v>
      </c>
      <c r="W17" s="73">
        <f>' 2024'!H24</f>
        <v>3314.9639999999995</v>
      </c>
      <c r="X17" s="74">
        <f>' 2024'!N24</f>
        <v>3758.5679999999998</v>
      </c>
      <c r="Y17" s="217">
        <v>0</v>
      </c>
      <c r="Z17" s="217">
        <v>0</v>
      </c>
      <c r="AA17" s="74">
        <f>' 2024'!J24</f>
        <v>0</v>
      </c>
      <c r="AB17" s="74">
        <f>' 2024'!P24</f>
        <v>0</v>
      </c>
      <c r="AC17" s="74">
        <f>' 2024'!K24</f>
        <v>0</v>
      </c>
      <c r="AD17" s="74">
        <f>' 2024'!Q24</f>
        <v>0</v>
      </c>
    </row>
    <row r="18" spans="1:30">
      <c r="A18">
        <f t="shared" si="14"/>
        <v>12</v>
      </c>
      <c r="B18" s="85" t="str">
        <f>' 2024'!B25</f>
        <v>Горшеченский район</v>
      </c>
      <c r="C18" s="92" t="str">
        <f t="shared" si="15"/>
        <v>Код района</v>
      </c>
      <c r="D18" s="66" t="str">
        <f>' 2024'!C25</f>
        <v>Куньевский сельсовет</v>
      </c>
      <c r="E18" s="92" t="str">
        <f t="shared" si="10"/>
        <v>Код сельсовета</v>
      </c>
      <c r="F18" s="89" t="str">
        <f>' 2024'!D25</f>
        <v xml:space="preserve">ГУПКО "Курскоблжилкомхоз" </v>
      </c>
      <c r="G18" s="91">
        <f>' 2024'!E25</f>
        <v>4632024035</v>
      </c>
      <c r="H18" s="48" t="e">
        <f t="shared" si="16"/>
        <v>#REF!</v>
      </c>
      <c r="I18" s="48" t="e">
        <f t="shared" si="17"/>
        <v>#REF!</v>
      </c>
      <c r="J18" s="48" t="e">
        <f t="shared" si="18"/>
        <v>#REF!</v>
      </c>
      <c r="K18" s="49" t="e">
        <f t="shared" si="19"/>
        <v>#REF!</v>
      </c>
      <c r="L18" s="86" t="e">
        <f>' 2024'!#REF!+' 2024'!#REF!</f>
        <v>#REF!</v>
      </c>
      <c r="M18" s="71" t="e">
        <f>' 2024'!#REF!+' 2024'!#REF!</f>
        <v>#REF!</v>
      </c>
      <c r="N18" s="67" t="e">
        <f t="shared" si="20"/>
        <v>#REF!</v>
      </c>
      <c r="O18" s="68" t="e">
        <f t="shared" si="21"/>
        <v>#REF!</v>
      </c>
      <c r="P18" s="69" t="e">
        <f t="shared" si="22"/>
        <v>#REF!</v>
      </c>
      <c r="Q18" s="70" t="e">
        <f t="shared" si="23"/>
        <v>#REF!</v>
      </c>
      <c r="R18" s="70" t="e">
        <f t="shared" si="24"/>
        <v>#REF!</v>
      </c>
      <c r="S18" s="71" t="e">
        <f>' 2024'!#REF!</f>
        <v>#REF!</v>
      </c>
      <c r="T18" s="71" t="e">
        <f>' 2024'!#REF!</f>
        <v>#REF!</v>
      </c>
      <c r="U18" s="72" t="e">
        <f>' 2024'!#REF!</f>
        <v>#REF!</v>
      </c>
      <c r="V18" s="72" t="e">
        <f>' 2024'!#REF!</f>
        <v>#REF!</v>
      </c>
      <c r="W18" s="73">
        <f>' 2024'!H25</f>
        <v>3314.9639999999995</v>
      </c>
      <c r="X18" s="74">
        <f>' 2024'!N25</f>
        <v>3758.5679999999998</v>
      </c>
      <c r="Y18" s="217">
        <v>0</v>
      </c>
      <c r="Z18" s="217">
        <v>0</v>
      </c>
      <c r="AA18" s="74">
        <f>' 2024'!J25</f>
        <v>0</v>
      </c>
      <c r="AB18" s="74">
        <f>' 2024'!P25</f>
        <v>0</v>
      </c>
      <c r="AC18" s="74">
        <f>' 2024'!K25</f>
        <v>0</v>
      </c>
      <c r="AD18" s="74">
        <f>' 2024'!Q25</f>
        <v>0</v>
      </c>
    </row>
    <row r="19" spans="1:30">
      <c r="A19">
        <f t="shared" si="14"/>
        <v>13</v>
      </c>
      <c r="B19" s="85" t="str">
        <f>' 2024'!B26</f>
        <v>Горшеченский район</v>
      </c>
      <c r="C19" s="92" t="str">
        <f t="shared" si="15"/>
        <v>Код района</v>
      </c>
      <c r="D19" s="66" t="str">
        <f>' 2024'!C26</f>
        <v>Солдатский сельсовет</v>
      </c>
      <c r="E19" s="92" t="str">
        <f t="shared" si="10"/>
        <v>Код сельсовета</v>
      </c>
      <c r="F19" s="89" t="str">
        <f>' 2024'!D26</f>
        <v xml:space="preserve">ГУПКО "Курскоблжилкомхоз" </v>
      </c>
      <c r="G19" s="91">
        <f>' 2024'!E26</f>
        <v>4632024035</v>
      </c>
      <c r="H19" s="48" t="e">
        <f t="shared" si="16"/>
        <v>#REF!</v>
      </c>
      <c r="I19" s="48" t="e">
        <f t="shared" si="17"/>
        <v>#REF!</v>
      </c>
      <c r="J19" s="48" t="e">
        <f t="shared" si="18"/>
        <v>#REF!</v>
      </c>
      <c r="K19" s="49" t="e">
        <f t="shared" si="19"/>
        <v>#REF!</v>
      </c>
      <c r="L19" s="86" t="e">
        <f>' 2024'!#REF!+' 2024'!#REF!</f>
        <v>#REF!</v>
      </c>
      <c r="M19" s="71" t="e">
        <f>' 2024'!#REF!+' 2024'!#REF!</f>
        <v>#REF!</v>
      </c>
      <c r="N19" s="67" t="e">
        <f t="shared" si="20"/>
        <v>#REF!</v>
      </c>
      <c r="O19" s="68" t="e">
        <f t="shared" si="21"/>
        <v>#REF!</v>
      </c>
      <c r="P19" s="69" t="e">
        <f t="shared" si="22"/>
        <v>#REF!</v>
      </c>
      <c r="Q19" s="70" t="e">
        <f t="shared" si="23"/>
        <v>#REF!</v>
      </c>
      <c r="R19" s="70" t="e">
        <f t="shared" si="24"/>
        <v>#REF!</v>
      </c>
      <c r="S19" s="71" t="e">
        <f>' 2024'!#REF!</f>
        <v>#REF!</v>
      </c>
      <c r="T19" s="71" t="e">
        <f>' 2024'!#REF!</f>
        <v>#REF!</v>
      </c>
      <c r="U19" s="72" t="e">
        <f>' 2024'!#REF!</f>
        <v>#REF!</v>
      </c>
      <c r="V19" s="72" t="e">
        <f>' 2024'!#REF!</f>
        <v>#REF!</v>
      </c>
      <c r="W19" s="73">
        <f>' 2024'!H26</f>
        <v>3314.9639999999995</v>
      </c>
      <c r="X19" s="74">
        <f>' 2024'!N26</f>
        <v>3758.5679999999998</v>
      </c>
      <c r="Y19" s="217">
        <v>0</v>
      </c>
      <c r="Z19" s="217">
        <v>0</v>
      </c>
      <c r="AA19" s="74">
        <f>' 2024'!J26</f>
        <v>0</v>
      </c>
      <c r="AB19" s="74">
        <f>' 2024'!P26</f>
        <v>0</v>
      </c>
      <c r="AC19" s="74">
        <f>' 2024'!K26</f>
        <v>0</v>
      </c>
      <c r="AD19" s="74">
        <f>' 2024'!Q26</f>
        <v>0</v>
      </c>
    </row>
    <row r="20" spans="1:30">
      <c r="A20">
        <f t="shared" si="14"/>
        <v>14</v>
      </c>
      <c r="B20" s="85" t="str">
        <f>' 2024'!B27</f>
        <v>Горшеченский район</v>
      </c>
      <c r="C20" s="92" t="str">
        <f t="shared" si="15"/>
        <v>Код района</v>
      </c>
      <c r="D20" s="66" t="str">
        <f>' 2024'!C27</f>
        <v>Нижнеборковский сельсовет</v>
      </c>
      <c r="E20" s="92" t="str">
        <f t="shared" si="10"/>
        <v>Код сельсовета</v>
      </c>
      <c r="F20" s="89" t="str">
        <f>' 2024'!D27</f>
        <v xml:space="preserve">ГУПКО "Курскоблжилкомхоз" </v>
      </c>
      <c r="G20" s="91">
        <f>' 2024'!E27</f>
        <v>4632024035</v>
      </c>
      <c r="H20" s="48" t="e">
        <f t="shared" si="16"/>
        <v>#REF!</v>
      </c>
      <c r="I20" s="48" t="e">
        <f t="shared" si="17"/>
        <v>#REF!</v>
      </c>
      <c r="J20" s="48" t="e">
        <f t="shared" si="18"/>
        <v>#REF!</v>
      </c>
      <c r="K20" s="49" t="e">
        <f t="shared" si="19"/>
        <v>#REF!</v>
      </c>
      <c r="L20" s="86" t="e">
        <f>' 2024'!#REF!+' 2024'!#REF!</f>
        <v>#REF!</v>
      </c>
      <c r="M20" s="71" t="e">
        <f>' 2024'!#REF!+' 2024'!#REF!</f>
        <v>#REF!</v>
      </c>
      <c r="N20" s="67" t="e">
        <f t="shared" si="20"/>
        <v>#REF!</v>
      </c>
      <c r="O20" s="68" t="e">
        <f t="shared" si="21"/>
        <v>#REF!</v>
      </c>
      <c r="P20" s="69" t="e">
        <f t="shared" si="22"/>
        <v>#REF!</v>
      </c>
      <c r="Q20" s="70" t="e">
        <f t="shared" si="23"/>
        <v>#REF!</v>
      </c>
      <c r="R20" s="70" t="e">
        <f t="shared" si="24"/>
        <v>#REF!</v>
      </c>
      <c r="S20" s="71" t="e">
        <f>' 2024'!#REF!</f>
        <v>#REF!</v>
      </c>
      <c r="T20" s="71" t="e">
        <f>' 2024'!#REF!</f>
        <v>#REF!</v>
      </c>
      <c r="U20" s="72" t="e">
        <f>' 2024'!#REF!</f>
        <v>#REF!</v>
      </c>
      <c r="V20" s="72" t="e">
        <f>' 2024'!#REF!</f>
        <v>#REF!</v>
      </c>
      <c r="W20" s="73">
        <f>' 2024'!H27</f>
        <v>3314.9639999999995</v>
      </c>
      <c r="X20" s="74">
        <f>' 2024'!N27</f>
        <v>3758.5679999999998</v>
      </c>
      <c r="Y20" s="217">
        <v>0</v>
      </c>
      <c r="Z20" s="217">
        <v>0</v>
      </c>
      <c r="AA20" s="74">
        <f>' 2024'!J27</f>
        <v>0</v>
      </c>
      <c r="AB20" s="74">
        <f>' 2024'!P27</f>
        <v>0</v>
      </c>
      <c r="AC20" s="74">
        <f>' 2024'!K27</f>
        <v>0</v>
      </c>
      <c r="AD20" s="74">
        <f>' 2024'!Q27</f>
        <v>0</v>
      </c>
    </row>
    <row r="21" spans="1:30">
      <c r="A21">
        <f t="shared" si="14"/>
        <v>15</v>
      </c>
      <c r="B21" s="85" t="str">
        <f>' 2024'!B28</f>
        <v>Дмитриевский район</v>
      </c>
      <c r="C21" s="92" t="str">
        <f t="shared" si="15"/>
        <v>Код района</v>
      </c>
      <c r="D21" s="66" t="str">
        <f>' 2024'!C28</f>
        <v>г. Дмитриев</v>
      </c>
      <c r="E21" s="92" t="str">
        <f t="shared" si="10"/>
        <v>Код сельсовета</v>
      </c>
      <c r="F21" s="89" t="str">
        <f>' 2024'!D28</f>
        <v xml:space="preserve">ГУПКО "Курскоблжилкомхоз" </v>
      </c>
      <c r="G21" s="91">
        <f>' 2024'!E28</f>
        <v>4632024035</v>
      </c>
      <c r="H21" s="48" t="e">
        <f t="shared" si="16"/>
        <v>#REF!</v>
      </c>
      <c r="I21" s="48" t="e">
        <f t="shared" si="17"/>
        <v>#REF!</v>
      </c>
      <c r="J21" s="48" t="e">
        <f t="shared" si="18"/>
        <v>#REF!</v>
      </c>
      <c r="K21" s="49" t="e">
        <f t="shared" si="19"/>
        <v>#REF!</v>
      </c>
      <c r="L21" s="86" t="e">
        <f>' 2024'!#REF!+' 2024'!#REF!</f>
        <v>#REF!</v>
      </c>
      <c r="M21" s="71" t="e">
        <f>' 2024'!#REF!+' 2024'!#REF!</f>
        <v>#REF!</v>
      </c>
      <c r="N21" s="67" t="e">
        <f t="shared" si="20"/>
        <v>#REF!</v>
      </c>
      <c r="O21" s="68" t="e">
        <f t="shared" si="21"/>
        <v>#REF!</v>
      </c>
      <c r="P21" s="69" t="e">
        <f t="shared" si="22"/>
        <v>#REF!</v>
      </c>
      <c r="Q21" s="70" t="e">
        <f t="shared" si="23"/>
        <v>#REF!</v>
      </c>
      <c r="R21" s="70" t="e">
        <f t="shared" si="24"/>
        <v>#REF!</v>
      </c>
      <c r="S21" s="71" t="e">
        <f>' 2024'!#REF!</f>
        <v>#REF!</v>
      </c>
      <c r="T21" s="71" t="e">
        <f>' 2024'!#REF!</f>
        <v>#REF!</v>
      </c>
      <c r="U21" s="72" t="e">
        <f>' 2024'!#REF!</f>
        <v>#REF!</v>
      </c>
      <c r="V21" s="72" t="e">
        <f>' 2024'!#REF!</f>
        <v>#REF!</v>
      </c>
      <c r="W21" s="73">
        <f>' 2024'!H28</f>
        <v>3314.9639999999995</v>
      </c>
      <c r="X21" s="74">
        <f>' 2024'!N28</f>
        <v>3758.5679999999998</v>
      </c>
      <c r="Y21" s="217">
        <v>0</v>
      </c>
      <c r="Z21" s="217">
        <v>0</v>
      </c>
      <c r="AA21" s="74">
        <f>' 2024'!J28</f>
        <v>2484</v>
      </c>
      <c r="AB21" s="74">
        <f>' 2024'!P28</f>
        <v>2719.98</v>
      </c>
      <c r="AC21" s="74">
        <f>' 2024'!K28</f>
        <v>0</v>
      </c>
      <c r="AD21" s="74">
        <f>' 2024'!Q28</f>
        <v>0</v>
      </c>
    </row>
    <row r="22" spans="1:30">
      <c r="A22">
        <f t="shared" si="14"/>
        <v>16</v>
      </c>
      <c r="B22" s="85" t="str">
        <f>' 2024'!B29</f>
        <v>Железногорский район</v>
      </c>
      <c r="C22" s="92" t="str">
        <f t="shared" si="15"/>
        <v>Код района</v>
      </c>
      <c r="D22" s="66" t="str">
        <f>' 2024'!C29</f>
        <v>Студенокский сельсовет</v>
      </c>
      <c r="E22" s="92" t="str">
        <f t="shared" si="10"/>
        <v>Код сельсовета</v>
      </c>
      <c r="F22" s="89" t="str">
        <f>' 2024'!D29</f>
        <v xml:space="preserve">МУП «Районное коммунальное хозяйство»  </v>
      </c>
      <c r="G22" s="91">
        <f>' 2024'!E29</f>
        <v>4633037132</v>
      </c>
      <c r="H22" s="48" t="e">
        <f t="shared" si="16"/>
        <v>#REF!</v>
      </c>
      <c r="I22" s="48" t="e">
        <f t="shared" si="17"/>
        <v>#REF!</v>
      </c>
      <c r="J22" s="48" t="e">
        <f t="shared" si="18"/>
        <v>#REF!</v>
      </c>
      <c r="K22" s="49" t="e">
        <f t="shared" si="19"/>
        <v>#REF!</v>
      </c>
      <c r="L22" s="86" t="e">
        <f>' 2024'!#REF!+' 2024'!#REF!</f>
        <v>#REF!</v>
      </c>
      <c r="M22" s="71" t="e">
        <f>' 2024'!#REF!+' 2024'!#REF!</f>
        <v>#REF!</v>
      </c>
      <c r="N22" s="67" t="e">
        <f t="shared" si="20"/>
        <v>#REF!</v>
      </c>
      <c r="O22" s="68" t="e">
        <f t="shared" si="21"/>
        <v>#REF!</v>
      </c>
      <c r="P22" s="69" t="e">
        <f t="shared" si="22"/>
        <v>#REF!</v>
      </c>
      <c r="Q22" s="70" t="e">
        <f t="shared" si="23"/>
        <v>#REF!</v>
      </c>
      <c r="R22" s="70" t="e">
        <f t="shared" si="24"/>
        <v>#REF!</v>
      </c>
      <c r="S22" s="71" t="e">
        <f>' 2024'!#REF!</f>
        <v>#REF!</v>
      </c>
      <c r="T22" s="71" t="e">
        <f>' 2024'!#REF!</f>
        <v>#REF!</v>
      </c>
      <c r="U22" s="72" t="e">
        <f>' 2024'!#REF!</f>
        <v>#REF!</v>
      </c>
      <c r="V22" s="72" t="e">
        <f>' 2024'!#REF!</f>
        <v>#REF!</v>
      </c>
      <c r="W22" s="73">
        <f>' 2024'!H29</f>
        <v>2889.53</v>
      </c>
      <c r="X22" s="74">
        <f>' 2024'!N29</f>
        <v>3438.24</v>
      </c>
      <c r="Y22" s="217">
        <v>0</v>
      </c>
      <c r="Z22" s="217">
        <v>0</v>
      </c>
      <c r="AA22" s="74">
        <f>' 2024'!J29</f>
        <v>2449.06</v>
      </c>
      <c r="AB22" s="74">
        <f>' 2024'!P29</f>
        <v>2801.48</v>
      </c>
      <c r="AC22" s="74">
        <f>' 2024'!K29</f>
        <v>1982.98</v>
      </c>
      <c r="AD22" s="74">
        <f>' 2024'!Q29</f>
        <v>2268.33</v>
      </c>
    </row>
    <row r="23" spans="1:30">
      <c r="A23">
        <f t="shared" si="14"/>
        <v>17</v>
      </c>
      <c r="B23" s="85" t="str">
        <f>' 2024'!B30</f>
        <v>Железногорский район</v>
      </c>
      <c r="C23" s="92" t="str">
        <f t="shared" si="15"/>
        <v>Код района</v>
      </c>
      <c r="D23" s="66" t="str">
        <f>' 2024'!C30</f>
        <v>Разветьевский сельсовет</v>
      </c>
      <c r="E23" s="92" t="str">
        <f t="shared" si="10"/>
        <v>Код сельсовета</v>
      </c>
      <c r="F23" s="89" t="str">
        <f>' 2024'!D30</f>
        <v xml:space="preserve">МУП «Районное коммунальное хозяйство»  </v>
      </c>
      <c r="G23" s="91" t="str">
        <f>' 2024'!E30</f>
        <v>4633037132</v>
      </c>
      <c r="H23" s="48" t="e">
        <f t="shared" si="16"/>
        <v>#REF!</v>
      </c>
      <c r="I23" s="48" t="e">
        <f t="shared" si="17"/>
        <v>#REF!</v>
      </c>
      <c r="J23" s="48" t="e">
        <f t="shared" si="18"/>
        <v>#REF!</v>
      </c>
      <c r="K23" s="49" t="e">
        <f t="shared" si="19"/>
        <v>#REF!</v>
      </c>
      <c r="L23" s="86" t="e">
        <f>' 2024'!#REF!+' 2024'!#REF!</f>
        <v>#REF!</v>
      </c>
      <c r="M23" s="71" t="e">
        <f>' 2024'!#REF!+' 2024'!#REF!</f>
        <v>#REF!</v>
      </c>
      <c r="N23" s="67" t="e">
        <f t="shared" si="20"/>
        <v>#REF!</v>
      </c>
      <c r="O23" s="68" t="e">
        <f t="shared" si="21"/>
        <v>#REF!</v>
      </c>
      <c r="P23" s="69" t="e">
        <f t="shared" si="22"/>
        <v>#REF!</v>
      </c>
      <c r="Q23" s="70" t="e">
        <f t="shared" si="23"/>
        <v>#REF!</v>
      </c>
      <c r="R23" s="70" t="e">
        <f t="shared" si="24"/>
        <v>#REF!</v>
      </c>
      <c r="S23" s="71" t="e">
        <f>' 2024'!#REF!</f>
        <v>#REF!</v>
      </c>
      <c r="T23" s="71" t="e">
        <f>' 2024'!#REF!</f>
        <v>#REF!</v>
      </c>
      <c r="U23" s="72" t="e">
        <f>' 2024'!#REF!</f>
        <v>#REF!</v>
      </c>
      <c r="V23" s="72" t="e">
        <f>' 2024'!#REF!</f>
        <v>#REF!</v>
      </c>
      <c r="W23" s="73">
        <f>' 2024'!H30</f>
        <v>2889.53</v>
      </c>
      <c r="X23" s="74">
        <f>' 2024'!N30</f>
        <v>3438.24</v>
      </c>
      <c r="Y23" s="217">
        <v>0</v>
      </c>
      <c r="Z23" s="217">
        <v>0</v>
      </c>
      <c r="AA23" s="74">
        <f>' 2024'!J30</f>
        <v>2449.06</v>
      </c>
      <c r="AB23" s="74">
        <f>' 2024'!P30</f>
        <v>2801.48</v>
      </c>
      <c r="AC23" s="74">
        <f>' 2024'!K30</f>
        <v>2449.06</v>
      </c>
      <c r="AD23" s="74">
        <f>' 2024'!Q30</f>
        <v>2801.48</v>
      </c>
    </row>
    <row r="24" spans="1:30">
      <c r="A24">
        <f t="shared" si="14"/>
        <v>18</v>
      </c>
      <c r="B24" s="85" t="str">
        <f>' 2024'!B31</f>
        <v>Железногорский район</v>
      </c>
      <c r="C24" s="92" t="str">
        <f t="shared" si="15"/>
        <v>Код района</v>
      </c>
      <c r="D24" s="66" t="str">
        <f>' 2024'!C31</f>
        <v>Михайловский сельсовет</v>
      </c>
      <c r="E24" s="92" t="str">
        <f t="shared" si="10"/>
        <v>Код сельсовета</v>
      </c>
      <c r="F24" s="89" t="str">
        <f>' 2024'!D31</f>
        <v xml:space="preserve">МУП «Районное коммунальное хозяйство»  </v>
      </c>
      <c r="G24" s="91" t="str">
        <f>' 2024'!E31</f>
        <v>4633037132</v>
      </c>
      <c r="H24" s="48" t="e">
        <f t="shared" si="16"/>
        <v>#REF!</v>
      </c>
      <c r="I24" s="48" t="e">
        <f t="shared" si="17"/>
        <v>#REF!</v>
      </c>
      <c r="J24" s="48" t="e">
        <f t="shared" si="18"/>
        <v>#REF!</v>
      </c>
      <c r="K24" s="49" t="e">
        <f t="shared" si="19"/>
        <v>#REF!</v>
      </c>
      <c r="L24" s="86" t="e">
        <f>' 2024'!#REF!+' 2024'!#REF!</f>
        <v>#REF!</v>
      </c>
      <c r="M24" s="71" t="e">
        <f>' 2024'!#REF!+' 2024'!#REF!</f>
        <v>#REF!</v>
      </c>
      <c r="N24" s="67" t="e">
        <f t="shared" si="20"/>
        <v>#REF!</v>
      </c>
      <c r="O24" s="68" t="e">
        <f t="shared" si="21"/>
        <v>#REF!</v>
      </c>
      <c r="P24" s="69" t="e">
        <f t="shared" si="22"/>
        <v>#REF!</v>
      </c>
      <c r="Q24" s="70" t="e">
        <f t="shared" si="23"/>
        <v>#REF!</v>
      </c>
      <c r="R24" s="70" t="e">
        <f t="shared" si="24"/>
        <v>#REF!</v>
      </c>
      <c r="S24" s="71" t="e">
        <f>' 2024'!#REF!</f>
        <v>#REF!</v>
      </c>
      <c r="T24" s="71" t="e">
        <f>' 2024'!#REF!</f>
        <v>#REF!</v>
      </c>
      <c r="U24" s="72" t="e">
        <f>' 2024'!#REF!</f>
        <v>#REF!</v>
      </c>
      <c r="V24" s="72" t="e">
        <f>' 2024'!#REF!</f>
        <v>#REF!</v>
      </c>
      <c r="W24" s="73">
        <f>' 2024'!H31</f>
        <v>2889.53</v>
      </c>
      <c r="X24" s="74">
        <f>' 2024'!N31</f>
        <v>3438.24</v>
      </c>
      <c r="Y24" s="217">
        <v>0</v>
      </c>
      <c r="Z24" s="217">
        <v>0</v>
      </c>
      <c r="AA24" s="74">
        <f>' 2024'!J31</f>
        <v>2731.28</v>
      </c>
      <c r="AB24" s="74">
        <f>' 2024'!P31</f>
        <v>2801.48</v>
      </c>
      <c r="AC24" s="74">
        <f>' 2024'!K31</f>
        <v>0</v>
      </c>
      <c r="AD24" s="74">
        <f>' 2024'!Q31</f>
        <v>0</v>
      </c>
    </row>
    <row r="25" spans="1:30">
      <c r="A25">
        <f t="shared" si="14"/>
        <v>19</v>
      </c>
      <c r="B25" s="85" t="str">
        <f>' 2024'!B32</f>
        <v>Железногорский район</v>
      </c>
      <c r="C25" s="92" t="str">
        <f t="shared" si="15"/>
        <v>Код района</v>
      </c>
      <c r="D25" s="66" t="str">
        <f>' 2024'!C32</f>
        <v>Новоандросовское сельсовет</v>
      </c>
      <c r="E25" s="92" t="str">
        <f t="shared" si="10"/>
        <v>Код сельсовета</v>
      </c>
      <c r="F25" s="89" t="str">
        <f>' 2024'!D32</f>
        <v xml:space="preserve">МУП «Районное коммунальное хозяйство»  </v>
      </c>
      <c r="G25" s="91" t="str">
        <f>' 2024'!E32</f>
        <v>4633037132</v>
      </c>
      <c r="H25" s="48" t="e">
        <f t="shared" si="16"/>
        <v>#REF!</v>
      </c>
      <c r="I25" s="48" t="e">
        <f t="shared" si="17"/>
        <v>#REF!</v>
      </c>
      <c r="J25" s="48" t="e">
        <f t="shared" si="18"/>
        <v>#REF!</v>
      </c>
      <c r="K25" s="49" t="e">
        <f t="shared" si="19"/>
        <v>#REF!</v>
      </c>
      <c r="L25" s="86" t="e">
        <f>' 2024'!#REF!+' 2024'!#REF!</f>
        <v>#REF!</v>
      </c>
      <c r="M25" s="71" t="e">
        <f>' 2024'!#REF!+' 2024'!#REF!</f>
        <v>#REF!</v>
      </c>
      <c r="N25" s="67" t="e">
        <f t="shared" si="20"/>
        <v>#REF!</v>
      </c>
      <c r="O25" s="68" t="e">
        <f t="shared" si="21"/>
        <v>#REF!</v>
      </c>
      <c r="P25" s="69" t="e">
        <f t="shared" si="22"/>
        <v>#REF!</v>
      </c>
      <c r="Q25" s="70" t="e">
        <f t="shared" si="23"/>
        <v>#REF!</v>
      </c>
      <c r="R25" s="70" t="e">
        <f t="shared" si="24"/>
        <v>#REF!</v>
      </c>
      <c r="S25" s="71" t="e">
        <f>' 2024'!#REF!</f>
        <v>#REF!</v>
      </c>
      <c r="T25" s="71" t="e">
        <f>' 2024'!#REF!</f>
        <v>#REF!</v>
      </c>
      <c r="U25" s="72" t="e">
        <f>' 2024'!#REF!</f>
        <v>#REF!</v>
      </c>
      <c r="V25" s="72" t="e">
        <f>' 2024'!#REF!</f>
        <v>#REF!</v>
      </c>
      <c r="W25" s="73">
        <f>' 2024'!H32</f>
        <v>2889.53</v>
      </c>
      <c r="X25" s="74">
        <f>' 2024'!N32</f>
        <v>3438.24</v>
      </c>
      <c r="Y25" s="217">
        <v>0</v>
      </c>
      <c r="Z25" s="217">
        <v>0</v>
      </c>
      <c r="AA25" s="74">
        <f>' 2024'!J32</f>
        <v>2449.06</v>
      </c>
      <c r="AB25" s="74">
        <f>' 2024'!P32</f>
        <v>2801.48</v>
      </c>
      <c r="AC25" s="74">
        <f>' 2024'!K32</f>
        <v>2449.06</v>
      </c>
      <c r="AD25" s="74">
        <f>' 2024'!Q32</f>
        <v>2801.48</v>
      </c>
    </row>
    <row r="26" spans="1:30">
      <c r="A26">
        <f t="shared" si="14"/>
        <v>20</v>
      </c>
      <c r="B26" s="85" t="str">
        <f>' 2024'!B33</f>
        <v>Железногорский район</v>
      </c>
      <c r="C26" s="92" t="str">
        <f t="shared" si="15"/>
        <v>Код района</v>
      </c>
      <c r="D26" s="66" t="str">
        <f>' 2024'!C33</f>
        <v>пос. Магнитный</v>
      </c>
      <c r="E26" s="92" t="str">
        <f t="shared" si="10"/>
        <v>Код сельсовета</v>
      </c>
      <c r="F26" s="89" t="str">
        <f>' 2024'!D33</f>
        <v xml:space="preserve">ГУПКО "Курскоблжилкомхоз" </v>
      </c>
      <c r="G26" s="91">
        <f>' 2024'!E33</f>
        <v>4632024035</v>
      </c>
      <c r="H26" s="48" t="e">
        <f t="shared" si="16"/>
        <v>#REF!</v>
      </c>
      <c r="I26" s="48" t="e">
        <f t="shared" si="17"/>
        <v>#REF!</v>
      </c>
      <c r="J26" s="48" t="e">
        <f t="shared" si="18"/>
        <v>#REF!</v>
      </c>
      <c r="K26" s="49" t="e">
        <f t="shared" si="19"/>
        <v>#REF!</v>
      </c>
      <c r="L26" s="86" t="e">
        <f>' 2024'!#REF!+' 2024'!#REF!</f>
        <v>#REF!</v>
      </c>
      <c r="M26" s="71" t="e">
        <f>' 2024'!#REF!+' 2024'!#REF!</f>
        <v>#REF!</v>
      </c>
      <c r="N26" s="67" t="e">
        <f t="shared" si="20"/>
        <v>#REF!</v>
      </c>
      <c r="O26" s="68" t="e">
        <f t="shared" si="21"/>
        <v>#REF!</v>
      </c>
      <c r="P26" s="69" t="e">
        <f t="shared" si="22"/>
        <v>#REF!</v>
      </c>
      <c r="Q26" s="70" t="e">
        <f t="shared" si="23"/>
        <v>#REF!</v>
      </c>
      <c r="R26" s="70" t="e">
        <f t="shared" si="24"/>
        <v>#REF!</v>
      </c>
      <c r="S26" s="71" t="e">
        <f>' 2024'!#REF!</f>
        <v>#REF!</v>
      </c>
      <c r="T26" s="71" t="e">
        <f>' 2024'!#REF!</f>
        <v>#REF!</v>
      </c>
      <c r="U26" s="72" t="e">
        <f>' 2024'!#REF!</f>
        <v>#REF!</v>
      </c>
      <c r="V26" s="72" t="e">
        <f>' 2024'!#REF!</f>
        <v>#REF!</v>
      </c>
      <c r="W26" s="73">
        <f>' 2024'!H33</f>
        <v>3314.9639999999995</v>
      </c>
      <c r="X26" s="74">
        <f>' 2024'!N33</f>
        <v>3758.5679999999998</v>
      </c>
      <c r="Y26" s="217">
        <v>0</v>
      </c>
      <c r="Z26" s="217">
        <v>0</v>
      </c>
      <c r="AA26" s="74">
        <f>' 2024'!J33</f>
        <v>1779.86</v>
      </c>
      <c r="AB26" s="74">
        <f>' 2024'!P33</f>
        <v>2035.98</v>
      </c>
      <c r="AC26" s="74">
        <f>' 2024'!K33</f>
        <v>1779.86</v>
      </c>
      <c r="AD26" s="74">
        <f>' 2024'!Q33</f>
        <v>2035.98</v>
      </c>
    </row>
    <row r="27" spans="1:30">
      <c r="A27">
        <f t="shared" si="14"/>
        <v>21</v>
      </c>
      <c r="B27" s="85" t="str">
        <f>' 2024'!B34</f>
        <v>Золотухинский район</v>
      </c>
      <c r="C27" s="92" t="str">
        <f t="shared" si="15"/>
        <v>Код района</v>
      </c>
      <c r="D27" s="66" t="str">
        <f>' 2024'!C34</f>
        <v>п.Золотухино</v>
      </c>
      <c r="E27" s="92" t="str">
        <f t="shared" si="10"/>
        <v>Код сельсовета</v>
      </c>
      <c r="F27" s="89" t="str">
        <f>' 2024'!D34</f>
        <v>ГУПКО "Курскоблжилкомхоз"</v>
      </c>
      <c r="G27" s="91">
        <f>' 2024'!E34</f>
        <v>4632024035</v>
      </c>
      <c r="H27" s="48" t="e">
        <f t="shared" si="16"/>
        <v>#REF!</v>
      </c>
      <c r="I27" s="48" t="e">
        <f t="shared" si="17"/>
        <v>#REF!</v>
      </c>
      <c r="J27" s="48" t="e">
        <f t="shared" si="18"/>
        <v>#REF!</v>
      </c>
      <c r="K27" s="49" t="e">
        <f t="shared" si="19"/>
        <v>#REF!</v>
      </c>
      <c r="L27" s="86" t="e">
        <f>' 2024'!#REF!+' 2024'!#REF!</f>
        <v>#REF!</v>
      </c>
      <c r="M27" s="71" t="e">
        <f>' 2024'!#REF!+' 2024'!#REF!</f>
        <v>#REF!</v>
      </c>
      <c r="N27" s="67" t="e">
        <f t="shared" si="20"/>
        <v>#REF!</v>
      </c>
      <c r="O27" s="68" t="e">
        <f t="shared" si="21"/>
        <v>#REF!</v>
      </c>
      <c r="P27" s="69" t="e">
        <f t="shared" si="22"/>
        <v>#REF!</v>
      </c>
      <c r="Q27" s="70" t="e">
        <f t="shared" si="23"/>
        <v>#REF!</v>
      </c>
      <c r="R27" s="70" t="e">
        <f t="shared" si="24"/>
        <v>#REF!</v>
      </c>
      <c r="S27" s="71" t="e">
        <f>' 2024'!#REF!</f>
        <v>#REF!</v>
      </c>
      <c r="T27" s="71" t="e">
        <f>' 2024'!#REF!</f>
        <v>#REF!</v>
      </c>
      <c r="U27" s="72" t="e">
        <f>' 2024'!#REF!</f>
        <v>#REF!</v>
      </c>
      <c r="V27" s="72" t="e">
        <f>' 2024'!#REF!</f>
        <v>#REF!</v>
      </c>
      <c r="W27" s="73">
        <f>' 2024'!H34</f>
        <v>3314.9639999999995</v>
      </c>
      <c r="X27" s="74">
        <f>' 2024'!N34</f>
        <v>3758.5679999999998</v>
      </c>
      <c r="Y27" s="217">
        <v>0</v>
      </c>
      <c r="Z27" s="217">
        <v>0</v>
      </c>
      <c r="AA27" s="74">
        <f>' 2024'!J34</f>
        <v>2484</v>
      </c>
      <c r="AB27" s="74">
        <f>' 2024'!P34</f>
        <v>2719.98</v>
      </c>
      <c r="AC27" s="74">
        <f>' 2024'!K34</f>
        <v>0</v>
      </c>
      <c r="AD27" s="74">
        <f>' 2024'!Q34</f>
        <v>0</v>
      </c>
    </row>
    <row r="28" spans="1:30">
      <c r="A28">
        <f t="shared" si="14"/>
        <v>22</v>
      </c>
      <c r="B28" s="85" t="str">
        <f>' 2024'!B35</f>
        <v>Золотухинский район</v>
      </c>
      <c r="C28" s="92" t="str">
        <f t="shared" si="15"/>
        <v>Код района</v>
      </c>
      <c r="D28" s="66" t="str">
        <f>' 2024'!C35</f>
        <v>Свободинский сельсовет</v>
      </c>
      <c r="E28" s="92" t="str">
        <f t="shared" si="10"/>
        <v>Код сельсовета</v>
      </c>
      <c r="F28" s="89" t="str">
        <f>' 2024'!D35</f>
        <v xml:space="preserve">ООО "СЭМЗ" (Свободинский электромеханический завод) </v>
      </c>
      <c r="G28" s="91">
        <f>' 2024'!E35</f>
        <v>4607000231</v>
      </c>
      <c r="H28" s="48" t="e">
        <f t="shared" si="16"/>
        <v>#REF!</v>
      </c>
      <c r="I28" s="48" t="e">
        <f t="shared" si="17"/>
        <v>#REF!</v>
      </c>
      <c r="J28" s="48" t="e">
        <f t="shared" si="18"/>
        <v>#REF!</v>
      </c>
      <c r="K28" s="49" t="e">
        <f t="shared" si="19"/>
        <v>#REF!</v>
      </c>
      <c r="L28" s="86" t="e">
        <f>' 2024'!#REF!+' 2024'!#REF!</f>
        <v>#REF!</v>
      </c>
      <c r="M28" s="71" t="e">
        <f>' 2024'!#REF!+' 2024'!#REF!</f>
        <v>#REF!</v>
      </c>
      <c r="N28" s="67" t="e">
        <f t="shared" si="20"/>
        <v>#REF!</v>
      </c>
      <c r="O28" s="68" t="e">
        <f t="shared" si="21"/>
        <v>#REF!</v>
      </c>
      <c r="P28" s="69" t="e">
        <f t="shared" si="22"/>
        <v>#REF!</v>
      </c>
      <c r="Q28" s="70" t="e">
        <f t="shared" si="23"/>
        <v>#REF!</v>
      </c>
      <c r="R28" s="70" t="e">
        <f t="shared" si="24"/>
        <v>#REF!</v>
      </c>
      <c r="S28" s="71" t="e">
        <f>' 2024'!#REF!</f>
        <v>#REF!</v>
      </c>
      <c r="T28" s="71" t="e">
        <f>' 2024'!#REF!</f>
        <v>#REF!</v>
      </c>
      <c r="U28" s="72" t="e">
        <f>' 2024'!#REF!</f>
        <v>#REF!</v>
      </c>
      <c r="V28" s="72" t="e">
        <f>' 2024'!#REF!</f>
        <v>#REF!</v>
      </c>
      <c r="W28" s="73">
        <f>' 2024'!H35</f>
        <v>2965.5</v>
      </c>
      <c r="X28" s="74">
        <f>' 2024'!N35</f>
        <v>3337.3</v>
      </c>
      <c r="Y28" s="217">
        <v>0</v>
      </c>
      <c r="Z28" s="217">
        <v>0</v>
      </c>
      <c r="AA28" s="74">
        <f>' 2024'!J35</f>
        <v>2965.5</v>
      </c>
      <c r="AB28" s="74">
        <f>' 2024'!P35</f>
        <v>3337.3</v>
      </c>
      <c r="AC28" s="74">
        <f>' 2024'!K35</f>
        <v>0</v>
      </c>
      <c r="AD28" s="74">
        <f>' 2024'!Q35</f>
        <v>0</v>
      </c>
    </row>
    <row r="29" spans="1:30">
      <c r="A29">
        <f t="shared" si="14"/>
        <v>23</v>
      </c>
      <c r="B29" s="85" t="str">
        <f>' 2024'!B36</f>
        <v>Золотухинский район</v>
      </c>
      <c r="C29" s="92" t="str">
        <f t="shared" si="15"/>
        <v>Код района</v>
      </c>
      <c r="D29" s="66" t="str">
        <f>' 2024'!C36</f>
        <v>Свободинский сельсовет</v>
      </c>
      <c r="E29" s="92" t="str">
        <f t="shared" si="10"/>
        <v>Код сельсовета</v>
      </c>
      <c r="F29" s="89" t="str">
        <f>' 2024'!D36</f>
        <v xml:space="preserve">ГУПКО "Курскоблжилкомхоз" </v>
      </c>
      <c r="G29" s="91">
        <f>' 2024'!E36</f>
        <v>4632024035</v>
      </c>
      <c r="H29" s="48" t="e">
        <f t="shared" si="16"/>
        <v>#REF!</v>
      </c>
      <c r="I29" s="48" t="e">
        <f t="shared" si="17"/>
        <v>#REF!</v>
      </c>
      <c r="J29" s="48" t="e">
        <f t="shared" si="18"/>
        <v>#REF!</v>
      </c>
      <c r="K29" s="49" t="e">
        <f t="shared" si="19"/>
        <v>#REF!</v>
      </c>
      <c r="L29" s="86" t="e">
        <f>' 2024'!#REF!+' 2024'!#REF!</f>
        <v>#REF!</v>
      </c>
      <c r="M29" s="71" t="e">
        <f>' 2024'!#REF!+' 2024'!#REF!</f>
        <v>#REF!</v>
      </c>
      <c r="N29" s="67" t="e">
        <f t="shared" si="20"/>
        <v>#REF!</v>
      </c>
      <c r="O29" s="68" t="e">
        <f t="shared" si="21"/>
        <v>#REF!</v>
      </c>
      <c r="P29" s="69" t="e">
        <f t="shared" si="22"/>
        <v>#REF!</v>
      </c>
      <c r="Q29" s="70" t="e">
        <f t="shared" si="23"/>
        <v>#REF!</v>
      </c>
      <c r="R29" s="70" t="e">
        <f t="shared" si="24"/>
        <v>#REF!</v>
      </c>
      <c r="S29" s="71" t="e">
        <f>' 2024'!#REF!</f>
        <v>#REF!</v>
      </c>
      <c r="T29" s="71" t="e">
        <f>' 2024'!#REF!</f>
        <v>#REF!</v>
      </c>
      <c r="U29" s="72" t="e">
        <f>' 2024'!#REF!</f>
        <v>#REF!</v>
      </c>
      <c r="V29" s="72" t="e">
        <f>' 2024'!#REF!</f>
        <v>#REF!</v>
      </c>
      <c r="W29" s="73">
        <f>' 2024'!H36</f>
        <v>3314.9639999999995</v>
      </c>
      <c r="X29" s="74">
        <f>' 2024'!N36</f>
        <v>3758.5679999999998</v>
      </c>
      <c r="Y29" s="217">
        <v>0</v>
      </c>
      <c r="Z29" s="217">
        <v>0</v>
      </c>
      <c r="AA29" s="74">
        <f>' 2024'!J36</f>
        <v>2950.21</v>
      </c>
      <c r="AB29" s="74">
        <f>' 2024'!P36</f>
        <v>2979.71</v>
      </c>
      <c r="AC29" s="74">
        <f>' 2024'!K36</f>
        <v>0</v>
      </c>
      <c r="AD29" s="74">
        <f>' 2024'!Q36</f>
        <v>0</v>
      </c>
    </row>
    <row r="30" spans="1:30">
      <c r="A30">
        <f t="shared" si="14"/>
        <v>24</v>
      </c>
      <c r="B30" s="85" t="str">
        <f>' 2024'!B37</f>
        <v>Золотухинский район</v>
      </c>
      <c r="C30" s="92" t="str">
        <f t="shared" si="15"/>
        <v>Код района</v>
      </c>
      <c r="D30" s="66" t="str">
        <f>' 2024'!C37</f>
        <v>Солнечный сельсовет</v>
      </c>
      <c r="E30" s="92" t="str">
        <f t="shared" si="10"/>
        <v>Код сельсовета</v>
      </c>
      <c r="F30" s="89" t="str">
        <f>' 2024'!D37</f>
        <v xml:space="preserve">ГУПКО "Курскоблжилкомхоз" </v>
      </c>
      <c r="G30" s="91">
        <f>' 2024'!E37</f>
        <v>4632024035</v>
      </c>
      <c r="H30" s="48" t="e">
        <f t="shared" si="16"/>
        <v>#REF!</v>
      </c>
      <c r="I30" s="48" t="e">
        <f t="shared" si="17"/>
        <v>#REF!</v>
      </c>
      <c r="J30" s="48" t="e">
        <f t="shared" si="18"/>
        <v>#REF!</v>
      </c>
      <c r="K30" s="49" t="e">
        <f t="shared" si="19"/>
        <v>#REF!</v>
      </c>
      <c r="L30" s="86" t="e">
        <f>' 2024'!#REF!+' 2024'!#REF!</f>
        <v>#REF!</v>
      </c>
      <c r="M30" s="71" t="e">
        <f>' 2024'!#REF!+' 2024'!#REF!</f>
        <v>#REF!</v>
      </c>
      <c r="N30" s="67" t="e">
        <f t="shared" si="20"/>
        <v>#REF!</v>
      </c>
      <c r="O30" s="68" t="e">
        <f t="shared" si="21"/>
        <v>#REF!</v>
      </c>
      <c r="P30" s="69" t="e">
        <f t="shared" si="22"/>
        <v>#REF!</v>
      </c>
      <c r="Q30" s="70" t="e">
        <f t="shared" si="23"/>
        <v>#REF!</v>
      </c>
      <c r="R30" s="70" t="e">
        <f t="shared" si="24"/>
        <v>#REF!</v>
      </c>
      <c r="S30" s="71" t="e">
        <f>' 2024'!#REF!</f>
        <v>#REF!</v>
      </c>
      <c r="T30" s="71" t="e">
        <f>' 2024'!#REF!</f>
        <v>#REF!</v>
      </c>
      <c r="U30" s="72" t="e">
        <f>' 2024'!#REF!</f>
        <v>#REF!</v>
      </c>
      <c r="V30" s="72" t="e">
        <f>' 2024'!#REF!</f>
        <v>#REF!</v>
      </c>
      <c r="W30" s="73">
        <f>' 2024'!H37</f>
        <v>3314.9639999999995</v>
      </c>
      <c r="X30" s="74">
        <f>' 2024'!N37</f>
        <v>3758.5679999999998</v>
      </c>
      <c r="Y30" s="217">
        <v>0</v>
      </c>
      <c r="Z30" s="217">
        <v>0</v>
      </c>
      <c r="AA30" s="74">
        <f>' 2024'!J37</f>
        <v>2950.21</v>
      </c>
      <c r="AB30" s="74">
        <f>' 2024'!P37</f>
        <v>2979.71</v>
      </c>
      <c r="AC30" s="74">
        <f>' 2024'!K37</f>
        <v>0</v>
      </c>
      <c r="AD30" s="74">
        <f>' 2024'!Q37</f>
        <v>0</v>
      </c>
    </row>
    <row r="31" spans="1:30">
      <c r="A31">
        <f t="shared" si="14"/>
        <v>25</v>
      </c>
      <c r="B31" s="85" t="str">
        <f>' 2024'!B38</f>
        <v>Золотухинский район</v>
      </c>
      <c r="C31" s="92" t="str">
        <f t="shared" si="15"/>
        <v>Код района</v>
      </c>
      <c r="D31" s="66" t="str">
        <f>' 2024'!C38</f>
        <v>Будановский сельсовет</v>
      </c>
      <c r="E31" s="92" t="str">
        <f t="shared" si="10"/>
        <v>Код сельсовета</v>
      </c>
      <c r="F31" s="89" t="str">
        <f>' 2024'!D38</f>
        <v xml:space="preserve">ГУПКО "Курскоблжилкомхоз" </v>
      </c>
      <c r="G31" s="91">
        <f>' 2024'!E38</f>
        <v>4632024035</v>
      </c>
      <c r="H31" s="48" t="e">
        <f t="shared" si="16"/>
        <v>#REF!</v>
      </c>
      <c r="I31" s="48" t="e">
        <f t="shared" si="17"/>
        <v>#REF!</v>
      </c>
      <c r="J31" s="48" t="e">
        <f t="shared" si="18"/>
        <v>#REF!</v>
      </c>
      <c r="K31" s="49" t="e">
        <f t="shared" si="19"/>
        <v>#REF!</v>
      </c>
      <c r="L31" s="86" t="e">
        <f>' 2024'!#REF!+' 2024'!#REF!</f>
        <v>#REF!</v>
      </c>
      <c r="M31" s="71" t="e">
        <f>' 2024'!#REF!+' 2024'!#REF!</f>
        <v>#REF!</v>
      </c>
      <c r="N31" s="67" t="e">
        <f t="shared" si="20"/>
        <v>#REF!</v>
      </c>
      <c r="O31" s="68" t="e">
        <f t="shared" si="21"/>
        <v>#REF!</v>
      </c>
      <c r="P31" s="69" t="e">
        <f t="shared" si="22"/>
        <v>#REF!</v>
      </c>
      <c r="Q31" s="70" t="e">
        <f t="shared" si="23"/>
        <v>#REF!</v>
      </c>
      <c r="R31" s="70" t="e">
        <f t="shared" si="24"/>
        <v>#REF!</v>
      </c>
      <c r="S31" s="71" t="e">
        <f>' 2024'!#REF!</f>
        <v>#REF!</v>
      </c>
      <c r="T31" s="71" t="e">
        <f>' 2024'!#REF!</f>
        <v>#REF!</v>
      </c>
      <c r="U31" s="72" t="e">
        <f>' 2024'!#REF!</f>
        <v>#REF!</v>
      </c>
      <c r="V31" s="72" t="e">
        <f>' 2024'!#REF!</f>
        <v>#REF!</v>
      </c>
      <c r="W31" s="73">
        <f>' 2024'!H38</f>
        <v>3314.9639999999995</v>
      </c>
      <c r="X31" s="74">
        <f>' 2024'!N38</f>
        <v>3758.5679999999998</v>
      </c>
      <c r="Y31" s="217">
        <v>0</v>
      </c>
      <c r="Z31" s="217">
        <v>0</v>
      </c>
      <c r="AA31" s="74">
        <f>' 2024'!J38</f>
        <v>0</v>
      </c>
      <c r="AB31" s="74">
        <f>' 2024'!P38</f>
        <v>0</v>
      </c>
      <c r="AC31" s="74">
        <f>' 2024'!K38</f>
        <v>0</v>
      </c>
      <c r="AD31" s="74">
        <f>' 2024'!Q38</f>
        <v>0</v>
      </c>
    </row>
    <row r="32" spans="1:30">
      <c r="A32">
        <f t="shared" si="14"/>
        <v>26</v>
      </c>
      <c r="B32" s="85" t="str">
        <f>' 2024'!B39</f>
        <v>Касторенский район</v>
      </c>
      <c r="C32" s="92" t="str">
        <f t="shared" si="15"/>
        <v>Код района</v>
      </c>
      <c r="D32" s="66" t="str">
        <f>' 2024'!C39</f>
        <v>п.Касторное</v>
      </c>
      <c r="E32" s="92" t="str">
        <f t="shared" si="10"/>
        <v>Код сельсовета</v>
      </c>
      <c r="F32" s="89" t="str">
        <f>' 2024'!D39</f>
        <v xml:space="preserve">ГУПКО "Курскоблжилкомхоз" </v>
      </c>
      <c r="G32" s="91">
        <f>' 2024'!E39</f>
        <v>4632024035</v>
      </c>
      <c r="H32" s="48" t="e">
        <f t="shared" si="16"/>
        <v>#REF!</v>
      </c>
      <c r="I32" s="48" t="e">
        <f t="shared" si="17"/>
        <v>#REF!</v>
      </c>
      <c r="J32" s="48" t="e">
        <f t="shared" si="18"/>
        <v>#REF!</v>
      </c>
      <c r="K32" s="49" t="e">
        <f t="shared" si="19"/>
        <v>#REF!</v>
      </c>
      <c r="L32" s="86" t="e">
        <f>' 2024'!#REF!+' 2024'!#REF!</f>
        <v>#REF!</v>
      </c>
      <c r="M32" s="71" t="e">
        <f>' 2024'!#REF!+' 2024'!#REF!</f>
        <v>#REF!</v>
      </c>
      <c r="N32" s="67" t="e">
        <f t="shared" si="20"/>
        <v>#REF!</v>
      </c>
      <c r="O32" s="68" t="e">
        <f t="shared" si="21"/>
        <v>#REF!</v>
      </c>
      <c r="P32" s="69" t="e">
        <f t="shared" si="22"/>
        <v>#REF!</v>
      </c>
      <c r="Q32" s="70" t="e">
        <f t="shared" si="23"/>
        <v>#REF!</v>
      </c>
      <c r="R32" s="70" t="e">
        <f t="shared" si="24"/>
        <v>#REF!</v>
      </c>
      <c r="S32" s="71" t="e">
        <f>' 2024'!#REF!</f>
        <v>#REF!</v>
      </c>
      <c r="T32" s="71" t="e">
        <f>' 2024'!#REF!</f>
        <v>#REF!</v>
      </c>
      <c r="U32" s="72" t="e">
        <f>' 2024'!#REF!</f>
        <v>#REF!</v>
      </c>
      <c r="V32" s="72" t="e">
        <f>' 2024'!#REF!</f>
        <v>#REF!</v>
      </c>
      <c r="W32" s="73">
        <f>' 2024'!H39</f>
        <v>3314.9639999999995</v>
      </c>
      <c r="X32" s="74">
        <f>' 2024'!N39</f>
        <v>3758.5679999999998</v>
      </c>
      <c r="Y32" s="217">
        <v>0</v>
      </c>
      <c r="Z32" s="217">
        <v>0</v>
      </c>
      <c r="AA32" s="74">
        <f>' 2024'!J39</f>
        <v>2484</v>
      </c>
      <c r="AB32" s="74">
        <f>' 2024'!P39</f>
        <v>2719.98</v>
      </c>
      <c r="AC32" s="74">
        <f>' 2024'!K39</f>
        <v>0</v>
      </c>
      <c r="AD32" s="74">
        <f>' 2024'!Q39</f>
        <v>0</v>
      </c>
    </row>
    <row r="33" spans="1:30">
      <c r="A33">
        <f t="shared" si="14"/>
        <v>27</v>
      </c>
      <c r="B33" s="85" t="str">
        <f>' 2024'!B40</f>
        <v>Касторенский район</v>
      </c>
      <c r="C33" s="92" t="str">
        <f t="shared" si="15"/>
        <v>Код района</v>
      </c>
      <c r="D33" s="66" t="str">
        <f>' 2024'!C40</f>
        <v xml:space="preserve">п. Олымский   </v>
      </c>
      <c r="E33" s="92" t="str">
        <f t="shared" si="10"/>
        <v>Код сельсовета</v>
      </c>
      <c r="F33" s="89" t="str">
        <f>' 2024'!D40</f>
        <v xml:space="preserve">ГУПКО "Курскоблжилкомхоз"             </v>
      </c>
      <c r="G33" s="91">
        <f>' 2024'!E40</f>
        <v>4632024035</v>
      </c>
      <c r="H33" s="48" t="e">
        <f t="shared" si="16"/>
        <v>#REF!</v>
      </c>
      <c r="I33" s="48" t="e">
        <f t="shared" si="17"/>
        <v>#REF!</v>
      </c>
      <c r="J33" s="48" t="e">
        <f t="shared" si="18"/>
        <v>#REF!</v>
      </c>
      <c r="K33" s="49" t="e">
        <f t="shared" si="19"/>
        <v>#REF!</v>
      </c>
      <c r="L33" s="86" t="e">
        <f>' 2024'!#REF!+' 2024'!#REF!</f>
        <v>#REF!</v>
      </c>
      <c r="M33" s="71" t="e">
        <f>' 2024'!#REF!+' 2024'!#REF!</f>
        <v>#REF!</v>
      </c>
      <c r="N33" s="67" t="e">
        <f t="shared" si="20"/>
        <v>#REF!</v>
      </c>
      <c r="O33" s="68" t="e">
        <f t="shared" si="21"/>
        <v>#REF!</v>
      </c>
      <c r="P33" s="69" t="e">
        <f t="shared" si="22"/>
        <v>#REF!</v>
      </c>
      <c r="Q33" s="70" t="e">
        <f t="shared" si="23"/>
        <v>#REF!</v>
      </c>
      <c r="R33" s="70" t="e">
        <f t="shared" si="24"/>
        <v>#REF!</v>
      </c>
      <c r="S33" s="71" t="e">
        <f>' 2024'!#REF!</f>
        <v>#REF!</v>
      </c>
      <c r="T33" s="71" t="e">
        <f>' 2024'!#REF!</f>
        <v>#REF!</v>
      </c>
      <c r="U33" s="72" t="e">
        <f>' 2024'!#REF!</f>
        <v>#REF!</v>
      </c>
      <c r="V33" s="72" t="e">
        <f>' 2024'!#REF!</f>
        <v>#REF!</v>
      </c>
      <c r="W33" s="73">
        <f>' 2024'!H40</f>
        <v>3314.9639999999995</v>
      </c>
      <c r="X33" s="74">
        <f>' 2024'!N40</f>
        <v>3758.5679999999998</v>
      </c>
      <c r="Y33" s="217">
        <v>0</v>
      </c>
      <c r="Z33" s="217">
        <v>0</v>
      </c>
      <c r="AA33" s="74">
        <f>' 2024'!J40</f>
        <v>2950.21</v>
      </c>
      <c r="AB33" s="74">
        <f>' 2024'!P40</f>
        <v>2979.71</v>
      </c>
      <c r="AC33" s="74">
        <f>' 2024'!K40</f>
        <v>0</v>
      </c>
      <c r="AD33" s="74">
        <f>' 2024'!Q40</f>
        <v>0</v>
      </c>
    </row>
    <row r="34" spans="1:30">
      <c r="A34">
        <f t="shared" si="14"/>
        <v>28</v>
      </c>
      <c r="B34" s="85" t="str">
        <f>' 2024'!B41</f>
        <v>Касторенский район</v>
      </c>
      <c r="C34" s="92" t="str">
        <f t="shared" si="15"/>
        <v>Код района</v>
      </c>
      <c r="D34" s="66" t="str">
        <f>' 2024'!C41</f>
        <v>Лачиновский сельсовет</v>
      </c>
      <c r="E34" s="92" t="str">
        <f t="shared" si="10"/>
        <v>Код сельсовета</v>
      </c>
      <c r="F34" s="89" t="str">
        <f>' 2024'!D41</f>
        <v xml:space="preserve">ГУПКО "Курскоблжилкомхоз"                 </v>
      </c>
      <c r="G34" s="91">
        <f>' 2024'!E41</f>
        <v>4632024035</v>
      </c>
      <c r="H34" s="48" t="e">
        <f t="shared" si="16"/>
        <v>#REF!</v>
      </c>
      <c r="I34" s="48" t="e">
        <f t="shared" si="17"/>
        <v>#REF!</v>
      </c>
      <c r="J34" s="48" t="e">
        <f t="shared" si="18"/>
        <v>#REF!</v>
      </c>
      <c r="K34" s="49" t="e">
        <f t="shared" si="19"/>
        <v>#REF!</v>
      </c>
      <c r="L34" s="86" t="e">
        <f>' 2024'!#REF!+' 2024'!#REF!</f>
        <v>#REF!</v>
      </c>
      <c r="M34" s="71" t="e">
        <f>' 2024'!#REF!+' 2024'!#REF!</f>
        <v>#REF!</v>
      </c>
      <c r="N34" s="67" t="e">
        <f t="shared" si="20"/>
        <v>#REF!</v>
      </c>
      <c r="O34" s="68" t="e">
        <f t="shared" si="21"/>
        <v>#REF!</v>
      </c>
      <c r="P34" s="69" t="e">
        <f t="shared" si="22"/>
        <v>#REF!</v>
      </c>
      <c r="Q34" s="70" t="e">
        <f t="shared" si="23"/>
        <v>#REF!</v>
      </c>
      <c r="R34" s="70" t="e">
        <f t="shared" si="24"/>
        <v>#REF!</v>
      </c>
      <c r="S34" s="71" t="e">
        <f>' 2024'!#REF!</f>
        <v>#REF!</v>
      </c>
      <c r="T34" s="71" t="e">
        <f>' 2024'!#REF!</f>
        <v>#REF!</v>
      </c>
      <c r="U34" s="72" t="e">
        <f>' 2024'!#REF!</f>
        <v>#REF!</v>
      </c>
      <c r="V34" s="72" t="e">
        <f>' 2024'!#REF!</f>
        <v>#REF!</v>
      </c>
      <c r="W34" s="73">
        <f>' 2024'!H41</f>
        <v>3314.9639999999995</v>
      </c>
      <c r="X34" s="74">
        <f>' 2024'!N41</f>
        <v>3758.5679999999998</v>
      </c>
      <c r="Y34" s="217">
        <v>0</v>
      </c>
      <c r="Z34" s="217">
        <v>0</v>
      </c>
      <c r="AA34" s="74">
        <f>' 2024'!J41</f>
        <v>0</v>
      </c>
      <c r="AB34" s="74">
        <f>' 2024'!P41</f>
        <v>0</v>
      </c>
      <c r="AC34" s="74">
        <f>' 2024'!K41</f>
        <v>0</v>
      </c>
      <c r="AD34" s="74">
        <f>' 2024'!Q41</f>
        <v>0</v>
      </c>
    </row>
    <row r="35" spans="1:30">
      <c r="A35">
        <f t="shared" si="14"/>
        <v>29</v>
      </c>
      <c r="B35" s="85" t="str">
        <f>' 2024'!B42</f>
        <v>Касторенский район</v>
      </c>
      <c r="C35" s="92" t="str">
        <f t="shared" si="15"/>
        <v>Код района</v>
      </c>
      <c r="D35" s="66" t="str">
        <f>' 2024'!C42</f>
        <v>п. Новокасторное</v>
      </c>
      <c r="E35" s="92" t="str">
        <f t="shared" si="10"/>
        <v>Код сельсовета</v>
      </c>
      <c r="F35" s="89" t="str">
        <f>' 2024'!D42</f>
        <v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v>
      </c>
      <c r="G35" s="91">
        <f>' 2024'!E42</f>
        <v>7708503727</v>
      </c>
      <c r="H35" s="48" t="e">
        <f t="shared" si="16"/>
        <v>#REF!</v>
      </c>
      <c r="I35" s="48" t="e">
        <f t="shared" si="17"/>
        <v>#REF!</v>
      </c>
      <c r="J35" s="48" t="e">
        <f t="shared" si="18"/>
        <v>#REF!</v>
      </c>
      <c r="K35" s="49" t="e">
        <f t="shared" si="19"/>
        <v>#REF!</v>
      </c>
      <c r="L35" s="86" t="e">
        <f>' 2024'!#REF!+' 2024'!#REF!</f>
        <v>#REF!</v>
      </c>
      <c r="M35" s="71" t="e">
        <f>' 2024'!#REF!+' 2024'!#REF!</f>
        <v>#REF!</v>
      </c>
      <c r="N35" s="67" t="e">
        <f t="shared" si="20"/>
        <v>#REF!</v>
      </c>
      <c r="O35" s="68" t="e">
        <f t="shared" si="21"/>
        <v>#REF!</v>
      </c>
      <c r="P35" s="69" t="e">
        <f t="shared" si="22"/>
        <v>#REF!</v>
      </c>
      <c r="Q35" s="70" t="e">
        <f t="shared" si="23"/>
        <v>#REF!</v>
      </c>
      <c r="R35" s="70" t="e">
        <f t="shared" si="24"/>
        <v>#REF!</v>
      </c>
      <c r="S35" s="71" t="e">
        <f>' 2024'!#REF!</f>
        <v>#REF!</v>
      </c>
      <c r="T35" s="71" t="e">
        <f>' 2024'!#REF!</f>
        <v>#REF!</v>
      </c>
      <c r="U35" s="72" t="e">
        <f>' 2024'!#REF!</f>
        <v>#REF!</v>
      </c>
      <c r="V35" s="72" t="e">
        <f>' 2024'!#REF!</f>
        <v>#REF!</v>
      </c>
      <c r="W35" s="73">
        <f>' 2024'!H42</f>
        <v>3009.7679999999996</v>
      </c>
      <c r="X35" s="74">
        <f>' 2024'!N42</f>
        <v>3009.7679999999996</v>
      </c>
      <c r="Y35" s="217">
        <v>0</v>
      </c>
      <c r="Z35" s="217">
        <v>0</v>
      </c>
      <c r="AA35" s="74">
        <f>' 2024'!J42</f>
        <v>0</v>
      </c>
      <c r="AB35" s="74">
        <f>' 2024'!P42</f>
        <v>0</v>
      </c>
      <c r="AC35" s="74">
        <f>' 2024'!K42</f>
        <v>0</v>
      </c>
      <c r="AD35" s="74">
        <f>' 2024'!Q42</f>
        <v>0</v>
      </c>
    </row>
    <row r="36" spans="1:30">
      <c r="A36">
        <f t="shared" si="14"/>
        <v>30</v>
      </c>
      <c r="B36" s="85" t="str">
        <f>' 2024'!B43</f>
        <v>Конышевский район</v>
      </c>
      <c r="C36" s="92" t="str">
        <f t="shared" si="15"/>
        <v>Код района</v>
      </c>
      <c r="D36" s="66" t="str">
        <f>' 2024'!C43</f>
        <v>п.Конышевка</v>
      </c>
      <c r="E36" s="92" t="str">
        <f t="shared" si="10"/>
        <v>Код сельсовета</v>
      </c>
      <c r="F36" s="89" t="str">
        <f>' 2024'!D43</f>
        <v>ГУПКО "Курскоблжилкомхоз"</v>
      </c>
      <c r="G36" s="91">
        <f>' 2024'!E43</f>
        <v>4632024035</v>
      </c>
      <c r="H36" s="48" t="e">
        <f t="shared" si="16"/>
        <v>#REF!</v>
      </c>
      <c r="I36" s="48" t="e">
        <f t="shared" si="17"/>
        <v>#REF!</v>
      </c>
      <c r="J36" s="48" t="e">
        <f t="shared" si="18"/>
        <v>#REF!</v>
      </c>
      <c r="K36" s="49" t="e">
        <f t="shared" si="19"/>
        <v>#REF!</v>
      </c>
      <c r="L36" s="86" t="e">
        <f>' 2024'!#REF!+' 2024'!#REF!</f>
        <v>#REF!</v>
      </c>
      <c r="M36" s="71" t="e">
        <f>' 2024'!#REF!+' 2024'!#REF!</f>
        <v>#REF!</v>
      </c>
      <c r="N36" s="67" t="e">
        <f t="shared" si="20"/>
        <v>#REF!</v>
      </c>
      <c r="O36" s="68" t="e">
        <f t="shared" si="21"/>
        <v>#REF!</v>
      </c>
      <c r="P36" s="69" t="e">
        <f t="shared" si="22"/>
        <v>#REF!</v>
      </c>
      <c r="Q36" s="70" t="e">
        <f t="shared" si="23"/>
        <v>#REF!</v>
      </c>
      <c r="R36" s="70" t="e">
        <f t="shared" si="24"/>
        <v>#REF!</v>
      </c>
      <c r="S36" s="71" t="e">
        <f>' 2024'!#REF!</f>
        <v>#REF!</v>
      </c>
      <c r="T36" s="71" t="e">
        <f>' 2024'!#REF!</f>
        <v>#REF!</v>
      </c>
      <c r="U36" s="72" t="e">
        <f>' 2024'!#REF!</f>
        <v>#REF!</v>
      </c>
      <c r="V36" s="72" t="e">
        <f>' 2024'!#REF!</f>
        <v>#REF!</v>
      </c>
      <c r="W36" s="73">
        <f>' 2024'!H43</f>
        <v>3314.9639999999995</v>
      </c>
      <c r="X36" s="74">
        <f>' 2024'!N43</f>
        <v>3758.5679999999998</v>
      </c>
      <c r="Y36" s="217">
        <v>0</v>
      </c>
      <c r="Z36" s="217">
        <v>0</v>
      </c>
      <c r="AA36" s="74">
        <f>' 2024'!J43</f>
        <v>2484</v>
      </c>
      <c r="AB36" s="74">
        <f>' 2024'!P43</f>
        <v>2719.98</v>
      </c>
      <c r="AC36" s="74">
        <f>' 2024'!K43</f>
        <v>0</v>
      </c>
      <c r="AD36" s="74">
        <f>' 2024'!Q43</f>
        <v>0</v>
      </c>
    </row>
    <row r="37" spans="1:30" s="79" customFormat="1">
      <c r="A37">
        <f t="shared" si="14"/>
        <v>31</v>
      </c>
      <c r="B37" s="85" t="str">
        <f>' 2024'!B44</f>
        <v>Курский район</v>
      </c>
      <c r="C37" s="92" t="str">
        <f t="shared" si="15"/>
        <v>Код района</v>
      </c>
      <c r="D37" s="66" t="str">
        <f>' 2024'!C44</f>
        <v>Клюквинский сельсовет</v>
      </c>
      <c r="E37" s="92" t="str">
        <f t="shared" si="10"/>
        <v>Код сельсовета</v>
      </c>
      <c r="F37" s="89" t="str">
        <f>' 2024'!D44</f>
        <v xml:space="preserve">АО "ГАЗСПЕЦРЕСУРС" 
</v>
      </c>
      <c r="G37" s="91">
        <f>' 2024'!E44</f>
        <v>4611016308</v>
      </c>
      <c r="H37" s="48" t="e">
        <f t="shared" si="16"/>
        <v>#REF!</v>
      </c>
      <c r="I37" s="48" t="e">
        <f t="shared" si="17"/>
        <v>#REF!</v>
      </c>
      <c r="J37" s="48" t="e">
        <f t="shared" si="18"/>
        <v>#REF!</v>
      </c>
      <c r="K37" s="49" t="e">
        <f t="shared" si="19"/>
        <v>#REF!</v>
      </c>
      <c r="L37" s="86" t="e">
        <f>' 2024'!#REF!+' 2024'!#REF!</f>
        <v>#REF!</v>
      </c>
      <c r="M37" s="71" t="e">
        <f>' 2024'!#REF!+' 2024'!#REF!</f>
        <v>#REF!</v>
      </c>
      <c r="N37" s="67" t="e">
        <f t="shared" si="20"/>
        <v>#REF!</v>
      </c>
      <c r="O37" s="68" t="e">
        <f t="shared" si="21"/>
        <v>#REF!</v>
      </c>
      <c r="P37" s="69" t="e">
        <f t="shared" si="22"/>
        <v>#REF!</v>
      </c>
      <c r="Q37" s="70" t="e">
        <f t="shared" si="23"/>
        <v>#REF!</v>
      </c>
      <c r="R37" s="70" t="e">
        <f t="shared" si="24"/>
        <v>#REF!</v>
      </c>
      <c r="S37" s="71" t="e">
        <f>' 2024'!#REF!</f>
        <v>#REF!</v>
      </c>
      <c r="T37" s="71" t="e">
        <f>' 2024'!#REF!</f>
        <v>#REF!</v>
      </c>
      <c r="U37" s="72" t="e">
        <f>' 2024'!#REF!</f>
        <v>#REF!</v>
      </c>
      <c r="V37" s="72" t="e">
        <f>' 2024'!#REF!</f>
        <v>#REF!</v>
      </c>
      <c r="W37" s="73">
        <f>' 2024'!H44</f>
        <v>2954.172</v>
      </c>
      <c r="X37" s="74">
        <f>' 2024'!N44</f>
        <v>3199.248</v>
      </c>
      <c r="Y37" s="217">
        <v>0</v>
      </c>
      <c r="Z37" s="217">
        <v>0</v>
      </c>
      <c r="AA37" s="74">
        <f>' 2024'!J44</f>
        <v>1858.8959999999997</v>
      </c>
      <c r="AB37" s="74">
        <f>' 2024'!P44</f>
        <v>2126.58</v>
      </c>
      <c r="AC37" s="74">
        <f>' 2024'!K44</f>
        <v>1858.8959999999997</v>
      </c>
      <c r="AD37" s="74">
        <f>' 2024'!Q44</f>
        <v>2126.58</v>
      </c>
    </row>
    <row r="38" spans="1:30">
      <c r="A38">
        <f t="shared" si="14"/>
        <v>32</v>
      </c>
      <c r="B38" s="85" t="str">
        <f>' 2024'!B45</f>
        <v>Курский район</v>
      </c>
      <c r="C38" s="92" t="str">
        <f t="shared" si="15"/>
        <v>Код района</v>
      </c>
      <c r="D38" s="66" t="str">
        <f>' 2024'!C45</f>
        <v>Клюквинский сельсовет</v>
      </c>
      <c r="E38" s="92" t="str">
        <f t="shared" si="10"/>
        <v>Код сельсовета</v>
      </c>
      <c r="F38" s="89" t="str">
        <f>' 2024'!D45</f>
        <v>АО"Квадра" (филиал "Курская генерация")</v>
      </c>
      <c r="G38" s="91">
        <f>' 2024'!E45</f>
        <v>6829012680</v>
      </c>
      <c r="H38" s="48" t="e">
        <f t="shared" si="16"/>
        <v>#REF!</v>
      </c>
      <c r="I38" s="48" t="e">
        <f t="shared" si="17"/>
        <v>#REF!</v>
      </c>
      <c r="J38" s="48" t="e">
        <f t="shared" si="18"/>
        <v>#REF!</v>
      </c>
      <c r="K38" s="49" t="e">
        <f t="shared" si="19"/>
        <v>#REF!</v>
      </c>
      <c r="L38" s="86" t="e">
        <f>' 2024'!#REF!+' 2024'!#REF!</f>
        <v>#REF!</v>
      </c>
      <c r="M38" s="71" t="e">
        <f>' 2024'!#REF!+' 2024'!#REF!</f>
        <v>#REF!</v>
      </c>
      <c r="N38" s="67" t="e">
        <f t="shared" si="20"/>
        <v>#REF!</v>
      </c>
      <c r="O38" s="68" t="e">
        <f t="shared" si="21"/>
        <v>#REF!</v>
      </c>
      <c r="P38" s="69" t="e">
        <f t="shared" si="22"/>
        <v>#REF!</v>
      </c>
      <c r="Q38" s="70" t="e">
        <f t="shared" si="23"/>
        <v>#REF!</v>
      </c>
      <c r="R38" s="70" t="e">
        <f t="shared" si="24"/>
        <v>#REF!</v>
      </c>
      <c r="S38" s="71" t="e">
        <f>' 2024'!#REF!</f>
        <v>#REF!</v>
      </c>
      <c r="T38" s="71" t="e">
        <f>' 2024'!#REF!</f>
        <v>#REF!</v>
      </c>
      <c r="U38" s="72" t="e">
        <f>' 2024'!#REF!</f>
        <v>#REF!</v>
      </c>
      <c r="V38" s="72" t="e">
        <f>' 2024'!#REF!</f>
        <v>#REF!</v>
      </c>
      <c r="W38" s="73">
        <f>' 2024'!H45</f>
        <v>2326.752</v>
      </c>
      <c r="X38" s="74">
        <f>' 2024'!N45</f>
        <v>2598.9719999999998</v>
      </c>
      <c r="Y38" s="217">
        <v>0</v>
      </c>
      <c r="Z38" s="217">
        <v>0</v>
      </c>
      <c r="AA38" s="74">
        <f>' 2024'!J45</f>
        <v>2231.2199999999998</v>
      </c>
      <c r="AB38" s="74">
        <f>' 2024'!P45</f>
        <v>2403.02</v>
      </c>
      <c r="AC38" s="74">
        <f>' 2024'!K45</f>
        <v>2231.2199999999998</v>
      </c>
      <c r="AD38" s="74">
        <f>' 2024'!Q45</f>
        <v>2403.02</v>
      </c>
    </row>
    <row r="39" spans="1:30">
      <c r="A39">
        <f t="shared" si="14"/>
        <v>33</v>
      </c>
      <c r="B39" s="85" t="str">
        <f>' 2024'!B46</f>
        <v>Курский район</v>
      </c>
      <c r="C39" s="92" t="str">
        <f t="shared" si="15"/>
        <v>Код района</v>
      </c>
      <c r="D39" s="66" t="str">
        <f>' 2024'!C46</f>
        <v>Клюквинский сельсовет</v>
      </c>
      <c r="E39" s="92" t="str">
        <f t="shared" si="10"/>
        <v>Код сельсовета</v>
      </c>
      <c r="F39" s="89" t="str">
        <f>' 2024'!D46</f>
        <v xml:space="preserve">ФГБУ "ЦЖКУ" Минобороны России в/г № 47  п. Сахаровка </v>
      </c>
      <c r="G39" s="91">
        <f>' 2024'!E46</f>
        <v>7729314745</v>
      </c>
      <c r="H39" s="48" t="e">
        <f t="shared" si="16"/>
        <v>#REF!</v>
      </c>
      <c r="I39" s="48" t="e">
        <f t="shared" si="17"/>
        <v>#REF!</v>
      </c>
      <c r="J39" s="48" t="e">
        <f t="shared" si="18"/>
        <v>#REF!</v>
      </c>
      <c r="K39" s="49" t="e">
        <f t="shared" si="19"/>
        <v>#REF!</v>
      </c>
      <c r="L39" s="86" t="e">
        <f>' 2024'!#REF!+' 2024'!#REF!</f>
        <v>#REF!</v>
      </c>
      <c r="M39" s="71" t="e">
        <f>' 2024'!#REF!+' 2024'!#REF!</f>
        <v>#REF!</v>
      </c>
      <c r="N39" s="67" t="e">
        <f t="shared" si="20"/>
        <v>#REF!</v>
      </c>
      <c r="O39" s="68" t="e">
        <f t="shared" si="21"/>
        <v>#REF!</v>
      </c>
      <c r="P39" s="69" t="e">
        <f t="shared" si="22"/>
        <v>#REF!</v>
      </c>
      <c r="Q39" s="70" t="e">
        <f t="shared" si="23"/>
        <v>#REF!</v>
      </c>
      <c r="R39" s="70" t="e">
        <f t="shared" si="24"/>
        <v>#REF!</v>
      </c>
      <c r="S39" s="71" t="e">
        <f>' 2024'!#REF!</f>
        <v>#REF!</v>
      </c>
      <c r="T39" s="71" t="e">
        <f>' 2024'!#REF!</f>
        <v>#REF!</v>
      </c>
      <c r="U39" s="72" t="e">
        <f>' 2024'!#REF!</f>
        <v>#REF!</v>
      </c>
      <c r="V39" s="72" t="e">
        <f>' 2024'!#REF!</f>
        <v>#REF!</v>
      </c>
      <c r="W39" s="73">
        <f>' 2024'!H46</f>
        <v>3272.424</v>
      </c>
      <c r="X39" s="74">
        <f>' 2024'!N46</f>
        <v>3277.2840000000001</v>
      </c>
      <c r="Y39" s="217">
        <v>0</v>
      </c>
      <c r="Z39" s="217">
        <v>0</v>
      </c>
      <c r="AA39" s="74">
        <f>' 2024'!J46</f>
        <v>1180.98</v>
      </c>
      <c r="AB39" s="74">
        <f>' 2024'!P46</f>
        <v>1350.92</v>
      </c>
      <c r="AC39" s="74">
        <f>' 2024'!K46</f>
        <v>0</v>
      </c>
      <c r="AD39" s="74">
        <f>' 2024'!Q46</f>
        <v>0</v>
      </c>
    </row>
    <row r="40" spans="1:30">
      <c r="A40">
        <f t="shared" si="14"/>
        <v>34</v>
      </c>
      <c r="B40" s="85" t="str">
        <f>' 2024'!B46</f>
        <v>Курский район</v>
      </c>
      <c r="C40" s="92" t="str">
        <f t="shared" si="15"/>
        <v>Код района</v>
      </c>
      <c r="D40" s="66" t="str">
        <f>' 2024'!C47</f>
        <v>Клюквинский сельсовет</v>
      </c>
      <c r="E40" s="92" t="str">
        <f t="shared" si="10"/>
        <v>Код сельсовета</v>
      </c>
      <c r="F40" s="89" t="str">
        <f>' 2024'!D47</f>
        <v>ФГБУ "ЦЖКУ" Минобороны России в/г 26 д. Халино</v>
      </c>
      <c r="G40" s="91">
        <f>' 2024'!E47</f>
        <v>7729314745</v>
      </c>
      <c r="H40" s="48" t="e">
        <f t="shared" si="16"/>
        <v>#REF!</v>
      </c>
      <c r="I40" s="48" t="e">
        <f t="shared" si="17"/>
        <v>#REF!</v>
      </c>
      <c r="J40" s="48" t="e">
        <f t="shared" si="18"/>
        <v>#REF!</v>
      </c>
      <c r="K40" s="49" t="e">
        <f t="shared" si="19"/>
        <v>#REF!</v>
      </c>
      <c r="L40" s="86" t="e">
        <f>' 2024'!#REF!+' 2024'!#REF!</f>
        <v>#REF!</v>
      </c>
      <c r="M40" s="71" t="e">
        <f>' 2024'!#REF!+' 2024'!#REF!</f>
        <v>#REF!</v>
      </c>
      <c r="N40" s="67" t="e">
        <f t="shared" si="20"/>
        <v>#REF!</v>
      </c>
      <c r="O40" s="68" t="e">
        <f t="shared" si="21"/>
        <v>#REF!</v>
      </c>
      <c r="P40" s="69" t="e">
        <f t="shared" si="22"/>
        <v>#REF!</v>
      </c>
      <c r="Q40" s="70" t="e">
        <f t="shared" si="23"/>
        <v>#REF!</v>
      </c>
      <c r="R40" s="70" t="e">
        <f t="shared" si="24"/>
        <v>#REF!</v>
      </c>
      <c r="S40" s="71" t="e">
        <f>' 2024'!#REF!</f>
        <v>#REF!</v>
      </c>
      <c r="T40" s="71" t="e">
        <f>' 2024'!#REF!</f>
        <v>#REF!</v>
      </c>
      <c r="U40" s="72" t="e">
        <f>' 2024'!#REF!</f>
        <v>#REF!</v>
      </c>
      <c r="V40" s="72" t="e">
        <f>' 2024'!#REF!</f>
        <v>#REF!</v>
      </c>
      <c r="W40" s="73">
        <f>' 2024'!H47</f>
        <v>2535.7679999999996</v>
      </c>
      <c r="X40" s="74">
        <f>' 2024'!N47</f>
        <v>2817.732</v>
      </c>
      <c r="Y40" s="217">
        <v>0</v>
      </c>
      <c r="Z40" s="217">
        <v>0</v>
      </c>
      <c r="AA40" s="74">
        <f>' 2024'!J47</f>
        <v>1702.81</v>
      </c>
      <c r="AB40" s="74">
        <f>' 2024'!P47</f>
        <v>1947.84</v>
      </c>
      <c r="AC40" s="74">
        <f>' 2024'!K47</f>
        <v>1457.23</v>
      </c>
      <c r="AD40" s="74">
        <f>' 2024'!Q47</f>
        <v>1666.93</v>
      </c>
    </row>
    <row r="41" spans="1:30">
      <c r="A41">
        <f t="shared" si="14"/>
        <v>35</v>
      </c>
      <c r="B41" s="85" t="str">
        <f>' 2024'!B47</f>
        <v>Курский район</v>
      </c>
      <c r="C41" s="92" t="str">
        <f t="shared" si="15"/>
        <v>Код района</v>
      </c>
      <c r="D41" s="66" t="str">
        <f>' 2024'!C48</f>
        <v>Моковский сельсовет</v>
      </c>
      <c r="E41" s="92" t="str">
        <f t="shared" si="10"/>
        <v>Код сельсовета</v>
      </c>
      <c r="F41" s="89" t="str">
        <f>' 2024'!D48</f>
        <v xml:space="preserve">Индивидуальный предприниматель 
Рустем Мансур Исмаилович 
</v>
      </c>
      <c r="G41" s="91">
        <f>' 2024'!E48</f>
        <v>461109152080</v>
      </c>
      <c r="H41" s="48" t="e">
        <f t="shared" si="16"/>
        <v>#REF!</v>
      </c>
      <c r="I41" s="48" t="e">
        <f t="shared" si="17"/>
        <v>#REF!</v>
      </c>
      <c r="J41" s="48" t="e">
        <f t="shared" si="18"/>
        <v>#REF!</v>
      </c>
      <c r="K41" s="49" t="e">
        <f t="shared" si="19"/>
        <v>#REF!</v>
      </c>
      <c r="L41" s="86" t="e">
        <f>' 2024'!#REF!+' 2024'!#REF!</f>
        <v>#REF!</v>
      </c>
      <c r="M41" s="71" t="e">
        <f>' 2024'!#REF!+' 2024'!#REF!</f>
        <v>#REF!</v>
      </c>
      <c r="N41" s="67" t="e">
        <f t="shared" si="20"/>
        <v>#REF!</v>
      </c>
      <c r="O41" s="68" t="e">
        <f t="shared" si="21"/>
        <v>#REF!</v>
      </c>
      <c r="P41" s="69" t="e">
        <f t="shared" si="22"/>
        <v>#REF!</v>
      </c>
      <c r="Q41" s="70" t="e">
        <f t="shared" si="23"/>
        <v>#REF!</v>
      </c>
      <c r="R41" s="70" t="e">
        <f t="shared" si="24"/>
        <v>#REF!</v>
      </c>
      <c r="S41" s="71" t="e">
        <f>' 2024'!#REF!</f>
        <v>#REF!</v>
      </c>
      <c r="T41" s="71" t="e">
        <f>' 2024'!#REF!</f>
        <v>#REF!</v>
      </c>
      <c r="U41" s="72" t="e">
        <f>' 2024'!#REF!</f>
        <v>#REF!</v>
      </c>
      <c r="V41" s="72" t="e">
        <f>' 2024'!#REF!</f>
        <v>#REF!</v>
      </c>
      <c r="W41" s="73">
        <f>' 2024'!H48</f>
        <v>2186.11</v>
      </c>
      <c r="X41" s="74">
        <f>' 2024'!N48</f>
        <v>2437.5100000000002</v>
      </c>
      <c r="Y41" s="217">
        <v>0</v>
      </c>
      <c r="Z41" s="217">
        <v>0</v>
      </c>
      <c r="AA41" s="74">
        <f>' 2024'!J48</f>
        <v>2186.11</v>
      </c>
      <c r="AB41" s="74">
        <f>' 2024'!P48</f>
        <v>2437.5100000000002</v>
      </c>
      <c r="AC41" s="74">
        <f>' 2024'!K48</f>
        <v>2186.11</v>
      </c>
      <c r="AD41" s="74">
        <f>' 2024'!Q48</f>
        <v>2437.5100000000002</v>
      </c>
    </row>
    <row r="42" spans="1:30">
      <c r="A42">
        <f t="shared" si="14"/>
        <v>36</v>
      </c>
      <c r="B42" s="85" t="str">
        <f>' 2024'!B48</f>
        <v>Курский район</v>
      </c>
      <c r="C42" s="92" t="str">
        <f t="shared" si="15"/>
        <v>Код района</v>
      </c>
      <c r="D42" s="66" t="str">
        <f>' 2024'!C49</f>
        <v>Щетинский сельсовет</v>
      </c>
      <c r="E42" s="92" t="str">
        <f t="shared" si="10"/>
        <v>Код сельсовета</v>
      </c>
      <c r="F42" s="89" t="str">
        <f>' 2024'!D49</f>
        <v xml:space="preserve">АО "Квадра" (филиал "Курская генерация") </v>
      </c>
      <c r="G42" s="91">
        <f>' 2024'!E49</f>
        <v>6829012680</v>
      </c>
      <c r="H42" s="48" t="e">
        <f t="shared" si="16"/>
        <v>#REF!</v>
      </c>
      <c r="I42" s="48" t="e">
        <f t="shared" si="17"/>
        <v>#REF!</v>
      </c>
      <c r="J42" s="48" t="e">
        <f t="shared" si="18"/>
        <v>#REF!</v>
      </c>
      <c r="K42" s="49" t="e">
        <f t="shared" si="19"/>
        <v>#REF!</v>
      </c>
      <c r="L42" s="86" t="e">
        <f>' 2024'!#REF!+' 2024'!#REF!</f>
        <v>#REF!</v>
      </c>
      <c r="M42" s="71" t="e">
        <f>' 2024'!#REF!+' 2024'!#REF!</f>
        <v>#REF!</v>
      </c>
      <c r="N42" s="67" t="e">
        <f t="shared" si="20"/>
        <v>#REF!</v>
      </c>
      <c r="O42" s="68" t="e">
        <f t="shared" si="21"/>
        <v>#REF!</v>
      </c>
      <c r="P42" s="69" t="e">
        <f t="shared" si="22"/>
        <v>#REF!</v>
      </c>
      <c r="Q42" s="70" t="e">
        <f t="shared" si="23"/>
        <v>#REF!</v>
      </c>
      <c r="R42" s="70" t="e">
        <f t="shared" si="24"/>
        <v>#REF!</v>
      </c>
      <c r="S42" s="71" t="e">
        <f>' 2024'!#REF!</f>
        <v>#REF!</v>
      </c>
      <c r="T42" s="71" t="e">
        <f>' 2024'!#REF!</f>
        <v>#REF!</v>
      </c>
      <c r="U42" s="72" t="e">
        <f>' 2024'!#REF!</f>
        <v>#REF!</v>
      </c>
      <c r="V42" s="72" t="e">
        <f>' 2024'!#REF!</f>
        <v>#REF!</v>
      </c>
      <c r="W42" s="73">
        <f>' 2024'!H49</f>
        <v>2326.752</v>
      </c>
      <c r="X42" s="74">
        <f>' 2024'!N49</f>
        <v>2598.9719999999998</v>
      </c>
      <c r="Y42" s="217">
        <v>0</v>
      </c>
      <c r="Z42" s="217">
        <v>0</v>
      </c>
      <c r="AA42" s="74">
        <f>' 2024'!J49</f>
        <v>2231.2199999999998</v>
      </c>
      <c r="AB42" s="74">
        <f>' 2024'!P49</f>
        <v>2403.02</v>
      </c>
      <c r="AC42" s="74">
        <f>' 2024'!K49</f>
        <v>2231.2199999999998</v>
      </c>
      <c r="AD42" s="74">
        <f>' 2024'!Q49</f>
        <v>2403.02</v>
      </c>
    </row>
    <row r="43" spans="1:30">
      <c r="A43">
        <f t="shared" si="14"/>
        <v>37</v>
      </c>
      <c r="B43" s="85" t="str">
        <f>' 2024'!B49</f>
        <v>Курский район</v>
      </c>
      <c r="C43" s="92" t="str">
        <f t="shared" si="15"/>
        <v>Код района</v>
      </c>
      <c r="D43" s="66" t="str">
        <f>' 2024'!C50</f>
        <v>Щетинский сельсовет</v>
      </c>
      <c r="E43" s="92" t="str">
        <f t="shared" si="10"/>
        <v>Код сельсовета</v>
      </c>
      <c r="F43" s="89" t="str">
        <f>' 2024'!D50</f>
        <v xml:space="preserve">ГУПКО "Курскоблжилкомхоз" </v>
      </c>
      <c r="G43" s="91">
        <f>' 2024'!E50</f>
        <v>4632024035</v>
      </c>
      <c r="H43" s="48" t="e">
        <f t="shared" si="16"/>
        <v>#REF!</v>
      </c>
      <c r="I43" s="48" t="e">
        <f t="shared" si="17"/>
        <v>#REF!</v>
      </c>
      <c r="J43" s="48" t="e">
        <f t="shared" si="18"/>
        <v>#REF!</v>
      </c>
      <c r="K43" s="49" t="e">
        <f t="shared" si="19"/>
        <v>#REF!</v>
      </c>
      <c r="L43" s="86" t="e">
        <f>' 2024'!#REF!+' 2024'!#REF!</f>
        <v>#REF!</v>
      </c>
      <c r="M43" s="71" t="e">
        <f>' 2024'!#REF!+' 2024'!#REF!</f>
        <v>#REF!</v>
      </c>
      <c r="N43" s="67" t="e">
        <f t="shared" si="20"/>
        <v>#REF!</v>
      </c>
      <c r="O43" s="68" t="e">
        <f t="shared" si="21"/>
        <v>#REF!</v>
      </c>
      <c r="P43" s="69" t="e">
        <f t="shared" si="22"/>
        <v>#REF!</v>
      </c>
      <c r="Q43" s="70" t="e">
        <f t="shared" si="23"/>
        <v>#REF!</v>
      </c>
      <c r="R43" s="70" t="e">
        <f t="shared" si="24"/>
        <v>#REF!</v>
      </c>
      <c r="S43" s="71" t="e">
        <f>' 2024'!#REF!</f>
        <v>#REF!</v>
      </c>
      <c r="T43" s="71" t="e">
        <f>' 2024'!#REF!</f>
        <v>#REF!</v>
      </c>
      <c r="U43" s="72" t="e">
        <f>' 2024'!#REF!</f>
        <v>#REF!</v>
      </c>
      <c r="V43" s="72" t="e">
        <f>' 2024'!#REF!</f>
        <v>#REF!</v>
      </c>
      <c r="W43" s="73">
        <f>' 2024'!H50</f>
        <v>3314.9639999999995</v>
      </c>
      <c r="X43" s="74">
        <f>' 2024'!N50</f>
        <v>3758.5679999999998</v>
      </c>
      <c r="Y43" s="217">
        <v>0</v>
      </c>
      <c r="Z43" s="217">
        <v>0</v>
      </c>
      <c r="AA43" s="74">
        <f>' 2024'!J50</f>
        <v>2950.21</v>
      </c>
      <c r="AB43" s="74">
        <f>' 2024'!P50</f>
        <v>2979.71</v>
      </c>
      <c r="AC43" s="74">
        <f>' 2024'!K50</f>
        <v>0</v>
      </c>
      <c r="AD43" s="74">
        <f>' 2024'!Q50</f>
        <v>0</v>
      </c>
    </row>
    <row r="44" spans="1:30">
      <c r="A44">
        <f t="shared" si="14"/>
        <v>38</v>
      </c>
      <c r="B44" s="85" t="str">
        <f>' 2024'!B50</f>
        <v>Курский район</v>
      </c>
      <c r="C44" s="92" t="str">
        <f t="shared" si="15"/>
        <v>Код района</v>
      </c>
      <c r="D44" s="66" t="str">
        <f>' 2024'!C51</f>
        <v>Щетинский сельсовет</v>
      </c>
      <c r="E44" s="92" t="str">
        <f t="shared" si="10"/>
        <v>Код сельсовета</v>
      </c>
      <c r="F44" s="89" t="str">
        <f>' 2024'!D51</f>
        <v xml:space="preserve">МУП ЖКХ "Родник"                             </v>
      </c>
      <c r="G44" s="91">
        <f>' 2024'!E51</f>
        <v>4611013586</v>
      </c>
      <c r="H44" s="48" t="e">
        <f t="shared" si="16"/>
        <v>#REF!</v>
      </c>
      <c r="I44" s="48" t="e">
        <f t="shared" si="17"/>
        <v>#REF!</v>
      </c>
      <c r="J44" s="48" t="e">
        <f t="shared" si="18"/>
        <v>#REF!</v>
      </c>
      <c r="K44" s="49" t="e">
        <f t="shared" si="19"/>
        <v>#REF!</v>
      </c>
      <c r="L44" s="86" t="e">
        <f>' 2024'!#REF!+' 2024'!#REF!</f>
        <v>#REF!</v>
      </c>
      <c r="M44" s="71" t="e">
        <f>' 2024'!#REF!+' 2024'!#REF!</f>
        <v>#REF!</v>
      </c>
      <c r="N44" s="67" t="e">
        <f t="shared" si="20"/>
        <v>#REF!</v>
      </c>
      <c r="O44" s="68" t="e">
        <f t="shared" si="21"/>
        <v>#REF!</v>
      </c>
      <c r="P44" s="69" t="e">
        <f t="shared" si="22"/>
        <v>#REF!</v>
      </c>
      <c r="Q44" s="70" t="e">
        <f t="shared" si="23"/>
        <v>#REF!</v>
      </c>
      <c r="R44" s="70" t="e">
        <f t="shared" si="24"/>
        <v>#REF!</v>
      </c>
      <c r="S44" s="71" t="e">
        <f>' 2024'!#REF!</f>
        <v>#REF!</v>
      </c>
      <c r="T44" s="71" t="e">
        <f>' 2024'!#REF!</f>
        <v>#REF!</v>
      </c>
      <c r="U44" s="72" t="e">
        <f>' 2024'!#REF!</f>
        <v>#REF!</v>
      </c>
      <c r="V44" s="72" t="e">
        <f>' 2024'!#REF!</f>
        <v>#REF!</v>
      </c>
      <c r="W44" s="73">
        <f>' 2024'!H51</f>
        <v>4183.0030781451369</v>
      </c>
      <c r="X44" s="74">
        <f>' 2024'!N51</f>
        <v>5288.62</v>
      </c>
      <c r="Y44" s="217">
        <v>0</v>
      </c>
      <c r="Z44" s="217">
        <v>0</v>
      </c>
      <c r="AA44" s="74">
        <f>' 2024'!J51</f>
        <v>3218.8790000000004</v>
      </c>
      <c r="AB44" s="74">
        <f>' 2024'!P51</f>
        <v>3524.67</v>
      </c>
      <c r="AC44" s="74">
        <f>' 2024'!K51</f>
        <v>3218.8790000000004</v>
      </c>
      <c r="AD44" s="74">
        <f>' 2024'!Q51</f>
        <v>3524.67</v>
      </c>
    </row>
    <row r="45" spans="1:30">
      <c r="A45">
        <f t="shared" si="14"/>
        <v>39</v>
      </c>
      <c r="B45" s="85" t="str">
        <f>' 2024'!B51</f>
        <v>Курский район</v>
      </c>
      <c r="C45" s="92" t="str">
        <f t="shared" si="15"/>
        <v>Код района</v>
      </c>
      <c r="D45" s="66" t="str">
        <f>' 2024'!C52</f>
        <v>Полянский сельсовет</v>
      </c>
      <c r="E45" s="92" t="str">
        <f t="shared" si="10"/>
        <v>Код сельсовета</v>
      </c>
      <c r="F45" s="89" t="str">
        <f>' 2024'!D52</f>
        <v xml:space="preserve">МУП ЖКХ "Родник"                              </v>
      </c>
      <c r="G45" s="91">
        <f>' 2024'!E52</f>
        <v>4611013586</v>
      </c>
      <c r="H45" s="48" t="e">
        <f t="shared" si="16"/>
        <v>#REF!</v>
      </c>
      <c r="I45" s="48" t="e">
        <f t="shared" si="17"/>
        <v>#REF!</v>
      </c>
      <c r="J45" s="48" t="e">
        <f t="shared" si="18"/>
        <v>#REF!</v>
      </c>
      <c r="K45" s="49" t="e">
        <f t="shared" si="19"/>
        <v>#REF!</v>
      </c>
      <c r="L45" s="86" t="e">
        <f>' 2024'!#REF!+' 2024'!#REF!</f>
        <v>#REF!</v>
      </c>
      <c r="M45" s="71" t="e">
        <f>' 2024'!#REF!+' 2024'!#REF!</f>
        <v>#REF!</v>
      </c>
      <c r="N45" s="67" t="e">
        <f t="shared" si="20"/>
        <v>#REF!</v>
      </c>
      <c r="O45" s="68" t="e">
        <f t="shared" si="21"/>
        <v>#REF!</v>
      </c>
      <c r="P45" s="69" t="e">
        <f t="shared" si="22"/>
        <v>#REF!</v>
      </c>
      <c r="Q45" s="70" t="e">
        <f t="shared" si="23"/>
        <v>#REF!</v>
      </c>
      <c r="R45" s="70" t="e">
        <f t="shared" si="24"/>
        <v>#REF!</v>
      </c>
      <c r="S45" s="71" t="e">
        <f>' 2024'!#REF!</f>
        <v>#REF!</v>
      </c>
      <c r="T45" s="71" t="e">
        <f>' 2024'!#REF!</f>
        <v>#REF!</v>
      </c>
      <c r="U45" s="72" t="e">
        <f>' 2024'!#REF!</f>
        <v>#REF!</v>
      </c>
      <c r="V45" s="72" t="e">
        <f>' 2024'!#REF!</f>
        <v>#REF!</v>
      </c>
      <c r="W45" s="73">
        <f>' 2024'!H52</f>
        <v>4183.0030781451369</v>
      </c>
      <c r="X45" s="74">
        <f>' 2024'!N52</f>
        <v>5288.62</v>
      </c>
      <c r="Y45" s="217">
        <v>0</v>
      </c>
      <c r="Z45" s="217">
        <v>0</v>
      </c>
      <c r="AA45" s="74">
        <f>' 2024'!J52</f>
        <v>3218.8790000000004</v>
      </c>
      <c r="AB45" s="74">
        <f>' 2024'!P52</f>
        <v>3524.67</v>
      </c>
      <c r="AC45" s="74">
        <f>' 2024'!K52</f>
        <v>3218.8790000000004</v>
      </c>
      <c r="AD45" s="74">
        <f>' 2024'!Q52</f>
        <v>3524.67</v>
      </c>
    </row>
    <row r="46" spans="1:30">
      <c r="A46">
        <f t="shared" si="14"/>
        <v>40</v>
      </c>
      <c r="B46" s="85" t="str">
        <f>' 2024'!B52</f>
        <v>Курский район</v>
      </c>
      <c r="C46" s="92" t="str">
        <f t="shared" si="15"/>
        <v>Код района</v>
      </c>
      <c r="D46" s="66" t="str">
        <f>' 2024'!C53</f>
        <v>Рышковский сельсовет</v>
      </c>
      <c r="E46" s="92" t="str">
        <f t="shared" si="10"/>
        <v>Код сельсовета</v>
      </c>
      <c r="F46" s="89" t="str">
        <f>' 2024'!D53</f>
        <v xml:space="preserve">ГУПКО "Курскоблжилкомхоз" </v>
      </c>
      <c r="G46" s="91">
        <f>' 2024'!E53</f>
        <v>4632024035</v>
      </c>
      <c r="H46" s="48" t="e">
        <f t="shared" si="16"/>
        <v>#REF!</v>
      </c>
      <c r="I46" s="48" t="e">
        <f t="shared" si="17"/>
        <v>#REF!</v>
      </c>
      <c r="J46" s="48" t="e">
        <f t="shared" si="18"/>
        <v>#REF!</v>
      </c>
      <c r="K46" s="49" t="e">
        <f t="shared" si="19"/>
        <v>#REF!</v>
      </c>
      <c r="L46" s="86" t="e">
        <f>' 2024'!#REF!+' 2024'!#REF!</f>
        <v>#REF!</v>
      </c>
      <c r="M46" s="71" t="e">
        <f>' 2024'!#REF!+' 2024'!#REF!</f>
        <v>#REF!</v>
      </c>
      <c r="N46" s="67" t="e">
        <f t="shared" si="20"/>
        <v>#REF!</v>
      </c>
      <c r="O46" s="68" t="e">
        <f t="shared" si="21"/>
        <v>#REF!</v>
      </c>
      <c r="P46" s="69" t="e">
        <f t="shared" si="22"/>
        <v>#REF!</v>
      </c>
      <c r="Q46" s="70" t="e">
        <f t="shared" si="23"/>
        <v>#REF!</v>
      </c>
      <c r="R46" s="70" t="e">
        <f t="shared" si="24"/>
        <v>#REF!</v>
      </c>
      <c r="S46" s="71" t="e">
        <f>' 2024'!#REF!</f>
        <v>#REF!</v>
      </c>
      <c r="T46" s="71" t="e">
        <f>' 2024'!#REF!</f>
        <v>#REF!</v>
      </c>
      <c r="U46" s="72" t="e">
        <f>' 2024'!#REF!</f>
        <v>#REF!</v>
      </c>
      <c r="V46" s="72" t="e">
        <f>' 2024'!#REF!</f>
        <v>#REF!</v>
      </c>
      <c r="W46" s="73">
        <f>' 2024'!H53</f>
        <v>3314.9639999999995</v>
      </c>
      <c r="X46" s="74">
        <f>' 2024'!N53</f>
        <v>3758.5679999999998</v>
      </c>
      <c r="Y46" s="217">
        <v>0</v>
      </c>
      <c r="Z46" s="217">
        <v>0</v>
      </c>
      <c r="AA46" s="74">
        <f>' 2024'!J53</f>
        <v>0</v>
      </c>
      <c r="AB46" s="74">
        <f>' 2024'!P53</f>
        <v>0</v>
      </c>
      <c r="AC46" s="74">
        <f>' 2024'!K53</f>
        <v>0</v>
      </c>
      <c r="AD46" s="74">
        <f>' 2024'!Q53</f>
        <v>0</v>
      </c>
    </row>
    <row r="47" spans="1:30">
      <c r="A47">
        <f t="shared" si="14"/>
        <v>41</v>
      </c>
      <c r="B47" s="85" t="str">
        <f>' 2024'!B53</f>
        <v>Курский район</v>
      </c>
      <c r="C47" s="92" t="str">
        <f t="shared" si="15"/>
        <v>Код района</v>
      </c>
      <c r="D47" s="66" t="str">
        <f>' 2024'!C54</f>
        <v>Моковский сельсовет</v>
      </c>
      <c r="E47" s="92" t="str">
        <f t="shared" si="10"/>
        <v>Код сельсовета</v>
      </c>
      <c r="F47" s="89" t="str">
        <f>' 2024'!D54</f>
        <v xml:space="preserve">ГУПКО "Курскоблжилкомхоз" </v>
      </c>
      <c r="G47" s="91">
        <f>' 2024'!E54</f>
        <v>4632024035</v>
      </c>
      <c r="H47" s="48" t="e">
        <f t="shared" si="16"/>
        <v>#REF!</v>
      </c>
      <c r="I47" s="48" t="e">
        <f t="shared" si="17"/>
        <v>#REF!</v>
      </c>
      <c r="J47" s="48" t="e">
        <f t="shared" si="18"/>
        <v>#REF!</v>
      </c>
      <c r="K47" s="49" t="e">
        <f t="shared" si="19"/>
        <v>#REF!</v>
      </c>
      <c r="L47" s="86" t="e">
        <f>' 2024'!#REF!+' 2024'!#REF!</f>
        <v>#REF!</v>
      </c>
      <c r="M47" s="71" t="e">
        <f>' 2024'!#REF!+' 2024'!#REF!</f>
        <v>#REF!</v>
      </c>
      <c r="N47" s="67" t="e">
        <f t="shared" si="20"/>
        <v>#REF!</v>
      </c>
      <c r="O47" s="68" t="e">
        <f t="shared" si="21"/>
        <v>#REF!</v>
      </c>
      <c r="P47" s="69" t="e">
        <f t="shared" si="22"/>
        <v>#REF!</v>
      </c>
      <c r="Q47" s="70" t="e">
        <f t="shared" si="23"/>
        <v>#REF!</v>
      </c>
      <c r="R47" s="70" t="e">
        <f t="shared" si="24"/>
        <v>#REF!</v>
      </c>
      <c r="S47" s="71" t="e">
        <f>' 2024'!#REF!</f>
        <v>#REF!</v>
      </c>
      <c r="T47" s="71" t="e">
        <f>' 2024'!#REF!</f>
        <v>#REF!</v>
      </c>
      <c r="U47" s="72" t="e">
        <f>' 2024'!#REF!</f>
        <v>#REF!</v>
      </c>
      <c r="V47" s="72" t="e">
        <f>' 2024'!#REF!</f>
        <v>#REF!</v>
      </c>
      <c r="W47" s="73">
        <f>' 2024'!H54</f>
        <v>3314.9639999999995</v>
      </c>
      <c r="X47" s="74">
        <f>' 2024'!N54</f>
        <v>3758.5679999999998</v>
      </c>
      <c r="Y47" s="217">
        <v>0</v>
      </c>
      <c r="Z47" s="217">
        <v>0</v>
      </c>
      <c r="AA47" s="74">
        <f>' 2024'!J54</f>
        <v>0</v>
      </c>
      <c r="AB47" s="74">
        <f>' 2024'!P54</f>
        <v>0</v>
      </c>
      <c r="AC47" s="74">
        <f>' 2024'!K54</f>
        <v>0</v>
      </c>
      <c r="AD47" s="74">
        <f>' 2024'!Q54</f>
        <v>0</v>
      </c>
    </row>
    <row r="48" spans="1:30">
      <c r="A48">
        <f t="shared" si="14"/>
        <v>42</v>
      </c>
      <c r="B48" s="85" t="str">
        <f>' 2024'!B54</f>
        <v>Курский район</v>
      </c>
      <c r="C48" s="92" t="str">
        <f t="shared" si="15"/>
        <v>Код района</v>
      </c>
      <c r="D48" s="66" t="str">
        <f>' 2024'!C55</f>
        <v>Ворошневский сельсовет</v>
      </c>
      <c r="E48" s="92" t="str">
        <f t="shared" si="10"/>
        <v>Код сельсовета</v>
      </c>
      <c r="F48" s="89" t="str">
        <f>' 2024'!D55</f>
        <v xml:space="preserve">МУП ЖКХ "Родник"                             </v>
      </c>
      <c r="G48" s="91">
        <f>' 2024'!E55</f>
        <v>4611013586</v>
      </c>
      <c r="H48" s="48" t="e">
        <f t="shared" si="16"/>
        <v>#REF!</v>
      </c>
      <c r="I48" s="48" t="e">
        <f t="shared" si="17"/>
        <v>#REF!</v>
      </c>
      <c r="J48" s="48" t="e">
        <f t="shared" si="18"/>
        <v>#REF!</v>
      </c>
      <c r="K48" s="49" t="e">
        <f t="shared" si="19"/>
        <v>#REF!</v>
      </c>
      <c r="L48" s="86" t="e">
        <f>' 2024'!#REF!+' 2024'!#REF!</f>
        <v>#REF!</v>
      </c>
      <c r="M48" s="71" t="e">
        <f>' 2024'!#REF!+' 2024'!#REF!</f>
        <v>#REF!</v>
      </c>
      <c r="N48" s="67" t="e">
        <f t="shared" si="20"/>
        <v>#REF!</v>
      </c>
      <c r="O48" s="68" t="e">
        <f t="shared" si="21"/>
        <v>#REF!</v>
      </c>
      <c r="P48" s="69" t="e">
        <f t="shared" si="22"/>
        <v>#REF!</v>
      </c>
      <c r="Q48" s="70" t="e">
        <f t="shared" si="23"/>
        <v>#REF!</v>
      </c>
      <c r="R48" s="70" t="e">
        <f t="shared" si="24"/>
        <v>#REF!</v>
      </c>
      <c r="S48" s="71" t="e">
        <f>' 2024'!#REF!</f>
        <v>#REF!</v>
      </c>
      <c r="T48" s="71" t="e">
        <f>' 2024'!#REF!</f>
        <v>#REF!</v>
      </c>
      <c r="U48" s="72" t="e">
        <f>' 2024'!#REF!</f>
        <v>#REF!</v>
      </c>
      <c r="V48" s="72" t="e">
        <f>' 2024'!#REF!</f>
        <v>#REF!</v>
      </c>
      <c r="W48" s="73">
        <f>' 2024'!H55</f>
        <v>4183.0030781451369</v>
      </c>
      <c r="X48" s="74">
        <f>' 2024'!N55</f>
        <v>5288.62</v>
      </c>
      <c r="Y48" s="217">
        <v>0</v>
      </c>
      <c r="Z48" s="217">
        <v>0</v>
      </c>
      <c r="AA48" s="74">
        <f>' 2024'!J55</f>
        <v>2677.8195000000001</v>
      </c>
      <c r="AB48" s="74">
        <f>' 2024'!P55</f>
        <v>3052.71</v>
      </c>
      <c r="AC48" s="74">
        <f>' 2024'!K55</f>
        <v>2677.8195000000001</v>
      </c>
      <c r="AD48" s="74">
        <f>' 2024'!Q55</f>
        <v>3052.71</v>
      </c>
    </row>
    <row r="49" spans="1:30">
      <c r="A49">
        <f t="shared" si="14"/>
        <v>43</v>
      </c>
      <c r="B49" s="85" t="str">
        <f>' 2024'!B55</f>
        <v>Курский район</v>
      </c>
      <c r="C49" s="92" t="str">
        <f t="shared" si="15"/>
        <v>Код района</v>
      </c>
      <c r="D49" s="66" t="str">
        <f>' 2024'!C56</f>
        <v>п. Иванино</v>
      </c>
      <c r="E49" s="92" t="str">
        <f t="shared" si="10"/>
        <v>Код сельсовета</v>
      </c>
      <c r="F49" s="89" t="str">
        <f>' 2024'!D56</f>
        <v xml:space="preserve">ГУПКО "Курскоблжилкомхоз" </v>
      </c>
      <c r="G49" s="91">
        <f>' 2024'!E56</f>
        <v>4632024035</v>
      </c>
      <c r="H49" s="48" t="e">
        <f t="shared" si="16"/>
        <v>#REF!</v>
      </c>
      <c r="I49" s="48" t="e">
        <f t="shared" si="17"/>
        <v>#REF!</v>
      </c>
      <c r="J49" s="48" t="e">
        <f t="shared" si="18"/>
        <v>#REF!</v>
      </c>
      <c r="K49" s="49" t="e">
        <f t="shared" si="19"/>
        <v>#REF!</v>
      </c>
      <c r="L49" s="86" t="e">
        <f>' 2024'!#REF!+' 2024'!#REF!</f>
        <v>#REF!</v>
      </c>
      <c r="M49" s="71" t="e">
        <f>' 2024'!#REF!+' 2024'!#REF!</f>
        <v>#REF!</v>
      </c>
      <c r="N49" s="67" t="e">
        <f t="shared" si="20"/>
        <v>#REF!</v>
      </c>
      <c r="O49" s="68" t="e">
        <f t="shared" si="21"/>
        <v>#REF!</v>
      </c>
      <c r="P49" s="69" t="e">
        <f t="shared" si="22"/>
        <v>#REF!</v>
      </c>
      <c r="Q49" s="70" t="e">
        <f t="shared" si="23"/>
        <v>#REF!</v>
      </c>
      <c r="R49" s="70" t="e">
        <f t="shared" si="24"/>
        <v>#REF!</v>
      </c>
      <c r="S49" s="71" t="e">
        <f>' 2024'!#REF!</f>
        <v>#REF!</v>
      </c>
      <c r="T49" s="71" t="e">
        <f>' 2024'!#REF!</f>
        <v>#REF!</v>
      </c>
      <c r="U49" s="72" t="e">
        <f>' 2024'!#REF!</f>
        <v>#REF!</v>
      </c>
      <c r="V49" s="72" t="e">
        <f>' 2024'!#REF!</f>
        <v>#REF!</v>
      </c>
      <c r="W49" s="73">
        <f>' 2024'!H56</f>
        <v>2259.2640000000001</v>
      </c>
      <c r="X49" s="74">
        <f>' 2024'!N56</f>
        <v>2710.8959999999997</v>
      </c>
      <c r="Y49" s="217">
        <v>0</v>
      </c>
      <c r="Z49" s="217">
        <v>0</v>
      </c>
      <c r="AA49" s="74">
        <f>' 2024'!J56</f>
        <v>771.73</v>
      </c>
      <c r="AB49" s="74">
        <f>' 2024'!P56</f>
        <v>882.78</v>
      </c>
      <c r="AC49" s="74">
        <f>' 2024'!K56</f>
        <v>0</v>
      </c>
      <c r="AD49" s="74">
        <f>' 2024'!Q56</f>
        <v>0</v>
      </c>
    </row>
    <row r="50" spans="1:30">
      <c r="A50">
        <f t="shared" si="14"/>
        <v>44</v>
      </c>
      <c r="B50" s="85" t="str">
        <f>' 2024'!B56</f>
        <v>Курчатовский район</v>
      </c>
      <c r="C50" s="92" t="str">
        <f t="shared" si="15"/>
        <v>Код района</v>
      </c>
      <c r="D50" s="66" t="str">
        <f>' 2024'!C57</f>
        <v>п. Дичня</v>
      </c>
      <c r="E50" s="92" t="str">
        <f t="shared" si="10"/>
        <v>Код сельсовета</v>
      </c>
      <c r="F50" s="89" t="str">
        <f>' 2024'!D57</f>
        <v xml:space="preserve">ГУПКО "Курскоблжилкомхоз" </v>
      </c>
      <c r="G50" s="91">
        <f>' 2024'!E57</f>
        <v>4632024035</v>
      </c>
      <c r="H50" s="48" t="e">
        <f t="shared" si="16"/>
        <v>#REF!</v>
      </c>
      <c r="I50" s="48" t="e">
        <f t="shared" si="17"/>
        <v>#REF!</v>
      </c>
      <c r="J50" s="48" t="e">
        <f t="shared" si="18"/>
        <v>#REF!</v>
      </c>
      <c r="K50" s="49" t="e">
        <f t="shared" si="19"/>
        <v>#REF!</v>
      </c>
      <c r="L50" s="86" t="e">
        <f>' 2024'!#REF!+' 2024'!#REF!</f>
        <v>#REF!</v>
      </c>
      <c r="M50" s="71" t="e">
        <f>' 2024'!#REF!+' 2024'!#REF!</f>
        <v>#REF!</v>
      </c>
      <c r="N50" s="67" t="e">
        <f t="shared" si="20"/>
        <v>#REF!</v>
      </c>
      <c r="O50" s="68" t="e">
        <f t="shared" si="21"/>
        <v>#REF!</v>
      </c>
      <c r="P50" s="69" t="e">
        <f t="shared" si="22"/>
        <v>#REF!</v>
      </c>
      <c r="Q50" s="70" t="e">
        <f t="shared" si="23"/>
        <v>#REF!</v>
      </c>
      <c r="R50" s="70" t="e">
        <f t="shared" si="24"/>
        <v>#REF!</v>
      </c>
      <c r="S50" s="71" t="e">
        <f>' 2024'!#REF!</f>
        <v>#REF!</v>
      </c>
      <c r="T50" s="71" t="e">
        <f>' 2024'!#REF!</f>
        <v>#REF!</v>
      </c>
      <c r="U50" s="72" t="e">
        <f>' 2024'!#REF!</f>
        <v>#REF!</v>
      </c>
      <c r="V50" s="72" t="e">
        <f>' 2024'!#REF!</f>
        <v>#REF!</v>
      </c>
      <c r="W50" s="73">
        <f>' 2024'!H57</f>
        <v>2259.2640000000001</v>
      </c>
      <c r="X50" s="74">
        <f>' 2024'!N57</f>
        <v>2710.8959999999997</v>
      </c>
      <c r="Y50" s="217">
        <v>0</v>
      </c>
      <c r="Z50" s="217">
        <v>0</v>
      </c>
      <c r="AA50" s="74">
        <f>' 2024'!J57</f>
        <v>780.3</v>
      </c>
      <c r="AB50" s="74">
        <f>' 2024'!P57</f>
        <v>882.78</v>
      </c>
      <c r="AC50" s="74">
        <f>' 2024'!K57</f>
        <v>0</v>
      </c>
      <c r="AD50" s="74">
        <f>' 2024'!Q57</f>
        <v>0</v>
      </c>
    </row>
    <row r="51" spans="1:30">
      <c r="A51">
        <f t="shared" si="14"/>
        <v>45</v>
      </c>
      <c r="B51" s="85" t="str">
        <f>' 2024'!B57</f>
        <v>Курчатовский район</v>
      </c>
      <c r="C51" s="92" t="str">
        <f t="shared" si="15"/>
        <v>Код района</v>
      </c>
      <c r="D51" s="66" t="str">
        <f>' 2024'!C58</f>
        <v xml:space="preserve"> пос. им. К. Либкнехта</v>
      </c>
      <c r="E51" s="92" t="str">
        <f t="shared" si="10"/>
        <v>Код сельсовета</v>
      </c>
      <c r="F51" s="89" t="str">
        <f>' 2024'!D58</f>
        <v xml:space="preserve">ГУПКО "Курскоблжилкомхоз" </v>
      </c>
      <c r="G51" s="91">
        <f>' 2024'!E58</f>
        <v>4632024035</v>
      </c>
      <c r="H51" s="48" t="e">
        <f t="shared" si="16"/>
        <v>#REF!</v>
      </c>
      <c r="I51" s="48" t="e">
        <f t="shared" si="17"/>
        <v>#REF!</v>
      </c>
      <c r="J51" s="48" t="e">
        <f t="shared" si="18"/>
        <v>#REF!</v>
      </c>
      <c r="K51" s="49" t="e">
        <f t="shared" si="19"/>
        <v>#REF!</v>
      </c>
      <c r="L51" s="86" t="e">
        <f>' 2024'!#REF!+' 2024'!#REF!</f>
        <v>#REF!</v>
      </c>
      <c r="M51" s="71" t="e">
        <f>' 2024'!#REF!+' 2024'!#REF!</f>
        <v>#REF!</v>
      </c>
      <c r="N51" s="67" t="e">
        <f t="shared" si="20"/>
        <v>#REF!</v>
      </c>
      <c r="O51" s="68" t="e">
        <f t="shared" si="21"/>
        <v>#REF!</v>
      </c>
      <c r="P51" s="69" t="e">
        <f t="shared" si="22"/>
        <v>#REF!</v>
      </c>
      <c r="Q51" s="70" t="e">
        <f t="shared" si="23"/>
        <v>#REF!</v>
      </c>
      <c r="R51" s="70" t="e">
        <f t="shared" si="24"/>
        <v>#REF!</v>
      </c>
      <c r="S51" s="71" t="e">
        <f>' 2024'!#REF!</f>
        <v>#REF!</v>
      </c>
      <c r="T51" s="71" t="e">
        <f>' 2024'!#REF!</f>
        <v>#REF!</v>
      </c>
      <c r="U51" s="72" t="e">
        <f>' 2024'!#REF!</f>
        <v>#REF!</v>
      </c>
      <c r="V51" s="72" t="e">
        <f>' 2024'!#REF!</f>
        <v>#REF!</v>
      </c>
      <c r="W51" s="73">
        <f>' 2024'!H58</f>
        <v>3314.9639999999995</v>
      </c>
      <c r="X51" s="74">
        <f>' 2024'!N58</f>
        <v>3758.5679999999998</v>
      </c>
      <c r="Y51" s="217">
        <v>0</v>
      </c>
      <c r="Z51" s="217">
        <v>0</v>
      </c>
      <c r="AA51" s="74">
        <f>' 2024'!J58</f>
        <v>2950.21</v>
      </c>
      <c r="AB51" s="74">
        <f>' 2024'!P58</f>
        <v>2979.71</v>
      </c>
      <c r="AC51" s="74">
        <f>' 2024'!K58</f>
        <v>0</v>
      </c>
      <c r="AD51" s="74">
        <f>' 2024'!Q58</f>
        <v>0</v>
      </c>
    </row>
    <row r="52" spans="1:30">
      <c r="A52">
        <f t="shared" si="14"/>
        <v>46</v>
      </c>
      <c r="B52" s="85" t="str">
        <f>' 2024'!B58</f>
        <v>Курчатовский район</v>
      </c>
      <c r="C52" s="92" t="str">
        <f t="shared" si="15"/>
        <v>Код района</v>
      </c>
      <c r="D52" s="66" t="str">
        <f>' 2024'!C59</f>
        <v>г. Льгов</v>
      </c>
      <c r="E52" s="92" t="str">
        <f t="shared" si="10"/>
        <v>Код сельсовета</v>
      </c>
      <c r="F52" s="89" t="str">
        <f>' 2024'!D59</f>
        <v xml:space="preserve">ГУПКО "Курскоблжилкомхоз" </v>
      </c>
      <c r="G52" s="91">
        <f>' 2024'!E59</f>
        <v>4632024035</v>
      </c>
      <c r="H52" s="48" t="e">
        <f t="shared" si="16"/>
        <v>#REF!</v>
      </c>
      <c r="I52" s="48" t="e">
        <f t="shared" si="17"/>
        <v>#REF!</v>
      </c>
      <c r="J52" s="48" t="e">
        <f t="shared" si="18"/>
        <v>#REF!</v>
      </c>
      <c r="K52" s="49" t="e">
        <f t="shared" si="19"/>
        <v>#REF!</v>
      </c>
      <c r="L52" s="86" t="e">
        <f>' 2024'!#REF!+' 2024'!#REF!</f>
        <v>#REF!</v>
      </c>
      <c r="M52" s="71" t="e">
        <f>' 2024'!#REF!+' 2024'!#REF!</f>
        <v>#REF!</v>
      </c>
      <c r="N52" s="67" t="e">
        <f t="shared" si="20"/>
        <v>#REF!</v>
      </c>
      <c r="O52" s="68" t="e">
        <f t="shared" si="21"/>
        <v>#REF!</v>
      </c>
      <c r="P52" s="69" t="e">
        <f t="shared" si="22"/>
        <v>#REF!</v>
      </c>
      <c r="Q52" s="70" t="e">
        <f t="shared" si="23"/>
        <v>#REF!</v>
      </c>
      <c r="R52" s="70" t="e">
        <f t="shared" si="24"/>
        <v>#REF!</v>
      </c>
      <c r="S52" s="71" t="e">
        <f>' 2024'!#REF!</f>
        <v>#REF!</v>
      </c>
      <c r="T52" s="71" t="e">
        <f>' 2024'!#REF!</f>
        <v>#REF!</v>
      </c>
      <c r="U52" s="72" t="e">
        <f>' 2024'!#REF!</f>
        <v>#REF!</v>
      </c>
      <c r="V52" s="72" t="e">
        <f>' 2024'!#REF!</f>
        <v>#REF!</v>
      </c>
      <c r="W52" s="73">
        <f>' 2024'!H59</f>
        <v>3314.9639999999995</v>
      </c>
      <c r="X52" s="74">
        <f>' 2024'!N59</f>
        <v>3758.5679999999998</v>
      </c>
      <c r="Y52" s="217">
        <v>0</v>
      </c>
      <c r="Z52" s="217">
        <v>0</v>
      </c>
      <c r="AA52" s="74">
        <f>' 2024'!J59</f>
        <v>2484</v>
      </c>
      <c r="AB52" s="74">
        <f>' 2024'!P59</f>
        <v>2719.98</v>
      </c>
      <c r="AC52" s="74">
        <f>' 2024'!K59</f>
        <v>0</v>
      </c>
      <c r="AD52" s="74">
        <f>' 2024'!Q59</f>
        <v>0</v>
      </c>
    </row>
    <row r="53" spans="1:30">
      <c r="A53">
        <f t="shared" si="14"/>
        <v>47</v>
      </c>
      <c r="B53" s="85" t="str">
        <f>' 2024'!B59</f>
        <v>Льговский район</v>
      </c>
      <c r="C53" s="92" t="str">
        <f t="shared" si="15"/>
        <v>Код района</v>
      </c>
      <c r="D53" s="66" t="str">
        <f>' 2024'!C60</f>
        <v>Селекционный сельсовет</v>
      </c>
      <c r="E53" s="92" t="str">
        <f t="shared" si="10"/>
        <v>Код сельсовета</v>
      </c>
      <c r="F53" s="89" t="str">
        <f>' 2024'!D60</f>
        <v xml:space="preserve">ГУПКО "Курскоблжилкомхоз" </v>
      </c>
      <c r="G53" s="91">
        <f>' 2024'!E60</f>
        <v>4632024035</v>
      </c>
      <c r="H53" s="48" t="e">
        <f t="shared" si="16"/>
        <v>#REF!</v>
      </c>
      <c r="I53" s="48" t="e">
        <f t="shared" si="17"/>
        <v>#REF!</v>
      </c>
      <c r="J53" s="48" t="e">
        <f t="shared" si="18"/>
        <v>#REF!</v>
      </c>
      <c r="K53" s="49" t="e">
        <f t="shared" si="19"/>
        <v>#REF!</v>
      </c>
      <c r="L53" s="86" t="e">
        <f>' 2024'!#REF!+' 2024'!#REF!</f>
        <v>#REF!</v>
      </c>
      <c r="M53" s="71" t="e">
        <f>' 2024'!#REF!+' 2024'!#REF!</f>
        <v>#REF!</v>
      </c>
      <c r="N53" s="67" t="e">
        <f t="shared" si="20"/>
        <v>#REF!</v>
      </c>
      <c r="O53" s="68" t="e">
        <f t="shared" si="21"/>
        <v>#REF!</v>
      </c>
      <c r="P53" s="69" t="e">
        <f t="shared" si="22"/>
        <v>#REF!</v>
      </c>
      <c r="Q53" s="70" t="e">
        <f t="shared" si="23"/>
        <v>#REF!</v>
      </c>
      <c r="R53" s="70" t="e">
        <f t="shared" si="24"/>
        <v>#REF!</v>
      </c>
      <c r="S53" s="71" t="e">
        <f>' 2024'!#REF!</f>
        <v>#REF!</v>
      </c>
      <c r="T53" s="71" t="e">
        <f>' 2024'!#REF!</f>
        <v>#REF!</v>
      </c>
      <c r="U53" s="72" t="e">
        <f>' 2024'!#REF!</f>
        <v>#REF!</v>
      </c>
      <c r="V53" s="72" t="e">
        <f>' 2024'!#REF!</f>
        <v>#REF!</v>
      </c>
      <c r="W53" s="73">
        <f>' 2024'!H60</f>
        <v>3314.9639999999995</v>
      </c>
      <c r="X53" s="74">
        <f>' 2024'!N60</f>
        <v>3758.5679999999998</v>
      </c>
      <c r="Y53" s="217">
        <v>0</v>
      </c>
      <c r="Z53" s="217">
        <v>0</v>
      </c>
      <c r="AA53" s="74">
        <f>' 2024'!J60</f>
        <v>2950.21</v>
      </c>
      <c r="AB53" s="74">
        <f>' 2024'!P60</f>
        <v>2979.71</v>
      </c>
      <c r="AC53" s="74">
        <f>' 2024'!K60</f>
        <v>0</v>
      </c>
      <c r="AD53" s="74">
        <f>' 2024'!Q60</f>
        <v>0</v>
      </c>
    </row>
    <row r="54" spans="1:30">
      <c r="A54">
        <f t="shared" si="14"/>
        <v>48</v>
      </c>
      <c r="B54" s="85" t="str">
        <f>' 2024'!B60</f>
        <v>Льговский район</v>
      </c>
      <c r="C54" s="92" t="str">
        <f t="shared" si="15"/>
        <v>Код района</v>
      </c>
      <c r="D54" s="66" t="str">
        <f>' 2024'!C61</f>
        <v>Густомойский сельсовет</v>
      </c>
      <c r="E54" s="92" t="str">
        <f t="shared" si="10"/>
        <v>Код сельсовета</v>
      </c>
      <c r="F54" s="89" t="str">
        <f>' 2024'!D61</f>
        <v xml:space="preserve">ГУПКО "Курскоблжилкомхоз" </v>
      </c>
      <c r="G54" s="91">
        <f>' 2024'!E61</f>
        <v>4632024035</v>
      </c>
      <c r="H54" s="48" t="e">
        <f t="shared" si="16"/>
        <v>#REF!</v>
      </c>
      <c r="I54" s="48" t="e">
        <f t="shared" si="17"/>
        <v>#REF!</v>
      </c>
      <c r="J54" s="48" t="e">
        <f t="shared" si="18"/>
        <v>#REF!</v>
      </c>
      <c r="K54" s="49" t="e">
        <f t="shared" si="19"/>
        <v>#REF!</v>
      </c>
      <c r="L54" s="86" t="e">
        <f>' 2024'!#REF!+' 2024'!#REF!</f>
        <v>#REF!</v>
      </c>
      <c r="M54" s="71" t="e">
        <f>' 2024'!#REF!+' 2024'!#REF!</f>
        <v>#REF!</v>
      </c>
      <c r="N54" s="67" t="e">
        <f t="shared" si="20"/>
        <v>#REF!</v>
      </c>
      <c r="O54" s="68" t="e">
        <f t="shared" si="21"/>
        <v>#REF!</v>
      </c>
      <c r="P54" s="69" t="e">
        <f t="shared" si="22"/>
        <v>#REF!</v>
      </c>
      <c r="Q54" s="70" t="e">
        <f t="shared" si="23"/>
        <v>#REF!</v>
      </c>
      <c r="R54" s="70" t="e">
        <f t="shared" si="24"/>
        <v>#REF!</v>
      </c>
      <c r="S54" s="71" t="e">
        <f>' 2024'!#REF!</f>
        <v>#REF!</v>
      </c>
      <c r="T54" s="71" t="e">
        <f>' 2024'!#REF!</f>
        <v>#REF!</v>
      </c>
      <c r="U54" s="72" t="e">
        <f>' 2024'!#REF!</f>
        <v>#REF!</v>
      </c>
      <c r="V54" s="72" t="e">
        <f>' 2024'!#REF!</f>
        <v>#REF!</v>
      </c>
      <c r="W54" s="73">
        <f>' 2024'!H61</f>
        <v>3314.9639999999995</v>
      </c>
      <c r="X54" s="74">
        <f>' 2024'!N61</f>
        <v>3758.5679999999998</v>
      </c>
      <c r="Y54" s="217">
        <v>0</v>
      </c>
      <c r="Z54" s="217">
        <v>0</v>
      </c>
      <c r="AA54" s="74">
        <f>' 2024'!J61</f>
        <v>2950.21</v>
      </c>
      <c r="AB54" s="74">
        <f>' 2024'!P61</f>
        <v>2979.71</v>
      </c>
      <c r="AC54" s="74">
        <f>' 2024'!K61</f>
        <v>0</v>
      </c>
      <c r="AD54" s="74">
        <f>' 2024'!Q61</f>
        <v>0</v>
      </c>
    </row>
    <row r="55" spans="1:30">
      <c r="A55">
        <f t="shared" si="14"/>
        <v>49</v>
      </c>
      <c r="B55" s="85" t="str">
        <f>' 2024'!B61</f>
        <v>Льговский район</v>
      </c>
      <c r="C55" s="92" t="str">
        <f t="shared" si="15"/>
        <v>Код района</v>
      </c>
      <c r="D55" s="66" t="str">
        <f>' 2024'!C62</f>
        <v>Иванчиковский сельсовет</v>
      </c>
      <c r="E55" s="92" t="str">
        <f t="shared" si="10"/>
        <v>Код сельсовета</v>
      </c>
      <c r="F55" s="89" t="str">
        <f>' 2024'!D62</f>
        <v xml:space="preserve">ГУПКО "Курскоблжилкомхоз" </v>
      </c>
      <c r="G55" s="91">
        <f>' 2024'!E62</f>
        <v>4632024035</v>
      </c>
      <c r="H55" s="48" t="e">
        <f t="shared" si="16"/>
        <v>#REF!</v>
      </c>
      <c r="I55" s="48" t="e">
        <f t="shared" si="17"/>
        <v>#REF!</v>
      </c>
      <c r="J55" s="48" t="e">
        <f t="shared" si="18"/>
        <v>#REF!</v>
      </c>
      <c r="K55" s="49" t="e">
        <f t="shared" si="19"/>
        <v>#REF!</v>
      </c>
      <c r="L55" s="86" t="e">
        <f>' 2024'!#REF!+' 2024'!#REF!</f>
        <v>#REF!</v>
      </c>
      <c r="M55" s="71" t="e">
        <f>' 2024'!#REF!+' 2024'!#REF!</f>
        <v>#REF!</v>
      </c>
      <c r="N55" s="67" t="e">
        <f t="shared" si="20"/>
        <v>#REF!</v>
      </c>
      <c r="O55" s="68" t="e">
        <f t="shared" si="21"/>
        <v>#REF!</v>
      </c>
      <c r="P55" s="69" t="e">
        <f t="shared" si="22"/>
        <v>#REF!</v>
      </c>
      <c r="Q55" s="70" t="e">
        <f t="shared" si="23"/>
        <v>#REF!</v>
      </c>
      <c r="R55" s="70" t="e">
        <f t="shared" si="24"/>
        <v>#REF!</v>
      </c>
      <c r="S55" s="71" t="e">
        <f>' 2024'!#REF!</f>
        <v>#REF!</v>
      </c>
      <c r="T55" s="71" t="e">
        <f>' 2024'!#REF!</f>
        <v>#REF!</v>
      </c>
      <c r="U55" s="72" t="e">
        <f>' 2024'!#REF!</f>
        <v>#REF!</v>
      </c>
      <c r="V55" s="72" t="e">
        <f>' 2024'!#REF!</f>
        <v>#REF!</v>
      </c>
      <c r="W55" s="73">
        <f>' 2024'!H62</f>
        <v>3314.9639999999995</v>
      </c>
      <c r="X55" s="74">
        <f>' 2024'!N62</f>
        <v>3758.5679999999998</v>
      </c>
      <c r="Y55" s="217">
        <v>0</v>
      </c>
      <c r="Z55" s="217">
        <v>0</v>
      </c>
      <c r="AA55" s="74">
        <f>' 2024'!J62</f>
        <v>0</v>
      </c>
      <c r="AB55" s="74">
        <f>' 2024'!P62</f>
        <v>0</v>
      </c>
      <c r="AC55" s="74">
        <f>' 2024'!K62</f>
        <v>0</v>
      </c>
      <c r="AD55" s="74">
        <f>' 2024'!Q62</f>
        <v>0</v>
      </c>
    </row>
    <row r="56" spans="1:30">
      <c r="A56">
        <f t="shared" si="14"/>
        <v>50</v>
      </c>
      <c r="B56" s="85" t="str">
        <f>' 2024'!B62</f>
        <v>Льговский район</v>
      </c>
      <c r="C56" s="92" t="str">
        <f t="shared" si="15"/>
        <v>Код района</v>
      </c>
      <c r="D56" s="66" t="str">
        <f>' 2024'!C63</f>
        <v xml:space="preserve"> п. Медвенка</v>
      </c>
      <c r="E56" s="92" t="str">
        <f t="shared" si="10"/>
        <v>Код сельсовета</v>
      </c>
      <c r="F56" s="89" t="str">
        <f>' 2024'!D63</f>
        <v>ГУПКО "Курскоблжилкомхоз"</v>
      </c>
      <c r="G56" s="91">
        <f>' 2024'!E63</f>
        <v>4632024035</v>
      </c>
      <c r="H56" s="48" t="e">
        <f t="shared" si="16"/>
        <v>#REF!</v>
      </c>
      <c r="I56" s="48" t="e">
        <f t="shared" si="17"/>
        <v>#REF!</v>
      </c>
      <c r="J56" s="48" t="e">
        <f t="shared" si="18"/>
        <v>#REF!</v>
      </c>
      <c r="K56" s="49" t="e">
        <f t="shared" si="19"/>
        <v>#REF!</v>
      </c>
      <c r="L56" s="86" t="e">
        <f>' 2024'!#REF!+' 2024'!#REF!</f>
        <v>#REF!</v>
      </c>
      <c r="M56" s="71" t="e">
        <f>' 2024'!#REF!+' 2024'!#REF!</f>
        <v>#REF!</v>
      </c>
      <c r="N56" s="67" t="e">
        <f t="shared" si="20"/>
        <v>#REF!</v>
      </c>
      <c r="O56" s="68" t="e">
        <f t="shared" si="21"/>
        <v>#REF!</v>
      </c>
      <c r="P56" s="69" t="e">
        <f t="shared" si="22"/>
        <v>#REF!</v>
      </c>
      <c r="Q56" s="70" t="e">
        <f t="shared" si="23"/>
        <v>#REF!</v>
      </c>
      <c r="R56" s="70" t="e">
        <f t="shared" si="24"/>
        <v>#REF!</v>
      </c>
      <c r="S56" s="71" t="e">
        <f>' 2024'!#REF!</f>
        <v>#REF!</v>
      </c>
      <c r="T56" s="71" t="e">
        <f>' 2024'!#REF!</f>
        <v>#REF!</v>
      </c>
      <c r="U56" s="72" t="e">
        <f>' 2024'!#REF!</f>
        <v>#REF!</v>
      </c>
      <c r="V56" s="72" t="e">
        <f>' 2024'!#REF!</f>
        <v>#REF!</v>
      </c>
      <c r="W56" s="73">
        <f>' 2024'!H63</f>
        <v>3314.9639999999995</v>
      </c>
      <c r="X56" s="74">
        <f>' 2024'!N63</f>
        <v>3758.5679999999998</v>
      </c>
      <c r="Y56" s="217">
        <v>0</v>
      </c>
      <c r="Z56" s="217">
        <v>0</v>
      </c>
      <c r="AA56" s="74">
        <f>' 2024'!J63</f>
        <v>2484</v>
      </c>
      <c r="AB56" s="74">
        <f>' 2024'!P63</f>
        <v>2719.98</v>
      </c>
      <c r="AC56" s="74">
        <f>' 2024'!K63</f>
        <v>0</v>
      </c>
      <c r="AD56" s="74">
        <f>' 2024'!Q63</f>
        <v>0</v>
      </c>
    </row>
    <row r="57" spans="1:30">
      <c r="A57">
        <f t="shared" si="14"/>
        <v>51</v>
      </c>
      <c r="B57" s="85" t="str">
        <f>' 2024'!B63</f>
        <v>Медвенский район</v>
      </c>
      <c r="C57" s="92" t="str">
        <f t="shared" si="15"/>
        <v>Код района</v>
      </c>
      <c r="D57" s="66" t="str">
        <f>' 2024'!C64</f>
        <v>Гостомлянский сельсовет</v>
      </c>
      <c r="E57" s="92" t="str">
        <f t="shared" si="10"/>
        <v>Код сельсовета</v>
      </c>
      <c r="F57" s="89" t="str">
        <f>' 2024'!D64</f>
        <v xml:space="preserve">ГУПКО "Курскоблжилкомхоз" </v>
      </c>
      <c r="G57" s="91">
        <f>' 2024'!E64</f>
        <v>4632024035</v>
      </c>
      <c r="H57" s="48" t="e">
        <f t="shared" si="16"/>
        <v>#REF!</v>
      </c>
      <c r="I57" s="48" t="e">
        <f t="shared" si="17"/>
        <v>#REF!</v>
      </c>
      <c r="J57" s="48" t="e">
        <f t="shared" si="18"/>
        <v>#REF!</v>
      </c>
      <c r="K57" s="49" t="e">
        <f t="shared" si="19"/>
        <v>#REF!</v>
      </c>
      <c r="L57" s="86" t="e">
        <f>' 2024'!#REF!+' 2024'!#REF!</f>
        <v>#REF!</v>
      </c>
      <c r="M57" s="71" t="e">
        <f>' 2024'!#REF!+' 2024'!#REF!</f>
        <v>#REF!</v>
      </c>
      <c r="N57" s="67" t="e">
        <f t="shared" si="20"/>
        <v>#REF!</v>
      </c>
      <c r="O57" s="68" t="e">
        <f t="shared" si="21"/>
        <v>#REF!</v>
      </c>
      <c r="P57" s="69" t="e">
        <f t="shared" si="22"/>
        <v>#REF!</v>
      </c>
      <c r="Q57" s="70" t="e">
        <f t="shared" si="23"/>
        <v>#REF!</v>
      </c>
      <c r="R57" s="70" t="e">
        <f t="shared" si="24"/>
        <v>#REF!</v>
      </c>
      <c r="S57" s="71" t="e">
        <f>' 2024'!#REF!</f>
        <v>#REF!</v>
      </c>
      <c r="T57" s="71" t="e">
        <f>' 2024'!#REF!</f>
        <v>#REF!</v>
      </c>
      <c r="U57" s="72" t="e">
        <f>' 2024'!#REF!</f>
        <v>#REF!</v>
      </c>
      <c r="V57" s="72" t="e">
        <f>' 2024'!#REF!</f>
        <v>#REF!</v>
      </c>
      <c r="W57" s="73">
        <f>' 2024'!H64</f>
        <v>3314.9639999999995</v>
      </c>
      <c r="X57" s="74">
        <f>' 2024'!N64</f>
        <v>3758.5679999999998</v>
      </c>
      <c r="Y57" s="217">
        <v>0</v>
      </c>
      <c r="Z57" s="217">
        <v>0</v>
      </c>
      <c r="AA57" s="74">
        <f>' 2024'!J64</f>
        <v>0</v>
      </c>
      <c r="AB57" s="74">
        <f>' 2024'!P64</f>
        <v>0</v>
      </c>
      <c r="AC57" s="74">
        <f>' 2024'!K64</f>
        <v>0</v>
      </c>
      <c r="AD57" s="74">
        <f>' 2024'!Q64</f>
        <v>0</v>
      </c>
    </row>
    <row r="58" spans="1:30">
      <c r="A58">
        <f t="shared" si="14"/>
        <v>52</v>
      </c>
      <c r="B58" s="85" t="str">
        <f>' 2024'!B64</f>
        <v>Медвенский район</v>
      </c>
      <c r="C58" s="92" t="str">
        <f t="shared" si="15"/>
        <v>Код района</v>
      </c>
      <c r="D58" s="66" t="str">
        <f>' 2024'!C65</f>
        <v>г. Обоянь</v>
      </c>
      <c r="E58" s="92" t="str">
        <f t="shared" si="10"/>
        <v>Код сельсовета</v>
      </c>
      <c r="F58" s="89" t="str">
        <f>' 2024'!D65</f>
        <v>ООО "Обоянские Коммунальные Тепловые Сети"</v>
      </c>
      <c r="G58" s="91">
        <f>' 2024'!E65</f>
        <v>4616008283</v>
      </c>
      <c r="H58" s="48" t="e">
        <f t="shared" si="16"/>
        <v>#REF!</v>
      </c>
      <c r="I58" s="48" t="e">
        <f t="shared" si="17"/>
        <v>#REF!</v>
      </c>
      <c r="J58" s="48" t="e">
        <f t="shared" si="18"/>
        <v>#REF!</v>
      </c>
      <c r="K58" s="49" t="e">
        <f t="shared" si="19"/>
        <v>#REF!</v>
      </c>
      <c r="L58" s="86" t="e">
        <f>' 2024'!#REF!+' 2024'!#REF!</f>
        <v>#REF!</v>
      </c>
      <c r="M58" s="71" t="e">
        <f>' 2024'!#REF!+' 2024'!#REF!</f>
        <v>#REF!</v>
      </c>
      <c r="N58" s="67" t="e">
        <f t="shared" si="20"/>
        <v>#REF!</v>
      </c>
      <c r="O58" s="68" t="e">
        <f t="shared" si="21"/>
        <v>#REF!</v>
      </c>
      <c r="P58" s="69" t="e">
        <f t="shared" si="22"/>
        <v>#REF!</v>
      </c>
      <c r="Q58" s="70" t="e">
        <f t="shared" si="23"/>
        <v>#REF!</v>
      </c>
      <c r="R58" s="70" t="e">
        <f t="shared" si="24"/>
        <v>#REF!</v>
      </c>
      <c r="S58" s="71" t="e">
        <f>' 2024'!#REF!</f>
        <v>#REF!</v>
      </c>
      <c r="T58" s="71" t="e">
        <f>' 2024'!#REF!</f>
        <v>#REF!</v>
      </c>
      <c r="U58" s="72" t="e">
        <f>' 2024'!#REF!</f>
        <v>#REF!</v>
      </c>
      <c r="V58" s="72" t="e">
        <f>' 2024'!#REF!</f>
        <v>#REF!</v>
      </c>
      <c r="W58" s="73">
        <f>' 2024'!H65</f>
        <v>3478.3346220056919</v>
      </c>
      <c r="X58" s="74">
        <f>' 2024'!N65</f>
        <v>3853.91</v>
      </c>
      <c r="Y58" s="217">
        <v>0</v>
      </c>
      <c r="Z58" s="217">
        <v>0</v>
      </c>
      <c r="AA58" s="74">
        <f>' 2024'!J65</f>
        <v>3122.7852000000003</v>
      </c>
      <c r="AB58" s="74">
        <f>' 2024'!P65</f>
        <v>3572.47</v>
      </c>
      <c r="AC58" s="74">
        <f>' 2024'!K65</f>
        <v>3122.7852000000003</v>
      </c>
      <c r="AD58" s="74">
        <f>' 2024'!Q65</f>
        <v>3572.47</v>
      </c>
    </row>
    <row r="59" spans="1:30">
      <c r="A59">
        <f t="shared" si="14"/>
        <v>53</v>
      </c>
      <c r="B59" s="85" t="str">
        <f>' 2024'!B65</f>
        <v>Обоянский район</v>
      </c>
      <c r="C59" s="92" t="str">
        <f t="shared" si="15"/>
        <v>Код района</v>
      </c>
      <c r="D59" s="66" t="str">
        <f>' 2024'!C66</f>
        <v>Зоринский сельсовет</v>
      </c>
      <c r="E59" s="92" t="str">
        <f t="shared" si="10"/>
        <v>Код сельсовета</v>
      </c>
      <c r="F59" s="89" t="str">
        <f>' 2024'!D66</f>
        <v xml:space="preserve">ГУПКО "Курскоблжилкомхоз" </v>
      </c>
      <c r="G59" s="91">
        <f>' 2024'!E66</f>
        <v>4632024035</v>
      </c>
      <c r="H59" s="48" t="e">
        <f t="shared" si="16"/>
        <v>#REF!</v>
      </c>
      <c r="I59" s="48" t="e">
        <f t="shared" si="17"/>
        <v>#REF!</v>
      </c>
      <c r="J59" s="48" t="e">
        <f t="shared" si="18"/>
        <v>#REF!</v>
      </c>
      <c r="K59" s="49" t="e">
        <f t="shared" si="19"/>
        <v>#REF!</v>
      </c>
      <c r="L59" s="86" t="e">
        <f>' 2024'!#REF!+' 2024'!#REF!</f>
        <v>#REF!</v>
      </c>
      <c r="M59" s="71" t="e">
        <f>' 2024'!#REF!+' 2024'!#REF!</f>
        <v>#REF!</v>
      </c>
      <c r="N59" s="67" t="e">
        <f t="shared" si="20"/>
        <v>#REF!</v>
      </c>
      <c r="O59" s="68" t="e">
        <f t="shared" si="21"/>
        <v>#REF!</v>
      </c>
      <c r="P59" s="69" t="e">
        <f t="shared" si="22"/>
        <v>#REF!</v>
      </c>
      <c r="Q59" s="70" t="e">
        <f t="shared" si="23"/>
        <v>#REF!</v>
      </c>
      <c r="R59" s="70" t="e">
        <f t="shared" si="24"/>
        <v>#REF!</v>
      </c>
      <c r="S59" s="71" t="e">
        <f>' 2024'!#REF!</f>
        <v>#REF!</v>
      </c>
      <c r="T59" s="71" t="e">
        <f>' 2024'!#REF!</f>
        <v>#REF!</v>
      </c>
      <c r="U59" s="72" t="e">
        <f>' 2024'!#REF!</f>
        <v>#REF!</v>
      </c>
      <c r="V59" s="72" t="e">
        <f>' 2024'!#REF!</f>
        <v>#REF!</v>
      </c>
      <c r="W59" s="73">
        <f>' 2024'!H66</f>
        <v>3314.9639999999995</v>
      </c>
      <c r="X59" s="74">
        <f>' 2024'!N66</f>
        <v>3758.5679999999998</v>
      </c>
      <c r="Y59" s="217">
        <v>0</v>
      </c>
      <c r="Z59" s="217">
        <v>0</v>
      </c>
      <c r="AA59" s="74">
        <f>' 2024'!J66</f>
        <v>0</v>
      </c>
      <c r="AB59" s="74">
        <f>' 2024'!P66</f>
        <v>0</v>
      </c>
      <c r="AC59" s="74">
        <f>' 2024'!K66</f>
        <v>0</v>
      </c>
      <c r="AD59" s="74">
        <f>' 2024'!Q66</f>
        <v>0</v>
      </c>
    </row>
    <row r="60" spans="1:30">
      <c r="A60">
        <f t="shared" si="14"/>
        <v>54</v>
      </c>
      <c r="B60" s="85" t="str">
        <f>' 2024'!B66</f>
        <v>Обоянский район</v>
      </c>
      <c r="C60" s="92" t="str">
        <f t="shared" si="15"/>
        <v>Код района</v>
      </c>
      <c r="D60" s="66" t="str">
        <f>' 2024'!C67</f>
        <v>Быкановский сельсовет</v>
      </c>
      <c r="E60" s="92" t="str">
        <f t="shared" si="10"/>
        <v>Код сельсовета</v>
      </c>
      <c r="F60" s="89" t="str">
        <f>' 2024'!D67</f>
        <v xml:space="preserve">ГУПКО "Курскоблжилкомхоз" </v>
      </c>
      <c r="G60" s="91">
        <f>' 2024'!E67</f>
        <v>4632024035</v>
      </c>
      <c r="H60" s="48" t="e">
        <f t="shared" si="16"/>
        <v>#REF!</v>
      </c>
      <c r="I60" s="48" t="e">
        <f t="shared" si="17"/>
        <v>#REF!</v>
      </c>
      <c r="J60" s="48" t="e">
        <f t="shared" si="18"/>
        <v>#REF!</v>
      </c>
      <c r="K60" s="49" t="e">
        <f t="shared" si="19"/>
        <v>#REF!</v>
      </c>
      <c r="L60" s="86" t="e">
        <f>' 2024'!#REF!+' 2024'!#REF!</f>
        <v>#REF!</v>
      </c>
      <c r="M60" s="71" t="e">
        <f>' 2024'!#REF!+' 2024'!#REF!</f>
        <v>#REF!</v>
      </c>
      <c r="N60" s="67" t="e">
        <f t="shared" si="20"/>
        <v>#REF!</v>
      </c>
      <c r="O60" s="68" t="e">
        <f t="shared" si="21"/>
        <v>#REF!</v>
      </c>
      <c r="P60" s="69" t="e">
        <f t="shared" si="22"/>
        <v>#REF!</v>
      </c>
      <c r="Q60" s="70" t="e">
        <f t="shared" si="23"/>
        <v>#REF!</v>
      </c>
      <c r="R60" s="70" t="e">
        <f t="shared" si="24"/>
        <v>#REF!</v>
      </c>
      <c r="S60" s="71" t="e">
        <f>' 2024'!#REF!</f>
        <v>#REF!</v>
      </c>
      <c r="T60" s="71" t="e">
        <f>' 2024'!#REF!</f>
        <v>#REF!</v>
      </c>
      <c r="U60" s="72" t="e">
        <f>' 2024'!#REF!</f>
        <v>#REF!</v>
      </c>
      <c r="V60" s="72" t="e">
        <f>' 2024'!#REF!</f>
        <v>#REF!</v>
      </c>
      <c r="W60" s="73">
        <f>' 2024'!H67</f>
        <v>3314.9639999999995</v>
      </c>
      <c r="X60" s="74">
        <f>' 2024'!N67</f>
        <v>3758.5679999999998</v>
      </c>
      <c r="Y60" s="217">
        <v>0</v>
      </c>
      <c r="Z60" s="217">
        <v>0</v>
      </c>
      <c r="AA60" s="74">
        <f>' 2024'!J67</f>
        <v>0</v>
      </c>
      <c r="AB60" s="74">
        <f>' 2024'!P67</f>
        <v>0</v>
      </c>
      <c r="AC60" s="74">
        <f>' 2024'!K67</f>
        <v>0</v>
      </c>
      <c r="AD60" s="74">
        <f>' 2024'!Q67</f>
        <v>0</v>
      </c>
    </row>
    <row r="61" spans="1:30">
      <c r="A61">
        <f t="shared" si="14"/>
        <v>55</v>
      </c>
      <c r="B61" s="85" t="str">
        <f>' 2024'!B67</f>
        <v>Обоянский район</v>
      </c>
      <c r="C61" s="92" t="str">
        <f t="shared" si="15"/>
        <v>Код района</v>
      </c>
      <c r="D61" s="66" t="str">
        <f>' 2024'!C68</f>
        <v>п. Прямицыно</v>
      </c>
      <c r="E61" s="92" t="str">
        <f t="shared" si="10"/>
        <v>Код сельсовета</v>
      </c>
      <c r="F61" s="89" t="str">
        <f>' 2024'!D68</f>
        <v xml:space="preserve">ООО "Коммунальщик" п.Прямицыно (Центральная котельная) </v>
      </c>
      <c r="G61" s="91">
        <f>' 2024'!E68</f>
        <v>4617004147</v>
      </c>
      <c r="H61" s="48" t="e">
        <f t="shared" si="16"/>
        <v>#REF!</v>
      </c>
      <c r="I61" s="48" t="e">
        <f t="shared" si="17"/>
        <v>#REF!</v>
      </c>
      <c r="J61" s="48" t="e">
        <f t="shared" si="18"/>
        <v>#REF!</v>
      </c>
      <c r="K61" s="49" t="e">
        <f t="shared" si="19"/>
        <v>#REF!</v>
      </c>
      <c r="L61" s="86" t="e">
        <f>' 2024'!#REF!+' 2024'!#REF!</f>
        <v>#REF!</v>
      </c>
      <c r="M61" s="71" t="e">
        <f>' 2024'!#REF!+' 2024'!#REF!</f>
        <v>#REF!</v>
      </c>
      <c r="N61" s="67" t="e">
        <f t="shared" si="20"/>
        <v>#REF!</v>
      </c>
      <c r="O61" s="68" t="e">
        <f t="shared" si="21"/>
        <v>#REF!</v>
      </c>
      <c r="P61" s="69" t="e">
        <f t="shared" si="22"/>
        <v>#REF!</v>
      </c>
      <c r="Q61" s="70" t="e">
        <f t="shared" si="23"/>
        <v>#REF!</v>
      </c>
      <c r="R61" s="70" t="e">
        <f t="shared" si="24"/>
        <v>#REF!</v>
      </c>
      <c r="S61" s="71" t="e">
        <f>' 2024'!#REF!</f>
        <v>#REF!</v>
      </c>
      <c r="T61" s="71" t="e">
        <f>' 2024'!#REF!</f>
        <v>#REF!</v>
      </c>
      <c r="U61" s="72" t="e">
        <f>' 2024'!#REF!</f>
        <v>#REF!</v>
      </c>
      <c r="V61" s="72" t="e">
        <f>' 2024'!#REF!</f>
        <v>#REF!</v>
      </c>
      <c r="W61" s="73">
        <f>' 2024'!H68</f>
        <v>2706.4706688038673</v>
      </c>
      <c r="X61" s="74">
        <f>' 2024'!N68</f>
        <v>3095.58</v>
      </c>
      <c r="Y61" s="217">
        <v>0</v>
      </c>
      <c r="Z61" s="217">
        <v>0</v>
      </c>
      <c r="AA61" s="74">
        <f>' 2024'!J68</f>
        <v>2706.4706688038673</v>
      </c>
      <c r="AB61" s="74">
        <f>' 2024'!P68</f>
        <v>3095.58</v>
      </c>
      <c r="AC61" s="74">
        <f>' 2024'!K68</f>
        <v>0</v>
      </c>
      <c r="AD61" s="74">
        <f>' 2024'!Q68</f>
        <v>0</v>
      </c>
    </row>
    <row r="62" spans="1:30">
      <c r="A62">
        <f t="shared" si="14"/>
        <v>56</v>
      </c>
      <c r="B62" s="85" t="str">
        <f>' 2024'!B68</f>
        <v>Октябрьский район</v>
      </c>
      <c r="C62" s="92" t="str">
        <f t="shared" si="15"/>
        <v>Код района</v>
      </c>
      <c r="D62" s="66" t="str">
        <f>' 2024'!C69</f>
        <v>п. Прямицыно</v>
      </c>
      <c r="E62" s="92" t="str">
        <f t="shared" si="10"/>
        <v>Код сельсовета</v>
      </c>
      <c r="F62" s="89" t="str">
        <f>' 2024'!D69</f>
        <v xml:space="preserve">ГУПКО "Курскоблжилкомхоз" </v>
      </c>
      <c r="G62" s="91">
        <f>' 2024'!E69</f>
        <v>4632024035</v>
      </c>
      <c r="H62" s="48" t="e">
        <f t="shared" si="16"/>
        <v>#REF!</v>
      </c>
      <c r="I62" s="48" t="e">
        <f t="shared" si="17"/>
        <v>#REF!</v>
      </c>
      <c r="J62" s="48" t="e">
        <f t="shared" si="18"/>
        <v>#REF!</v>
      </c>
      <c r="K62" s="49" t="e">
        <f t="shared" si="19"/>
        <v>#REF!</v>
      </c>
      <c r="L62" s="86" t="e">
        <f>' 2024'!#REF!+' 2024'!#REF!</f>
        <v>#REF!</v>
      </c>
      <c r="M62" s="71" t="e">
        <f>' 2024'!#REF!+' 2024'!#REF!</f>
        <v>#REF!</v>
      </c>
      <c r="N62" s="67" t="e">
        <f t="shared" si="20"/>
        <v>#REF!</v>
      </c>
      <c r="O62" s="68" t="e">
        <f t="shared" si="21"/>
        <v>#REF!</v>
      </c>
      <c r="P62" s="69" t="e">
        <f t="shared" si="22"/>
        <v>#REF!</v>
      </c>
      <c r="Q62" s="70" t="e">
        <f t="shared" si="23"/>
        <v>#REF!</v>
      </c>
      <c r="R62" s="70" t="e">
        <f t="shared" si="24"/>
        <v>#REF!</v>
      </c>
      <c r="S62" s="71" t="e">
        <f>' 2024'!#REF!</f>
        <v>#REF!</v>
      </c>
      <c r="T62" s="71" t="e">
        <f>' 2024'!#REF!</f>
        <v>#REF!</v>
      </c>
      <c r="U62" s="72" t="e">
        <f>' 2024'!#REF!</f>
        <v>#REF!</v>
      </c>
      <c r="V62" s="72" t="e">
        <f>' 2024'!#REF!</f>
        <v>#REF!</v>
      </c>
      <c r="W62" s="73">
        <f>' 2024'!H69</f>
        <v>3314.9639999999995</v>
      </c>
      <c r="X62" s="74">
        <f>' 2024'!N69</f>
        <v>3758.5679999999998</v>
      </c>
      <c r="Y62" s="217">
        <v>0</v>
      </c>
      <c r="Z62" s="217">
        <v>0</v>
      </c>
      <c r="AA62" s="74">
        <f>' 2024'!J69</f>
        <v>2950.21</v>
      </c>
      <c r="AB62" s="74">
        <f>' 2024'!P69</f>
        <v>2979.71</v>
      </c>
      <c r="AC62" s="74">
        <f>' 2024'!K69</f>
        <v>0</v>
      </c>
      <c r="AD62" s="74">
        <f>' 2024'!Q69</f>
        <v>0</v>
      </c>
    </row>
    <row r="63" spans="1:30">
      <c r="A63">
        <f t="shared" si="14"/>
        <v>57</v>
      </c>
      <c r="B63" s="85" t="str">
        <f>' 2024'!B69</f>
        <v>Октябрьский район</v>
      </c>
      <c r="C63" s="92" t="str">
        <f t="shared" si="15"/>
        <v>Код района</v>
      </c>
      <c r="D63" s="66" t="str">
        <f>' 2024'!C70</f>
        <v>Лобазовский сельсовет</v>
      </c>
      <c r="E63" s="92" t="str">
        <f t="shared" si="10"/>
        <v>Код сельсовета</v>
      </c>
      <c r="F63" s="89" t="str">
        <f>' 2024'!D70</f>
        <v>ООО "Коммунальщик" (Прямицыно)</v>
      </c>
      <c r="G63" s="91">
        <f>' 2024'!E70</f>
        <v>4617004147</v>
      </c>
      <c r="H63" s="48" t="e">
        <f t="shared" si="16"/>
        <v>#REF!</v>
      </c>
      <c r="I63" s="48" t="e">
        <f t="shared" si="17"/>
        <v>#REF!</v>
      </c>
      <c r="J63" s="48" t="e">
        <f t="shared" si="18"/>
        <v>#REF!</v>
      </c>
      <c r="K63" s="49" t="e">
        <f t="shared" si="19"/>
        <v>#REF!</v>
      </c>
      <c r="L63" s="86" t="e">
        <f>' 2024'!#REF!+' 2024'!#REF!</f>
        <v>#REF!</v>
      </c>
      <c r="M63" s="71" t="e">
        <f>' 2024'!#REF!+' 2024'!#REF!</f>
        <v>#REF!</v>
      </c>
      <c r="N63" s="67" t="e">
        <f t="shared" si="20"/>
        <v>#REF!</v>
      </c>
      <c r="O63" s="68" t="e">
        <f t="shared" si="21"/>
        <v>#REF!</v>
      </c>
      <c r="P63" s="69" t="e">
        <f t="shared" si="22"/>
        <v>#REF!</v>
      </c>
      <c r="Q63" s="70" t="e">
        <f t="shared" si="23"/>
        <v>#REF!</v>
      </c>
      <c r="R63" s="70" t="e">
        <f t="shared" si="24"/>
        <v>#REF!</v>
      </c>
      <c r="S63" s="71" t="e">
        <f>' 2024'!#REF!</f>
        <v>#REF!</v>
      </c>
      <c r="T63" s="71" t="e">
        <f>' 2024'!#REF!</f>
        <v>#REF!</v>
      </c>
      <c r="U63" s="72" t="e">
        <f>' 2024'!#REF!</f>
        <v>#REF!</v>
      </c>
      <c r="V63" s="72" t="e">
        <f>' 2024'!#REF!</f>
        <v>#REF!</v>
      </c>
      <c r="W63" s="73">
        <f>' 2024'!H70</f>
        <v>3850.8480191964254</v>
      </c>
      <c r="X63" s="74">
        <f>' 2024'!N70</f>
        <v>4621.0200000000004</v>
      </c>
      <c r="Y63" s="217">
        <v>0</v>
      </c>
      <c r="Z63" s="217">
        <v>0</v>
      </c>
      <c r="AA63" s="74">
        <f>' 2024'!J70</f>
        <v>0</v>
      </c>
      <c r="AB63" s="74">
        <f>' 2024'!P70</f>
        <v>0</v>
      </c>
      <c r="AC63" s="74">
        <f>' 2024'!K70</f>
        <v>0</v>
      </c>
      <c r="AD63" s="74">
        <f>' 2024'!Q70</f>
        <v>0</v>
      </c>
    </row>
    <row r="64" spans="1:30">
      <c r="A64">
        <f t="shared" si="14"/>
        <v>58</v>
      </c>
      <c r="B64" s="85" t="str">
        <f>' 2024'!B70</f>
        <v>Октябрьский район</v>
      </c>
      <c r="C64" s="92" t="str">
        <f t="shared" si="15"/>
        <v>Код района</v>
      </c>
      <c r="D64" s="66" t="str">
        <f>' 2024'!C71</f>
        <v>Артюховский сельсовет</v>
      </c>
      <c r="E64" s="92" t="str">
        <f t="shared" si="10"/>
        <v>Код сельсовета</v>
      </c>
      <c r="F64" s="89" t="str">
        <f>' 2024'!D71</f>
        <v>ООО "Коммунальщик" (Прямицыно)</v>
      </c>
      <c r="G64" s="91">
        <f>' 2024'!E71</f>
        <v>4617004147</v>
      </c>
      <c r="H64" s="48" t="e">
        <f t="shared" si="16"/>
        <v>#REF!</v>
      </c>
      <c r="I64" s="48" t="e">
        <f t="shared" si="17"/>
        <v>#REF!</v>
      </c>
      <c r="J64" s="48" t="e">
        <f t="shared" si="18"/>
        <v>#REF!</v>
      </c>
      <c r="K64" s="49" t="e">
        <f t="shared" si="19"/>
        <v>#REF!</v>
      </c>
      <c r="L64" s="86" t="e">
        <f>' 2024'!#REF!+' 2024'!#REF!</f>
        <v>#REF!</v>
      </c>
      <c r="M64" s="71" t="e">
        <f>' 2024'!#REF!+' 2024'!#REF!</f>
        <v>#REF!</v>
      </c>
      <c r="N64" s="67" t="e">
        <f t="shared" si="20"/>
        <v>#REF!</v>
      </c>
      <c r="O64" s="68" t="e">
        <f t="shared" si="21"/>
        <v>#REF!</v>
      </c>
      <c r="P64" s="69" t="e">
        <f t="shared" si="22"/>
        <v>#REF!</v>
      </c>
      <c r="Q64" s="70" t="e">
        <f t="shared" si="23"/>
        <v>#REF!</v>
      </c>
      <c r="R64" s="70" t="e">
        <f t="shared" si="24"/>
        <v>#REF!</v>
      </c>
      <c r="S64" s="71" t="e">
        <f>' 2024'!#REF!</f>
        <v>#REF!</v>
      </c>
      <c r="T64" s="71" t="e">
        <f>' 2024'!#REF!</f>
        <v>#REF!</v>
      </c>
      <c r="U64" s="72" t="e">
        <f>' 2024'!#REF!</f>
        <v>#REF!</v>
      </c>
      <c r="V64" s="72" t="e">
        <f>' 2024'!#REF!</f>
        <v>#REF!</v>
      </c>
      <c r="W64" s="73">
        <f>' 2024'!H71</f>
        <v>3850.8480191964254</v>
      </c>
      <c r="X64" s="74">
        <f>' 2024'!N71</f>
        <v>4621.0200000000004</v>
      </c>
      <c r="Y64" s="217">
        <v>0</v>
      </c>
      <c r="Z64" s="217">
        <v>0</v>
      </c>
      <c r="AA64" s="74">
        <f>' 2024'!J71</f>
        <v>0</v>
      </c>
      <c r="AB64" s="74">
        <f>' 2024'!P71</f>
        <v>0</v>
      </c>
      <c r="AC64" s="74">
        <f>' 2024'!K71</f>
        <v>0</v>
      </c>
      <c r="AD64" s="74">
        <f>' 2024'!Q71</f>
        <v>0</v>
      </c>
    </row>
    <row r="65" spans="1:30">
      <c r="A65">
        <f t="shared" si="14"/>
        <v>59</v>
      </c>
      <c r="B65" s="85" t="str">
        <f>' 2024'!B71</f>
        <v>Октябрьский район</v>
      </c>
      <c r="C65" s="92" t="str">
        <f t="shared" si="15"/>
        <v>Код района</v>
      </c>
      <c r="D65" s="66" t="str">
        <f>' 2024'!C72</f>
        <v>Дьяконовский сельсовет</v>
      </c>
      <c r="E65" s="92" t="str">
        <f t="shared" si="10"/>
        <v>Код сельсовета</v>
      </c>
      <c r="F65" s="89" t="str">
        <f>' 2024'!D72</f>
        <v>ООО "Коммунальщик" (Прямицыно)</v>
      </c>
      <c r="G65" s="91">
        <f>' 2024'!E72</f>
        <v>4617004147</v>
      </c>
      <c r="H65" s="48" t="e">
        <f t="shared" si="16"/>
        <v>#REF!</v>
      </c>
      <c r="I65" s="48" t="e">
        <f t="shared" si="17"/>
        <v>#REF!</v>
      </c>
      <c r="J65" s="48" t="e">
        <f t="shared" si="18"/>
        <v>#REF!</v>
      </c>
      <c r="K65" s="49" t="e">
        <f t="shared" si="19"/>
        <v>#REF!</v>
      </c>
      <c r="L65" s="86" t="e">
        <f>' 2024'!#REF!+' 2024'!#REF!</f>
        <v>#REF!</v>
      </c>
      <c r="M65" s="71" t="e">
        <f>' 2024'!#REF!+' 2024'!#REF!</f>
        <v>#REF!</v>
      </c>
      <c r="N65" s="67" t="e">
        <f t="shared" si="20"/>
        <v>#REF!</v>
      </c>
      <c r="O65" s="68" t="e">
        <f t="shared" si="21"/>
        <v>#REF!</v>
      </c>
      <c r="P65" s="69" t="e">
        <f t="shared" si="22"/>
        <v>#REF!</v>
      </c>
      <c r="Q65" s="70" t="e">
        <f t="shared" si="23"/>
        <v>#REF!</v>
      </c>
      <c r="R65" s="70" t="e">
        <f t="shared" si="24"/>
        <v>#REF!</v>
      </c>
      <c r="S65" s="71" t="e">
        <f>' 2024'!#REF!</f>
        <v>#REF!</v>
      </c>
      <c r="T65" s="71" t="e">
        <f>' 2024'!#REF!</f>
        <v>#REF!</v>
      </c>
      <c r="U65" s="72" t="e">
        <f>' 2024'!#REF!</f>
        <v>#REF!</v>
      </c>
      <c r="V65" s="72" t="e">
        <f>' 2024'!#REF!</f>
        <v>#REF!</v>
      </c>
      <c r="W65" s="73">
        <f>' 2024'!H72</f>
        <v>3850.8480191964254</v>
      </c>
      <c r="X65" s="74">
        <f>' 2024'!N72</f>
        <v>4621.0200000000004</v>
      </c>
      <c r="Y65" s="217">
        <v>0</v>
      </c>
      <c r="Z65" s="217">
        <v>0</v>
      </c>
      <c r="AA65" s="74">
        <f>' 2024'!J72</f>
        <v>0</v>
      </c>
      <c r="AB65" s="74">
        <f>' 2024'!P72</f>
        <v>0</v>
      </c>
      <c r="AC65" s="74">
        <f>' 2024'!K72</f>
        <v>0</v>
      </c>
      <c r="AD65" s="74">
        <f>' 2024'!Q72</f>
        <v>0</v>
      </c>
    </row>
    <row r="66" spans="1:30">
      <c r="A66">
        <f t="shared" si="14"/>
        <v>60</v>
      </c>
      <c r="B66" s="85" t="str">
        <f>' 2024'!B72</f>
        <v>Октябрьский район</v>
      </c>
      <c r="C66" s="92" t="str">
        <f t="shared" si="15"/>
        <v>Код района</v>
      </c>
      <c r="D66" s="66" t="str">
        <f>' 2024'!C73</f>
        <v>Залиновский сельсовет</v>
      </c>
      <c r="E66" s="92" t="str">
        <f t="shared" si="10"/>
        <v>Код сельсовета</v>
      </c>
      <c r="F66" s="89" t="str">
        <f>' 2024'!D73</f>
        <v>ООО "Коммунальщик" (Прямицыно)</v>
      </c>
      <c r="G66" s="91">
        <f>' 2024'!E73</f>
        <v>4617004147</v>
      </c>
      <c r="H66" s="48" t="e">
        <f t="shared" si="16"/>
        <v>#REF!</v>
      </c>
      <c r="I66" s="48" t="e">
        <f t="shared" si="17"/>
        <v>#REF!</v>
      </c>
      <c r="J66" s="48" t="e">
        <f t="shared" si="18"/>
        <v>#REF!</v>
      </c>
      <c r="K66" s="49" t="e">
        <f t="shared" si="19"/>
        <v>#REF!</v>
      </c>
      <c r="L66" s="86" t="e">
        <f>' 2024'!#REF!+' 2024'!#REF!</f>
        <v>#REF!</v>
      </c>
      <c r="M66" s="71" t="e">
        <f>' 2024'!#REF!+' 2024'!#REF!</f>
        <v>#REF!</v>
      </c>
      <c r="N66" s="67" t="e">
        <f t="shared" si="20"/>
        <v>#REF!</v>
      </c>
      <c r="O66" s="68" t="e">
        <f t="shared" si="21"/>
        <v>#REF!</v>
      </c>
      <c r="P66" s="69" t="e">
        <f t="shared" si="22"/>
        <v>#REF!</v>
      </c>
      <c r="Q66" s="70" t="e">
        <f t="shared" si="23"/>
        <v>#REF!</v>
      </c>
      <c r="R66" s="70" t="e">
        <f t="shared" si="24"/>
        <v>#REF!</v>
      </c>
      <c r="S66" s="71" t="e">
        <f>' 2024'!#REF!</f>
        <v>#REF!</v>
      </c>
      <c r="T66" s="71" t="e">
        <f>' 2024'!#REF!</f>
        <v>#REF!</v>
      </c>
      <c r="U66" s="72" t="e">
        <f>' 2024'!#REF!</f>
        <v>#REF!</v>
      </c>
      <c r="V66" s="72" t="e">
        <f>' 2024'!#REF!</f>
        <v>#REF!</v>
      </c>
      <c r="W66" s="73">
        <f>' 2024'!H73</f>
        <v>3850.8480191964254</v>
      </c>
      <c r="X66" s="74">
        <f>' 2024'!N73</f>
        <v>4621.0200000000004</v>
      </c>
      <c r="Y66" s="217">
        <v>0</v>
      </c>
      <c r="Z66" s="217">
        <v>0</v>
      </c>
      <c r="AA66" s="74">
        <f>' 2024'!J73</f>
        <v>0</v>
      </c>
      <c r="AB66" s="74">
        <f>' 2024'!P73</f>
        <v>0</v>
      </c>
      <c r="AC66" s="74">
        <f>' 2024'!K73</f>
        <v>0</v>
      </c>
      <c r="AD66" s="74">
        <f>' 2024'!Q73</f>
        <v>0</v>
      </c>
    </row>
    <row r="67" spans="1:30">
      <c r="A67">
        <f t="shared" si="14"/>
        <v>61</v>
      </c>
      <c r="B67" s="85" t="str">
        <f>' 2024'!B73</f>
        <v>Октябрьский район</v>
      </c>
      <c r="C67" s="92" t="str">
        <f t="shared" si="15"/>
        <v>Код района</v>
      </c>
      <c r="D67" s="66" t="str">
        <f>' 2024'!C74</f>
        <v>Черницынский сельсовет</v>
      </c>
      <c r="E67" s="92" t="str">
        <f t="shared" si="10"/>
        <v>Код сельсовета</v>
      </c>
      <c r="F67" s="89" t="str">
        <f>' 2024'!D74</f>
        <v>ООО "Коммунальщик" (Прямицыно)</v>
      </c>
      <c r="G67" s="91">
        <f>' 2024'!E74</f>
        <v>4617004147</v>
      </c>
      <c r="H67" s="48" t="e">
        <f t="shared" si="16"/>
        <v>#REF!</v>
      </c>
      <c r="I67" s="48" t="e">
        <f t="shared" si="17"/>
        <v>#REF!</v>
      </c>
      <c r="J67" s="48" t="e">
        <f t="shared" si="18"/>
        <v>#REF!</v>
      </c>
      <c r="K67" s="49" t="e">
        <f t="shared" si="19"/>
        <v>#REF!</v>
      </c>
      <c r="L67" s="86" t="e">
        <f>' 2024'!#REF!+' 2024'!#REF!</f>
        <v>#REF!</v>
      </c>
      <c r="M67" s="71" t="e">
        <f>' 2024'!#REF!+' 2024'!#REF!</f>
        <v>#REF!</v>
      </c>
      <c r="N67" s="67" t="e">
        <f t="shared" si="20"/>
        <v>#REF!</v>
      </c>
      <c r="O67" s="68" t="e">
        <f t="shared" si="21"/>
        <v>#REF!</v>
      </c>
      <c r="P67" s="69" t="e">
        <f t="shared" si="22"/>
        <v>#REF!</v>
      </c>
      <c r="Q67" s="70" t="e">
        <f t="shared" si="23"/>
        <v>#REF!</v>
      </c>
      <c r="R67" s="70" t="e">
        <f t="shared" si="24"/>
        <v>#REF!</v>
      </c>
      <c r="S67" s="71" t="e">
        <f>' 2024'!#REF!</f>
        <v>#REF!</v>
      </c>
      <c r="T67" s="71" t="e">
        <f>' 2024'!#REF!</f>
        <v>#REF!</v>
      </c>
      <c r="U67" s="72" t="e">
        <f>' 2024'!#REF!</f>
        <v>#REF!</v>
      </c>
      <c r="V67" s="72" t="e">
        <f>' 2024'!#REF!</f>
        <v>#REF!</v>
      </c>
      <c r="W67" s="73">
        <f>' 2024'!H74</f>
        <v>3850.8480191964254</v>
      </c>
      <c r="X67" s="74">
        <f>' 2024'!N74</f>
        <v>4621.0200000000004</v>
      </c>
      <c r="Y67" s="217">
        <v>0</v>
      </c>
      <c r="Z67" s="217">
        <v>0</v>
      </c>
      <c r="AA67" s="74">
        <f>' 2024'!J74</f>
        <v>0</v>
      </c>
      <c r="AB67" s="74">
        <f>' 2024'!P74</f>
        <v>0</v>
      </c>
      <c r="AC67" s="74">
        <f>' 2024'!K74</f>
        <v>0</v>
      </c>
      <c r="AD67" s="74">
        <f>' 2024'!Q74</f>
        <v>0</v>
      </c>
    </row>
    <row r="68" spans="1:30">
      <c r="A68">
        <f t="shared" si="14"/>
        <v>62</v>
      </c>
      <c r="B68" s="85" t="str">
        <f>' 2024'!B74</f>
        <v>Октябрьский район</v>
      </c>
      <c r="C68" s="92" t="str">
        <f t="shared" si="15"/>
        <v>Код района</v>
      </c>
      <c r="D68" s="66" t="str">
        <f>' 2024'!C75</f>
        <v>Большедолженковский сельсовет</v>
      </c>
      <c r="E68" s="92" t="str">
        <f t="shared" si="10"/>
        <v>Код сельсовета</v>
      </c>
      <c r="F68" s="89" t="str">
        <f>' 2024'!D75</f>
        <v>ООО "Коммунальщик" (Прямицыно)</v>
      </c>
      <c r="G68" s="91">
        <f>' 2024'!E75</f>
        <v>4617004147</v>
      </c>
      <c r="H68" s="48" t="e">
        <f t="shared" si="16"/>
        <v>#REF!</v>
      </c>
      <c r="I68" s="48" t="e">
        <f t="shared" si="17"/>
        <v>#REF!</v>
      </c>
      <c r="J68" s="48" t="e">
        <f t="shared" si="18"/>
        <v>#REF!</v>
      </c>
      <c r="K68" s="49" t="e">
        <f t="shared" si="19"/>
        <v>#REF!</v>
      </c>
      <c r="L68" s="86" t="e">
        <f>' 2024'!#REF!+' 2024'!#REF!</f>
        <v>#REF!</v>
      </c>
      <c r="M68" s="71" t="e">
        <f>' 2024'!#REF!+' 2024'!#REF!</f>
        <v>#REF!</v>
      </c>
      <c r="N68" s="67" t="e">
        <f t="shared" si="20"/>
        <v>#REF!</v>
      </c>
      <c r="O68" s="68" t="e">
        <f t="shared" si="21"/>
        <v>#REF!</v>
      </c>
      <c r="P68" s="69" t="e">
        <f t="shared" si="22"/>
        <v>#REF!</v>
      </c>
      <c r="Q68" s="70" t="e">
        <f t="shared" si="23"/>
        <v>#REF!</v>
      </c>
      <c r="R68" s="70" t="e">
        <f t="shared" si="24"/>
        <v>#REF!</v>
      </c>
      <c r="S68" s="71" t="e">
        <f>' 2024'!#REF!</f>
        <v>#REF!</v>
      </c>
      <c r="T68" s="71" t="e">
        <f>' 2024'!#REF!</f>
        <v>#REF!</v>
      </c>
      <c r="U68" s="72" t="e">
        <f>' 2024'!#REF!</f>
        <v>#REF!</v>
      </c>
      <c r="V68" s="72" t="e">
        <f>' 2024'!#REF!</f>
        <v>#REF!</v>
      </c>
      <c r="W68" s="73">
        <f>' 2024'!H75</f>
        <v>3850.8480191964254</v>
      </c>
      <c r="X68" s="74">
        <f>' 2024'!N75</f>
        <v>4621.0200000000004</v>
      </c>
      <c r="Y68" s="217">
        <v>0</v>
      </c>
      <c r="Z68" s="217">
        <v>0</v>
      </c>
      <c r="AA68" s="74">
        <f>' 2024'!J75</f>
        <v>0</v>
      </c>
      <c r="AB68" s="74">
        <f>' 2024'!P75</f>
        <v>0</v>
      </c>
      <c r="AC68" s="74">
        <f>' 2024'!K75</f>
        <v>0</v>
      </c>
      <c r="AD68" s="74">
        <f>' 2024'!Q75</f>
        <v>0</v>
      </c>
    </row>
    <row r="69" spans="1:30">
      <c r="A69">
        <f t="shared" si="14"/>
        <v>63</v>
      </c>
      <c r="B69" s="85" t="str">
        <f>' 2024'!B75</f>
        <v>Октябрьский район</v>
      </c>
      <c r="C69" s="92" t="str">
        <f t="shared" si="15"/>
        <v>Код района</v>
      </c>
      <c r="D69" s="66" t="str">
        <f>' 2024'!C76</f>
        <v>Катыринский сельсовет</v>
      </c>
      <c r="E69" s="92" t="str">
        <f t="shared" si="10"/>
        <v>Код сельсовета</v>
      </c>
      <c r="F69" s="89" t="str">
        <f>' 2024'!D76</f>
        <v>ООО "Коммунальщик" (Прямицыно)</v>
      </c>
      <c r="G69" s="91">
        <f>' 2024'!E76</f>
        <v>4617004147</v>
      </c>
      <c r="H69" s="48" t="e">
        <f t="shared" si="16"/>
        <v>#REF!</v>
      </c>
      <c r="I69" s="48" t="e">
        <f t="shared" si="17"/>
        <v>#REF!</v>
      </c>
      <c r="J69" s="48" t="e">
        <f t="shared" si="18"/>
        <v>#REF!</v>
      </c>
      <c r="K69" s="49" t="e">
        <f t="shared" si="19"/>
        <v>#REF!</v>
      </c>
      <c r="L69" s="86" t="e">
        <f>' 2024'!#REF!+' 2024'!#REF!</f>
        <v>#REF!</v>
      </c>
      <c r="M69" s="71" t="e">
        <f>' 2024'!#REF!+' 2024'!#REF!</f>
        <v>#REF!</v>
      </c>
      <c r="N69" s="67" t="e">
        <f t="shared" si="20"/>
        <v>#REF!</v>
      </c>
      <c r="O69" s="68" t="e">
        <f t="shared" si="21"/>
        <v>#REF!</v>
      </c>
      <c r="P69" s="69" t="e">
        <f t="shared" si="22"/>
        <v>#REF!</v>
      </c>
      <c r="Q69" s="70" t="e">
        <f t="shared" si="23"/>
        <v>#REF!</v>
      </c>
      <c r="R69" s="70" t="e">
        <f t="shared" si="24"/>
        <v>#REF!</v>
      </c>
      <c r="S69" s="71" t="e">
        <f>' 2024'!#REF!</f>
        <v>#REF!</v>
      </c>
      <c r="T69" s="71" t="e">
        <f>' 2024'!#REF!</f>
        <v>#REF!</v>
      </c>
      <c r="U69" s="72" t="e">
        <f>' 2024'!#REF!</f>
        <v>#REF!</v>
      </c>
      <c r="V69" s="72" t="e">
        <f>' 2024'!#REF!</f>
        <v>#REF!</v>
      </c>
      <c r="W69" s="73">
        <f>' 2024'!H76</f>
        <v>3850.8480191964254</v>
      </c>
      <c r="X69" s="74">
        <f>' 2024'!N76</f>
        <v>4621.0200000000004</v>
      </c>
      <c r="Y69" s="217">
        <v>0</v>
      </c>
      <c r="Z69" s="217">
        <v>0</v>
      </c>
      <c r="AA69" s="74">
        <f>' 2024'!J76</f>
        <v>0</v>
      </c>
      <c r="AB69" s="74">
        <f>' 2024'!P76</f>
        <v>0</v>
      </c>
      <c r="AC69" s="74">
        <f>' 2024'!K76</f>
        <v>0</v>
      </c>
      <c r="AD69" s="74">
        <f>' 2024'!Q76</f>
        <v>0</v>
      </c>
    </row>
    <row r="70" spans="1:30">
      <c r="A70">
        <f t="shared" si="14"/>
        <v>64</v>
      </c>
      <c r="B70" s="85" t="str">
        <f>' 2024'!B76</f>
        <v>Октябрьский район</v>
      </c>
      <c r="C70" s="92" t="str">
        <f t="shared" si="15"/>
        <v>Код района</v>
      </c>
      <c r="D70" s="66" t="str">
        <f>' 2024'!C77</f>
        <v>п. Поныри</v>
      </c>
      <c r="E70" s="92" t="str">
        <f t="shared" si="10"/>
        <v>Код сельсовета</v>
      </c>
      <c r="F70" s="89" t="str">
        <f>' 2024'!D77</f>
        <v>ООО "Теплосети п. Поныри"</v>
      </c>
      <c r="G70" s="91">
        <f>' 2024'!E77</f>
        <v>4618003724</v>
      </c>
      <c r="H70" s="48" t="e">
        <f t="shared" si="16"/>
        <v>#REF!</v>
      </c>
      <c r="I70" s="48" t="e">
        <f t="shared" si="17"/>
        <v>#REF!</v>
      </c>
      <c r="J70" s="48" t="e">
        <f t="shared" si="18"/>
        <v>#REF!</v>
      </c>
      <c r="K70" s="49" t="e">
        <f t="shared" si="19"/>
        <v>#REF!</v>
      </c>
      <c r="L70" s="86" t="e">
        <f>' 2024'!#REF!+' 2024'!#REF!</f>
        <v>#REF!</v>
      </c>
      <c r="M70" s="71" t="e">
        <f>' 2024'!#REF!+' 2024'!#REF!</f>
        <v>#REF!</v>
      </c>
      <c r="N70" s="67" t="e">
        <f t="shared" si="20"/>
        <v>#REF!</v>
      </c>
      <c r="O70" s="68" t="e">
        <f t="shared" si="21"/>
        <v>#REF!</v>
      </c>
      <c r="P70" s="69" t="e">
        <f t="shared" si="22"/>
        <v>#REF!</v>
      </c>
      <c r="Q70" s="70" t="e">
        <f t="shared" si="23"/>
        <v>#REF!</v>
      </c>
      <c r="R70" s="70" t="e">
        <f t="shared" si="24"/>
        <v>#REF!</v>
      </c>
      <c r="S70" s="71" t="e">
        <f>' 2024'!#REF!</f>
        <v>#REF!</v>
      </c>
      <c r="T70" s="71" t="e">
        <f>' 2024'!#REF!</f>
        <v>#REF!</v>
      </c>
      <c r="U70" s="72" t="e">
        <f>' 2024'!#REF!</f>
        <v>#REF!</v>
      </c>
      <c r="V70" s="72" t="e">
        <f>' 2024'!#REF!</f>
        <v>#REF!</v>
      </c>
      <c r="W70" s="73">
        <f>' 2024'!H77</f>
        <v>2810.44</v>
      </c>
      <c r="X70" s="74">
        <f>' 2024'!N77</f>
        <v>2958.8</v>
      </c>
      <c r="Y70" s="217">
        <v>0</v>
      </c>
      <c r="Z70" s="217">
        <v>0</v>
      </c>
      <c r="AA70" s="74">
        <f>' 2024'!J77</f>
        <v>2810.44</v>
      </c>
      <c r="AB70" s="74">
        <f>' 2024'!P77</f>
        <v>2958.8</v>
      </c>
      <c r="AC70" s="74">
        <f>' 2024'!K77</f>
        <v>0</v>
      </c>
      <c r="AD70" s="74">
        <f>' 2024'!Q77</f>
        <v>0</v>
      </c>
    </row>
    <row r="71" spans="1:30">
      <c r="A71">
        <f t="shared" si="14"/>
        <v>65</v>
      </c>
      <c r="B71" s="85" t="str">
        <f>' 2024'!B77</f>
        <v>Поныровский район</v>
      </c>
      <c r="C71" s="92" t="str">
        <f t="shared" si="15"/>
        <v>Код района</v>
      </c>
      <c r="D71" s="66" t="str">
        <f>' 2024'!C78</f>
        <v>Ольховатский сельсовет</v>
      </c>
      <c r="E71" s="92" t="str">
        <f t="shared" ref="E71:E134" si="25">E70</f>
        <v>Код сельсовета</v>
      </c>
      <c r="F71" s="89" t="str">
        <f>' 2024'!D78</f>
        <v xml:space="preserve">ГУПКО "Курскоблжилкомхоз" </v>
      </c>
      <c r="G71" s="91">
        <f>' 2024'!E78</f>
        <v>4632024035</v>
      </c>
      <c r="H71" s="48" t="e">
        <f t="shared" si="16"/>
        <v>#REF!</v>
      </c>
      <c r="I71" s="48" t="e">
        <f t="shared" si="17"/>
        <v>#REF!</v>
      </c>
      <c r="J71" s="48" t="e">
        <f t="shared" si="18"/>
        <v>#REF!</v>
      </c>
      <c r="K71" s="49" t="e">
        <f t="shared" si="19"/>
        <v>#REF!</v>
      </c>
      <c r="L71" s="86" t="e">
        <f>' 2024'!#REF!+' 2024'!#REF!</f>
        <v>#REF!</v>
      </c>
      <c r="M71" s="71" t="e">
        <f>' 2024'!#REF!+' 2024'!#REF!</f>
        <v>#REF!</v>
      </c>
      <c r="N71" s="67" t="e">
        <f t="shared" si="20"/>
        <v>#REF!</v>
      </c>
      <c r="O71" s="68" t="e">
        <f t="shared" si="21"/>
        <v>#REF!</v>
      </c>
      <c r="P71" s="69" t="e">
        <f t="shared" si="22"/>
        <v>#REF!</v>
      </c>
      <c r="Q71" s="70" t="e">
        <f t="shared" si="23"/>
        <v>#REF!</v>
      </c>
      <c r="R71" s="70" t="e">
        <f t="shared" si="24"/>
        <v>#REF!</v>
      </c>
      <c r="S71" s="71" t="e">
        <f>' 2024'!#REF!</f>
        <v>#REF!</v>
      </c>
      <c r="T71" s="71" t="e">
        <f>' 2024'!#REF!</f>
        <v>#REF!</v>
      </c>
      <c r="U71" s="72" t="e">
        <f>' 2024'!#REF!</f>
        <v>#REF!</v>
      </c>
      <c r="V71" s="72" t="e">
        <f>' 2024'!#REF!</f>
        <v>#REF!</v>
      </c>
      <c r="W71" s="73">
        <f>' 2024'!H78</f>
        <v>3314.9639999999995</v>
      </c>
      <c r="X71" s="74">
        <f>' 2024'!N78</f>
        <v>3758.5679999999998</v>
      </c>
      <c r="Y71" s="217">
        <v>0</v>
      </c>
      <c r="Z71" s="217">
        <v>0</v>
      </c>
      <c r="AA71" s="74">
        <f>' 2024'!J78</f>
        <v>0</v>
      </c>
      <c r="AB71" s="74">
        <f>' 2024'!P78</f>
        <v>0</v>
      </c>
      <c r="AC71" s="74">
        <f>' 2024'!K78</f>
        <v>0</v>
      </c>
      <c r="AD71" s="74">
        <f>' 2024'!Q78</f>
        <v>0</v>
      </c>
    </row>
    <row r="72" spans="1:30">
      <c r="A72">
        <f t="shared" si="14"/>
        <v>66</v>
      </c>
      <c r="B72" s="85" t="str">
        <f>' 2024'!B78</f>
        <v>Поныровский район</v>
      </c>
      <c r="C72" s="92" t="str">
        <f t="shared" ref="C72:C134" si="26">C71</f>
        <v>Код района</v>
      </c>
      <c r="D72" s="66" t="str">
        <f>' 2024'!C79</f>
        <v>Возовский сельсовет</v>
      </c>
      <c r="E72" s="92" t="str">
        <f t="shared" si="25"/>
        <v>Код сельсовета</v>
      </c>
      <c r="F72" s="89" t="str">
        <f>' 2024'!D79</f>
        <v>ГУПКО "Курскоблжилкомхоз"</v>
      </c>
      <c r="G72" s="91">
        <f>' 2024'!E79</f>
        <v>4632024035</v>
      </c>
      <c r="H72" s="48" t="e">
        <f t="shared" ref="H72:H134" si="27">K72+N72</f>
        <v>#REF!</v>
      </c>
      <c r="I72" s="48" t="e">
        <f t="shared" ref="I72:I134" si="28">L72+Q72</f>
        <v>#REF!</v>
      </c>
      <c r="J72" s="48" t="e">
        <f t="shared" ref="J72:J134" si="29">M72+R72</f>
        <v>#REF!</v>
      </c>
      <c r="K72" s="49" t="e">
        <f t="shared" ref="K72:K134" si="30">L72+M72</f>
        <v>#REF!</v>
      </c>
      <c r="L72" s="86" t="e">
        <f>' 2024'!#REF!+' 2024'!#REF!</f>
        <v>#REF!</v>
      </c>
      <c r="M72" s="71" t="e">
        <f>' 2024'!#REF!+' 2024'!#REF!</f>
        <v>#REF!</v>
      </c>
      <c r="N72" s="67" t="e">
        <f t="shared" ref="N72:N134" si="31">Q72+R72</f>
        <v>#REF!</v>
      </c>
      <c r="O72" s="68" t="e">
        <f t="shared" ref="O72:O134" si="32">S72+T72</f>
        <v>#REF!</v>
      </c>
      <c r="P72" s="69" t="e">
        <f t="shared" ref="P72:P134" si="33">U72+V72</f>
        <v>#REF!</v>
      </c>
      <c r="Q72" s="70" t="e">
        <f t="shared" ref="Q72:Q134" si="34">S72+U72</f>
        <v>#REF!</v>
      </c>
      <c r="R72" s="70" t="e">
        <f t="shared" ref="R72:R134" si="35">T72+V72</f>
        <v>#REF!</v>
      </c>
      <c r="S72" s="71" t="e">
        <f>' 2024'!#REF!</f>
        <v>#REF!</v>
      </c>
      <c r="T72" s="71" t="e">
        <f>' 2024'!#REF!</f>
        <v>#REF!</v>
      </c>
      <c r="U72" s="72" t="e">
        <f>' 2024'!#REF!</f>
        <v>#REF!</v>
      </c>
      <c r="V72" s="72" t="e">
        <f>' 2024'!#REF!</f>
        <v>#REF!</v>
      </c>
      <c r="W72" s="73">
        <f>' 2024'!H79</f>
        <v>3314.9639999999995</v>
      </c>
      <c r="X72" s="74">
        <f>' 2024'!N79</f>
        <v>3758.5679999999998</v>
      </c>
      <c r="Y72" s="217">
        <v>0</v>
      </c>
      <c r="Z72" s="217">
        <v>0</v>
      </c>
      <c r="AA72" s="74">
        <f>' 2024'!J79</f>
        <v>2950.21</v>
      </c>
      <c r="AB72" s="74">
        <f>' 2024'!P79</f>
        <v>2979.71</v>
      </c>
      <c r="AC72" s="74">
        <f>' 2024'!K79</f>
        <v>0</v>
      </c>
      <c r="AD72" s="74">
        <f>' 2024'!Q79</f>
        <v>0</v>
      </c>
    </row>
    <row r="73" spans="1:30">
      <c r="A73">
        <f t="shared" ref="A73:A136" si="36">A72+1</f>
        <v>67</v>
      </c>
      <c r="B73" s="85" t="str">
        <f>' 2024'!B79</f>
        <v>Поныровский район</v>
      </c>
      <c r="C73" s="92" t="str">
        <f t="shared" si="26"/>
        <v>Код района</v>
      </c>
      <c r="D73" s="66" t="str">
        <f>' 2024'!C80</f>
        <v xml:space="preserve">п.Пристень </v>
      </c>
      <c r="E73" s="92" t="str">
        <f t="shared" si="25"/>
        <v>Код сельсовета</v>
      </c>
      <c r="F73" s="89" t="str">
        <f>' 2024'!D80</f>
        <v xml:space="preserve">ООО "Коммунальщик" п.Прямицыно </v>
      </c>
      <c r="G73" s="91">
        <f>' 2024'!E80</f>
        <v>4617004147</v>
      </c>
      <c r="H73" s="48" t="e">
        <f t="shared" si="27"/>
        <v>#REF!</v>
      </c>
      <c r="I73" s="48" t="e">
        <f t="shared" si="28"/>
        <v>#REF!</v>
      </c>
      <c r="J73" s="48" t="e">
        <f t="shared" si="29"/>
        <v>#REF!</v>
      </c>
      <c r="K73" s="49" t="e">
        <f t="shared" si="30"/>
        <v>#REF!</v>
      </c>
      <c r="L73" s="86" t="e">
        <f>' 2024'!#REF!+' 2024'!#REF!</f>
        <v>#REF!</v>
      </c>
      <c r="M73" s="71" t="e">
        <f>' 2024'!#REF!+' 2024'!#REF!</f>
        <v>#REF!</v>
      </c>
      <c r="N73" s="67" t="e">
        <f t="shared" si="31"/>
        <v>#REF!</v>
      </c>
      <c r="O73" s="68" t="e">
        <f t="shared" si="32"/>
        <v>#REF!</v>
      </c>
      <c r="P73" s="69" t="e">
        <f t="shared" si="33"/>
        <v>#REF!</v>
      </c>
      <c r="Q73" s="70" t="e">
        <f t="shared" si="34"/>
        <v>#REF!</v>
      </c>
      <c r="R73" s="70" t="e">
        <f t="shared" si="35"/>
        <v>#REF!</v>
      </c>
      <c r="S73" s="71" t="e">
        <f>' 2024'!#REF!</f>
        <v>#REF!</v>
      </c>
      <c r="T73" s="71" t="e">
        <f>' 2024'!#REF!</f>
        <v>#REF!</v>
      </c>
      <c r="U73" s="72" t="e">
        <f>' 2024'!#REF!</f>
        <v>#REF!</v>
      </c>
      <c r="V73" s="72" t="e">
        <f>' 2024'!#REF!</f>
        <v>#REF!</v>
      </c>
      <c r="W73" s="73">
        <f>' 2024'!H80</f>
        <v>3127.6598130001857</v>
      </c>
      <c r="X73" s="74">
        <f>' 2024'!N80</f>
        <v>3573.9</v>
      </c>
      <c r="Y73" s="217">
        <v>0</v>
      </c>
      <c r="Z73" s="217">
        <v>0</v>
      </c>
      <c r="AA73" s="74">
        <f>' 2024'!J80</f>
        <v>3127.6598130001857</v>
      </c>
      <c r="AB73" s="74">
        <f>' 2024'!P80</f>
        <v>3573.9</v>
      </c>
      <c r="AC73" s="74">
        <f>' 2024'!K80</f>
        <v>0</v>
      </c>
      <c r="AD73" s="74">
        <f>' 2024'!Q80</f>
        <v>0</v>
      </c>
    </row>
    <row r="74" spans="1:30">
      <c r="A74">
        <f t="shared" si="36"/>
        <v>68</v>
      </c>
      <c r="B74" s="85" t="str">
        <f>' 2024'!B80</f>
        <v>Пристенский район</v>
      </c>
      <c r="C74" s="92" t="str">
        <f t="shared" si="26"/>
        <v>Код района</v>
      </c>
      <c r="D74" s="66" t="str">
        <f>' 2024'!C81</f>
        <v xml:space="preserve"> Бобрышевский сельсовет</v>
      </c>
      <c r="E74" s="92" t="str">
        <f t="shared" si="25"/>
        <v>Код сельсовета</v>
      </c>
      <c r="F74" s="89" t="str">
        <f>' 2024'!D81</f>
        <v>ГУПКО "Курскоблжилкомхоз"</v>
      </c>
      <c r="G74" s="91">
        <f>' 2024'!E81</f>
        <v>4632024035</v>
      </c>
      <c r="H74" s="48" t="e">
        <f t="shared" si="27"/>
        <v>#REF!</v>
      </c>
      <c r="I74" s="48" t="e">
        <f t="shared" si="28"/>
        <v>#REF!</v>
      </c>
      <c r="J74" s="48" t="e">
        <f t="shared" si="29"/>
        <v>#REF!</v>
      </c>
      <c r="K74" s="49" t="e">
        <f t="shared" si="30"/>
        <v>#REF!</v>
      </c>
      <c r="L74" s="86" t="e">
        <f>' 2024'!#REF!+' 2024'!#REF!</f>
        <v>#REF!</v>
      </c>
      <c r="M74" s="71" t="e">
        <f>' 2024'!#REF!+' 2024'!#REF!</f>
        <v>#REF!</v>
      </c>
      <c r="N74" s="67" t="e">
        <f t="shared" si="31"/>
        <v>#REF!</v>
      </c>
      <c r="O74" s="68" t="e">
        <f t="shared" si="32"/>
        <v>#REF!</v>
      </c>
      <c r="P74" s="69" t="e">
        <f t="shared" si="33"/>
        <v>#REF!</v>
      </c>
      <c r="Q74" s="70" t="e">
        <f t="shared" si="34"/>
        <v>#REF!</v>
      </c>
      <c r="R74" s="70" t="e">
        <f t="shared" si="35"/>
        <v>#REF!</v>
      </c>
      <c r="S74" s="71" t="e">
        <f>' 2024'!#REF!</f>
        <v>#REF!</v>
      </c>
      <c r="T74" s="71" t="e">
        <f>' 2024'!#REF!</f>
        <v>#REF!</v>
      </c>
      <c r="U74" s="72" t="e">
        <f>' 2024'!#REF!</f>
        <v>#REF!</v>
      </c>
      <c r="V74" s="72" t="e">
        <f>' 2024'!#REF!</f>
        <v>#REF!</v>
      </c>
      <c r="W74" s="73">
        <f>' 2024'!H81</f>
        <v>3314.9639999999995</v>
      </c>
      <c r="X74" s="74">
        <f>' 2024'!N81</f>
        <v>3758.5679999999998</v>
      </c>
      <c r="Y74" s="217">
        <v>0</v>
      </c>
      <c r="Z74" s="217">
        <v>0</v>
      </c>
      <c r="AA74" s="74">
        <f>' 2024'!J81</f>
        <v>0</v>
      </c>
      <c r="AB74" s="74">
        <f>' 2024'!P81</f>
        <v>0</v>
      </c>
      <c r="AC74" s="74">
        <f>' 2024'!K81</f>
        <v>0</v>
      </c>
      <c r="AD74" s="74">
        <f>' 2024'!Q81</f>
        <v>0</v>
      </c>
    </row>
    <row r="75" spans="1:30">
      <c r="A75">
        <f t="shared" si="36"/>
        <v>69</v>
      </c>
      <c r="B75" s="85" t="str">
        <f>' 2024'!B81</f>
        <v>Пристенский район</v>
      </c>
      <c r="C75" s="92" t="str">
        <f t="shared" si="26"/>
        <v>Код района</v>
      </c>
      <c r="D75" s="66" t="str">
        <f>' 2024'!C82</f>
        <v>Кировский сельсовет</v>
      </c>
      <c r="E75" s="92" t="str">
        <f t="shared" si="25"/>
        <v>Код сельсовета</v>
      </c>
      <c r="F75" s="89" t="str">
        <f>' 2024'!D82</f>
        <v xml:space="preserve">ГУПКО "Курскоблжилкомхоз" </v>
      </c>
      <c r="G75" s="91">
        <f>' 2024'!E82</f>
        <v>4632024035</v>
      </c>
      <c r="H75" s="48" t="e">
        <f t="shared" si="27"/>
        <v>#REF!</v>
      </c>
      <c r="I75" s="48" t="e">
        <f t="shared" si="28"/>
        <v>#REF!</v>
      </c>
      <c r="J75" s="48" t="e">
        <f t="shared" si="29"/>
        <v>#REF!</v>
      </c>
      <c r="K75" s="49" t="e">
        <f t="shared" si="30"/>
        <v>#REF!</v>
      </c>
      <c r="L75" s="86" t="e">
        <f>' 2024'!#REF!+' 2024'!#REF!</f>
        <v>#REF!</v>
      </c>
      <c r="M75" s="71" t="e">
        <f>' 2024'!#REF!+' 2024'!#REF!</f>
        <v>#REF!</v>
      </c>
      <c r="N75" s="67" t="e">
        <f t="shared" si="31"/>
        <v>#REF!</v>
      </c>
      <c r="O75" s="68" t="e">
        <f t="shared" si="32"/>
        <v>#REF!</v>
      </c>
      <c r="P75" s="69" t="e">
        <f t="shared" si="33"/>
        <v>#REF!</v>
      </c>
      <c r="Q75" s="70" t="e">
        <f t="shared" si="34"/>
        <v>#REF!</v>
      </c>
      <c r="R75" s="70" t="e">
        <f t="shared" si="35"/>
        <v>#REF!</v>
      </c>
      <c r="S75" s="71" t="e">
        <f>' 2024'!#REF!</f>
        <v>#REF!</v>
      </c>
      <c r="T75" s="71" t="e">
        <f>' 2024'!#REF!</f>
        <v>#REF!</v>
      </c>
      <c r="U75" s="72" t="e">
        <f>' 2024'!#REF!</f>
        <v>#REF!</v>
      </c>
      <c r="V75" s="72" t="e">
        <f>' 2024'!#REF!</f>
        <v>#REF!</v>
      </c>
      <c r="W75" s="73">
        <f>' 2024'!H82</f>
        <v>3314.9639999999995</v>
      </c>
      <c r="X75" s="74">
        <f>' 2024'!N82</f>
        <v>3758.5679999999998</v>
      </c>
      <c r="Y75" s="217">
        <v>0</v>
      </c>
      <c r="Z75" s="217">
        <v>0</v>
      </c>
      <c r="AA75" s="74">
        <f>' 2024'!J82</f>
        <v>2950.21</v>
      </c>
      <c r="AB75" s="74">
        <f>' 2024'!P82</f>
        <v>2979.71</v>
      </c>
      <c r="AC75" s="74">
        <f>' 2024'!K82</f>
        <v>0</v>
      </c>
      <c r="AD75" s="74">
        <f>' 2024'!Q82</f>
        <v>0</v>
      </c>
    </row>
    <row r="76" spans="1:30">
      <c r="A76">
        <f t="shared" si="36"/>
        <v>70</v>
      </c>
      <c r="B76" s="85" t="str">
        <f>' 2024'!B82</f>
        <v>Пристенский район</v>
      </c>
      <c r="C76" s="92" t="str">
        <f t="shared" si="26"/>
        <v>Код района</v>
      </c>
      <c r="D76" s="66" t="str">
        <f>' 2024'!C83</f>
        <v>город Рыльск</v>
      </c>
      <c r="E76" s="92" t="str">
        <f t="shared" si="25"/>
        <v>Код сельсовета</v>
      </c>
      <c r="F76" s="89" t="str">
        <f>' 2024'!D83</f>
        <v>ООО "ПРОМ-ЭНЕРГО-СЕРВИС"</v>
      </c>
      <c r="G76" s="91">
        <f>' 2024'!E83</f>
        <v>4620014875</v>
      </c>
      <c r="H76" s="48" t="e">
        <f t="shared" si="27"/>
        <v>#REF!</v>
      </c>
      <c r="I76" s="48" t="e">
        <f t="shared" si="28"/>
        <v>#REF!</v>
      </c>
      <c r="J76" s="48" t="e">
        <f t="shared" si="29"/>
        <v>#REF!</v>
      </c>
      <c r="K76" s="49" t="e">
        <f t="shared" si="30"/>
        <v>#REF!</v>
      </c>
      <c r="L76" s="86" t="e">
        <f>' 2024'!#REF!+' 2024'!#REF!</f>
        <v>#REF!</v>
      </c>
      <c r="M76" s="71" t="e">
        <f>' 2024'!#REF!+' 2024'!#REF!</f>
        <v>#REF!</v>
      </c>
      <c r="N76" s="67" t="e">
        <f t="shared" si="31"/>
        <v>#REF!</v>
      </c>
      <c r="O76" s="68" t="e">
        <f t="shared" si="32"/>
        <v>#REF!</v>
      </c>
      <c r="P76" s="69" t="e">
        <f t="shared" si="33"/>
        <v>#REF!</v>
      </c>
      <c r="Q76" s="70" t="e">
        <f t="shared" si="34"/>
        <v>#REF!</v>
      </c>
      <c r="R76" s="70" t="e">
        <f t="shared" si="35"/>
        <v>#REF!</v>
      </c>
      <c r="S76" s="71" t="e">
        <f>' 2024'!#REF!</f>
        <v>#REF!</v>
      </c>
      <c r="T76" s="71" t="e">
        <f>' 2024'!#REF!</f>
        <v>#REF!</v>
      </c>
      <c r="U76" s="72" t="e">
        <f>' 2024'!#REF!</f>
        <v>#REF!</v>
      </c>
      <c r="V76" s="72" t="e">
        <f>' 2024'!#REF!</f>
        <v>#REF!</v>
      </c>
      <c r="W76" s="73">
        <f>' 2024'!H83</f>
        <v>3140.41</v>
      </c>
      <c r="X76" s="74">
        <f>' 2024'!N83</f>
        <v>3177.82</v>
      </c>
      <c r="Y76" s="217">
        <v>0</v>
      </c>
      <c r="Z76" s="217">
        <v>0</v>
      </c>
      <c r="AA76" s="74">
        <f>' 2024'!J83</f>
        <v>2439.0591660000005</v>
      </c>
      <c r="AB76" s="74">
        <f>' 2024'!P83</f>
        <v>2670.77</v>
      </c>
      <c r="AC76" s="74">
        <f>' 2024'!K83</f>
        <v>2146.2878970000002</v>
      </c>
      <c r="AD76" s="74">
        <f>' 2024'!Q83</f>
        <v>2455.14</v>
      </c>
    </row>
    <row r="77" spans="1:30">
      <c r="A77">
        <f t="shared" si="36"/>
        <v>71</v>
      </c>
      <c r="B77" s="85" t="str">
        <f>' 2024'!B83</f>
        <v>Рыльский район</v>
      </c>
      <c r="C77" s="92" t="str">
        <f t="shared" si="26"/>
        <v>Код района</v>
      </c>
      <c r="D77" s="66" t="str">
        <f>' 2024'!C84</f>
        <v>Ивановскиий сельсовет</v>
      </c>
      <c r="E77" s="92" t="str">
        <f t="shared" si="25"/>
        <v>Код сельсовета</v>
      </c>
      <c r="F77" s="89" t="str">
        <f>' 2024'!D84</f>
        <v>ФГБУ "Санаторий "Марьино"</v>
      </c>
      <c r="G77" s="91">
        <f>' 2024'!E84</f>
        <v>4620001192</v>
      </c>
      <c r="H77" s="48" t="e">
        <f t="shared" si="27"/>
        <v>#REF!</v>
      </c>
      <c r="I77" s="48" t="e">
        <f t="shared" si="28"/>
        <v>#REF!</v>
      </c>
      <c r="J77" s="48" t="e">
        <f t="shared" si="29"/>
        <v>#REF!</v>
      </c>
      <c r="K77" s="49" t="e">
        <f t="shared" si="30"/>
        <v>#REF!</v>
      </c>
      <c r="L77" s="86" t="e">
        <f>' 2024'!#REF!+' 2024'!#REF!</f>
        <v>#REF!</v>
      </c>
      <c r="M77" s="71" t="e">
        <f>' 2024'!#REF!+' 2024'!#REF!</f>
        <v>#REF!</v>
      </c>
      <c r="N77" s="67" t="e">
        <f t="shared" si="31"/>
        <v>#REF!</v>
      </c>
      <c r="O77" s="68" t="e">
        <f t="shared" si="32"/>
        <v>#REF!</v>
      </c>
      <c r="P77" s="69" t="e">
        <f t="shared" si="33"/>
        <v>#REF!</v>
      </c>
      <c r="Q77" s="70" t="e">
        <f t="shared" si="34"/>
        <v>#REF!</v>
      </c>
      <c r="R77" s="70" t="e">
        <f t="shared" si="35"/>
        <v>#REF!</v>
      </c>
      <c r="S77" s="71" t="e">
        <f>' 2024'!#REF!</f>
        <v>#REF!</v>
      </c>
      <c r="T77" s="71" t="e">
        <f>' 2024'!#REF!</f>
        <v>#REF!</v>
      </c>
      <c r="U77" s="72" t="e">
        <f>' 2024'!#REF!</f>
        <v>#REF!</v>
      </c>
      <c r="V77" s="72" t="e">
        <f>' 2024'!#REF!</f>
        <v>#REF!</v>
      </c>
      <c r="W77" s="73">
        <f>' 2024'!H84</f>
        <v>2050.1880000000001</v>
      </c>
      <c r="X77" s="74">
        <f>' 2024'!N84</f>
        <v>2460.2267269576555</v>
      </c>
      <c r="Y77" s="217">
        <v>0</v>
      </c>
      <c r="Z77" s="217">
        <v>0</v>
      </c>
      <c r="AA77" s="74">
        <f>' 2024'!J84</f>
        <v>1896.4199999999998</v>
      </c>
      <c r="AB77" s="74">
        <f>' 2024'!P84</f>
        <v>2169.5099353888199</v>
      </c>
      <c r="AC77" s="74">
        <f>' 2024'!K84</f>
        <v>1896.4199999999998</v>
      </c>
      <c r="AD77" s="74">
        <f>' 2024'!Q84</f>
        <v>2169.5099353888199</v>
      </c>
    </row>
    <row r="78" spans="1:30">
      <c r="A78">
        <f t="shared" si="36"/>
        <v>72</v>
      </c>
      <c r="B78" s="85" t="str">
        <f>' 2024'!B84</f>
        <v>Рыльский район</v>
      </c>
      <c r="C78" s="92" t="str">
        <f t="shared" si="26"/>
        <v>Код района</v>
      </c>
      <c r="D78" s="66" t="str">
        <f>' 2024'!C85</f>
        <v>Ивановскиий сельсовет</v>
      </c>
      <c r="E78" s="92" t="str">
        <f t="shared" si="25"/>
        <v>Код сельсовета</v>
      </c>
      <c r="F78" s="89" t="str">
        <f>' 2024'!D85</f>
        <v xml:space="preserve">ГУПКО "Курскоблжилкомхоз" </v>
      </c>
      <c r="G78" s="91">
        <f>' 2024'!E85</f>
        <v>4632024035</v>
      </c>
      <c r="H78" s="48" t="e">
        <f t="shared" si="27"/>
        <v>#REF!</v>
      </c>
      <c r="I78" s="48" t="e">
        <f t="shared" si="28"/>
        <v>#REF!</v>
      </c>
      <c r="J78" s="48" t="e">
        <f t="shared" si="29"/>
        <v>#REF!</v>
      </c>
      <c r="K78" s="49" t="e">
        <f t="shared" si="30"/>
        <v>#REF!</v>
      </c>
      <c r="L78" s="86" t="e">
        <f>' 2024'!#REF!+' 2024'!#REF!</f>
        <v>#REF!</v>
      </c>
      <c r="M78" s="71" t="e">
        <f>' 2024'!#REF!+' 2024'!#REF!</f>
        <v>#REF!</v>
      </c>
      <c r="N78" s="67" t="e">
        <f t="shared" si="31"/>
        <v>#REF!</v>
      </c>
      <c r="O78" s="68" t="e">
        <f t="shared" si="32"/>
        <v>#REF!</v>
      </c>
      <c r="P78" s="69" t="e">
        <f t="shared" si="33"/>
        <v>#REF!</v>
      </c>
      <c r="Q78" s="70" t="e">
        <f t="shared" si="34"/>
        <v>#REF!</v>
      </c>
      <c r="R78" s="70" t="e">
        <f t="shared" si="35"/>
        <v>#REF!</v>
      </c>
      <c r="S78" s="71" t="e">
        <f>' 2024'!#REF!</f>
        <v>#REF!</v>
      </c>
      <c r="T78" s="71" t="e">
        <f>' 2024'!#REF!</f>
        <v>#REF!</v>
      </c>
      <c r="U78" s="72" t="e">
        <f>' 2024'!#REF!</f>
        <v>#REF!</v>
      </c>
      <c r="V78" s="72" t="e">
        <f>' 2024'!#REF!</f>
        <v>#REF!</v>
      </c>
      <c r="W78" s="73">
        <f>' 2024'!H85</f>
        <v>3314.9639999999995</v>
      </c>
      <c r="X78" s="74">
        <f>' 2024'!N85</f>
        <v>3758.5679999999998</v>
      </c>
      <c r="Y78" s="217">
        <v>0</v>
      </c>
      <c r="Z78" s="217">
        <v>0</v>
      </c>
      <c r="AA78" s="74">
        <f>' 2024'!J85</f>
        <v>2950.21</v>
      </c>
      <c r="AB78" s="74">
        <f>' 2024'!P85</f>
        <v>2979.71</v>
      </c>
      <c r="AC78" s="74">
        <f>' 2024'!K85</f>
        <v>0</v>
      </c>
      <c r="AD78" s="74">
        <f>' 2024'!Q85</f>
        <v>0</v>
      </c>
    </row>
    <row r="79" spans="1:30">
      <c r="A79">
        <f t="shared" si="36"/>
        <v>73</v>
      </c>
      <c r="B79" s="85" t="str">
        <f>' 2024'!B85</f>
        <v>Рыльский район</v>
      </c>
      <c r="C79" s="92" t="str">
        <f t="shared" si="26"/>
        <v>Код района</v>
      </c>
      <c r="D79" s="66" t="str">
        <f>' 2024'!C86</f>
        <v>Ивановскиий сельсовет</v>
      </c>
      <c r="E79" s="92" t="str">
        <f t="shared" si="25"/>
        <v>Код сельсовета</v>
      </c>
      <c r="F79" s="89" t="str">
        <f>' 2024'!D86</f>
        <v>ООО "ПРОМ-ЭНЕРГО-СЕРВИС"</v>
      </c>
      <c r="G79" s="91">
        <f>' 2024'!E86</f>
        <v>4620014875</v>
      </c>
      <c r="H79" s="48" t="e">
        <f t="shared" si="27"/>
        <v>#REF!</v>
      </c>
      <c r="I79" s="48" t="e">
        <f t="shared" si="28"/>
        <v>#REF!</v>
      </c>
      <c r="J79" s="48" t="e">
        <f t="shared" si="29"/>
        <v>#REF!</v>
      </c>
      <c r="K79" s="49" t="e">
        <f t="shared" si="30"/>
        <v>#REF!</v>
      </c>
      <c r="L79" s="86" t="e">
        <f>' 2024'!#REF!+' 2024'!#REF!</f>
        <v>#REF!</v>
      </c>
      <c r="M79" s="71" t="e">
        <f>' 2024'!#REF!+' 2024'!#REF!</f>
        <v>#REF!</v>
      </c>
      <c r="N79" s="67" t="e">
        <f t="shared" si="31"/>
        <v>#REF!</v>
      </c>
      <c r="O79" s="68" t="e">
        <f t="shared" si="32"/>
        <v>#REF!</v>
      </c>
      <c r="P79" s="69" t="e">
        <f t="shared" si="33"/>
        <v>#REF!</v>
      </c>
      <c r="Q79" s="70" t="e">
        <f t="shared" si="34"/>
        <v>#REF!</v>
      </c>
      <c r="R79" s="70" t="e">
        <f t="shared" si="35"/>
        <v>#REF!</v>
      </c>
      <c r="S79" s="71" t="e">
        <f>' 2024'!#REF!</f>
        <v>#REF!</v>
      </c>
      <c r="T79" s="71" t="e">
        <f>' 2024'!#REF!</f>
        <v>#REF!</v>
      </c>
      <c r="U79" s="72" t="e">
        <f>' 2024'!#REF!</f>
        <v>#REF!</v>
      </c>
      <c r="V79" s="72" t="e">
        <f>' 2024'!#REF!</f>
        <v>#REF!</v>
      </c>
      <c r="W79" s="73">
        <f>' 2024'!H86</f>
        <v>2051.0100000000002</v>
      </c>
      <c r="X79" s="74">
        <f>' 2024'!N86</f>
        <v>2282.5100000000002</v>
      </c>
      <c r="Y79" s="217">
        <v>0</v>
      </c>
      <c r="Z79" s="217">
        <v>0</v>
      </c>
      <c r="AA79" s="74">
        <f>' 2024'!J86</f>
        <v>1896.4239000000002</v>
      </c>
      <c r="AB79" s="74">
        <f>' 2024'!P86</f>
        <v>2169.3200000000002</v>
      </c>
      <c r="AC79" s="74">
        <f>' 2024'!K86</f>
        <v>1896.4239000000002</v>
      </c>
      <c r="AD79" s="74">
        <f>' 2024'!Q86</f>
        <v>2169.3200000000002</v>
      </c>
    </row>
    <row r="80" spans="1:30">
      <c r="A80">
        <f t="shared" si="36"/>
        <v>74</v>
      </c>
      <c r="B80" s="85" t="str">
        <f>' 2024'!B86</f>
        <v>Рыльский район</v>
      </c>
      <c r="C80" s="92" t="str">
        <f t="shared" si="26"/>
        <v>Код района</v>
      </c>
      <c r="D80" s="66" t="str">
        <f>' 2024'!C87</f>
        <v>Малогнеушевский сельсовет</v>
      </c>
      <c r="E80" s="92" t="str">
        <f t="shared" si="25"/>
        <v>Код сельсовета</v>
      </c>
      <c r="F80" s="89" t="str">
        <f>' 2024'!D87</f>
        <v>ООО "ПРОМ-ЭНЕРГО-СЕРВИС"</v>
      </c>
      <c r="G80" s="91">
        <f>' 2024'!E87</f>
        <v>4620014875</v>
      </c>
      <c r="H80" s="48" t="e">
        <f t="shared" si="27"/>
        <v>#REF!</v>
      </c>
      <c r="I80" s="48" t="e">
        <f t="shared" si="28"/>
        <v>#REF!</v>
      </c>
      <c r="J80" s="48" t="e">
        <f t="shared" si="29"/>
        <v>#REF!</v>
      </c>
      <c r="K80" s="49" t="e">
        <f t="shared" si="30"/>
        <v>#REF!</v>
      </c>
      <c r="L80" s="86" t="e">
        <f>' 2024'!#REF!+' 2024'!#REF!</f>
        <v>#REF!</v>
      </c>
      <c r="M80" s="71" t="e">
        <f>' 2024'!#REF!+' 2024'!#REF!</f>
        <v>#REF!</v>
      </c>
      <c r="N80" s="67" t="e">
        <f t="shared" si="31"/>
        <v>#REF!</v>
      </c>
      <c r="O80" s="68" t="e">
        <f t="shared" si="32"/>
        <v>#REF!</v>
      </c>
      <c r="P80" s="69" t="e">
        <f t="shared" si="33"/>
        <v>#REF!</v>
      </c>
      <c r="Q80" s="70" t="e">
        <f t="shared" si="34"/>
        <v>#REF!</v>
      </c>
      <c r="R80" s="70" t="e">
        <f t="shared" si="35"/>
        <v>#REF!</v>
      </c>
      <c r="S80" s="71" t="e">
        <f>' 2024'!#REF!</f>
        <v>#REF!</v>
      </c>
      <c r="T80" s="71" t="e">
        <f>' 2024'!#REF!</f>
        <v>#REF!</v>
      </c>
      <c r="U80" s="72" t="e">
        <f>' 2024'!#REF!</f>
        <v>#REF!</v>
      </c>
      <c r="V80" s="72" t="e">
        <f>' 2024'!#REF!</f>
        <v>#REF!</v>
      </c>
      <c r="W80" s="73">
        <f>' 2024'!H87</f>
        <v>4670.43</v>
      </c>
      <c r="X80" s="74">
        <f>' 2024'!N87</f>
        <v>4680.88</v>
      </c>
      <c r="Y80" s="217">
        <v>0</v>
      </c>
      <c r="Z80" s="217">
        <v>0</v>
      </c>
      <c r="AA80" s="74">
        <f>' 2024'!J87</f>
        <v>3738.2056635000004</v>
      </c>
      <c r="AB80" s="74">
        <f>' 2024'!P87</f>
        <v>3745.68</v>
      </c>
      <c r="AC80" s="74">
        <f>' 2024'!K87</f>
        <v>0</v>
      </c>
      <c r="AD80" s="74">
        <f>' 2024'!Q87</f>
        <v>0</v>
      </c>
    </row>
    <row r="81" spans="1:31">
      <c r="A81">
        <f t="shared" si="36"/>
        <v>75</v>
      </c>
      <c r="B81" s="85" t="str">
        <f>' 2024'!B87</f>
        <v>Рыльский район</v>
      </c>
      <c r="C81" s="92" t="str">
        <f t="shared" si="26"/>
        <v>Код района</v>
      </c>
      <c r="D81" s="66" t="str">
        <f>' 2024'!C88</f>
        <v>Крупецкий сельсовет</v>
      </c>
      <c r="E81" s="92" t="str">
        <f t="shared" si="25"/>
        <v>Код сельсовета</v>
      </c>
      <c r="F81" s="89" t="str">
        <f>' 2024'!D88</f>
        <v xml:space="preserve">ГУПКО "Курскоблжилкомхоз" </v>
      </c>
      <c r="G81" s="91">
        <f>' 2024'!E88</f>
        <v>4632024035</v>
      </c>
      <c r="H81" s="48" t="e">
        <f t="shared" si="27"/>
        <v>#REF!</v>
      </c>
      <c r="I81" s="48" t="e">
        <f t="shared" si="28"/>
        <v>#REF!</v>
      </c>
      <c r="J81" s="48" t="e">
        <f t="shared" si="29"/>
        <v>#REF!</v>
      </c>
      <c r="K81" s="49" t="e">
        <f t="shared" si="30"/>
        <v>#REF!</v>
      </c>
      <c r="L81" s="86" t="e">
        <f>' 2024'!#REF!+' 2024'!#REF!</f>
        <v>#REF!</v>
      </c>
      <c r="M81" s="71" t="e">
        <f>' 2024'!#REF!+' 2024'!#REF!</f>
        <v>#REF!</v>
      </c>
      <c r="N81" s="67" t="e">
        <f t="shared" si="31"/>
        <v>#REF!</v>
      </c>
      <c r="O81" s="68" t="e">
        <f t="shared" si="32"/>
        <v>#REF!</v>
      </c>
      <c r="P81" s="69" t="e">
        <f t="shared" si="33"/>
        <v>#REF!</v>
      </c>
      <c r="Q81" s="70" t="e">
        <f t="shared" si="34"/>
        <v>#REF!</v>
      </c>
      <c r="R81" s="70" t="e">
        <f t="shared" si="35"/>
        <v>#REF!</v>
      </c>
      <c r="S81" s="71" t="e">
        <f>' 2024'!#REF!</f>
        <v>#REF!</v>
      </c>
      <c r="T81" s="71" t="e">
        <f>' 2024'!#REF!</f>
        <v>#REF!</v>
      </c>
      <c r="U81" s="72" t="e">
        <f>' 2024'!#REF!</f>
        <v>#REF!</v>
      </c>
      <c r="V81" s="72" t="e">
        <f>' 2024'!#REF!</f>
        <v>#REF!</v>
      </c>
      <c r="W81" s="73">
        <f>' 2024'!H88</f>
        <v>3314.9639999999995</v>
      </c>
      <c r="X81" s="74">
        <f>' 2024'!N88</f>
        <v>3758.5679999999998</v>
      </c>
      <c r="Y81" s="217">
        <v>0</v>
      </c>
      <c r="Z81" s="217">
        <v>0</v>
      </c>
      <c r="AA81" s="74">
        <f>' 2024'!J88</f>
        <v>0</v>
      </c>
      <c r="AB81" s="74">
        <f>' 2024'!P88</f>
        <v>0</v>
      </c>
      <c r="AC81" s="74">
        <f>' 2024'!K88</f>
        <v>0</v>
      </c>
      <c r="AD81" s="74">
        <f>' 2024'!Q88</f>
        <v>0</v>
      </c>
    </row>
    <row r="82" spans="1:31" s="1079" customFormat="1">
      <c r="A82">
        <f t="shared" si="36"/>
        <v>76</v>
      </c>
      <c r="B82" s="85" t="str">
        <f>' 2024'!B88</f>
        <v>Рыльский район</v>
      </c>
      <c r="C82" s="92" t="str">
        <f t="shared" si="26"/>
        <v>Код района</v>
      </c>
      <c r="D82" s="66" t="str">
        <f>' 2024'!C89</f>
        <v>п. Кшенский</v>
      </c>
      <c r="E82" s="92" t="str">
        <f t="shared" si="25"/>
        <v>Код сельсовета</v>
      </c>
      <c r="F82" s="89" t="str">
        <f>' 2024'!D89</f>
        <v xml:space="preserve">МКУ «ОДА поселка Кшенский» </v>
      </c>
      <c r="G82" s="91">
        <f>' 2024'!E89</f>
        <v>4621009155</v>
      </c>
      <c r="H82" s="48" t="e">
        <f t="shared" si="27"/>
        <v>#REF!</v>
      </c>
      <c r="I82" s="48" t="e">
        <f t="shared" si="28"/>
        <v>#REF!</v>
      </c>
      <c r="J82" s="48" t="e">
        <f t="shared" si="29"/>
        <v>#REF!</v>
      </c>
      <c r="K82" s="49" t="e">
        <f t="shared" si="30"/>
        <v>#REF!</v>
      </c>
      <c r="L82" s="86" t="e">
        <f>' 2024'!#REF!+' 2024'!#REF!</f>
        <v>#REF!</v>
      </c>
      <c r="M82" s="71" t="e">
        <f>' 2024'!#REF!+' 2024'!#REF!</f>
        <v>#REF!</v>
      </c>
      <c r="N82" s="67" t="e">
        <f t="shared" si="31"/>
        <v>#REF!</v>
      </c>
      <c r="O82" s="68" t="e">
        <f t="shared" si="32"/>
        <v>#REF!</v>
      </c>
      <c r="P82" s="69" t="e">
        <f t="shared" si="33"/>
        <v>#REF!</v>
      </c>
      <c r="Q82" s="70" t="e">
        <f t="shared" si="34"/>
        <v>#REF!</v>
      </c>
      <c r="R82" s="70" t="e">
        <f t="shared" si="35"/>
        <v>#REF!</v>
      </c>
      <c r="S82" s="71" t="e">
        <f>' 2024'!#REF!</f>
        <v>#REF!</v>
      </c>
      <c r="T82" s="71" t="e">
        <f>' 2024'!#REF!</f>
        <v>#REF!</v>
      </c>
      <c r="U82" s="72" t="e">
        <f>' 2024'!#REF!</f>
        <v>#REF!</v>
      </c>
      <c r="V82" s="72" t="e">
        <f>' 2024'!#REF!</f>
        <v>#REF!</v>
      </c>
      <c r="W82" s="73">
        <f>' 2024'!H89</f>
        <v>3097.74</v>
      </c>
      <c r="X82" s="74">
        <f>' 2024'!N89</f>
        <v>3500.4479999999999</v>
      </c>
      <c r="Y82" s="217">
        <v>0</v>
      </c>
      <c r="Z82" s="217">
        <v>0</v>
      </c>
      <c r="AA82" s="74">
        <f>' 2024'!J89</f>
        <v>3097.74</v>
      </c>
      <c r="AB82" s="74">
        <f>' 2024'!P89</f>
        <v>3500.45</v>
      </c>
      <c r="AC82" s="74">
        <f>' 2024'!K89</f>
        <v>0</v>
      </c>
      <c r="AD82" s="74">
        <f>' 2024'!Q89</f>
        <v>0</v>
      </c>
      <c r="AE82" s="75"/>
    </row>
    <row r="83" spans="1:31">
      <c r="A83">
        <f t="shared" si="36"/>
        <v>77</v>
      </c>
      <c r="B83" s="85" t="str">
        <f>' 2024'!B89</f>
        <v>Советский район</v>
      </c>
      <c r="C83" s="92" t="str">
        <f t="shared" si="26"/>
        <v>Код района</v>
      </c>
      <c r="D83" s="66" t="str">
        <f>' 2024'!C90</f>
        <v>п. Кшенский</v>
      </c>
      <c r="E83" s="92" t="str">
        <f t="shared" si="25"/>
        <v>Код сельсовета</v>
      </c>
      <c r="F83" s="89" t="str">
        <f>' 2024'!D90</f>
        <v xml:space="preserve">ГУПКО "Курскоблжилкомхоз" </v>
      </c>
      <c r="G83" s="91">
        <f>' 2024'!E90</f>
        <v>4632024035</v>
      </c>
      <c r="H83" s="48" t="e">
        <f t="shared" si="27"/>
        <v>#REF!</v>
      </c>
      <c r="I83" s="48" t="e">
        <f t="shared" si="28"/>
        <v>#REF!</v>
      </c>
      <c r="J83" s="48" t="e">
        <f t="shared" si="29"/>
        <v>#REF!</v>
      </c>
      <c r="K83" s="49" t="e">
        <f t="shared" si="30"/>
        <v>#REF!</v>
      </c>
      <c r="L83" s="86" t="e">
        <f>' 2024'!#REF!+' 2024'!#REF!</f>
        <v>#REF!</v>
      </c>
      <c r="M83" s="71" t="e">
        <f>' 2024'!#REF!+' 2024'!#REF!</f>
        <v>#REF!</v>
      </c>
      <c r="N83" s="67" t="e">
        <f t="shared" si="31"/>
        <v>#REF!</v>
      </c>
      <c r="O83" s="68" t="e">
        <f t="shared" si="32"/>
        <v>#REF!</v>
      </c>
      <c r="P83" s="69" t="e">
        <f t="shared" si="33"/>
        <v>#REF!</v>
      </c>
      <c r="Q83" s="70" t="e">
        <f t="shared" si="34"/>
        <v>#REF!</v>
      </c>
      <c r="R83" s="70" t="e">
        <f t="shared" si="35"/>
        <v>#REF!</v>
      </c>
      <c r="S83" s="71" t="e">
        <f>' 2024'!#REF!</f>
        <v>#REF!</v>
      </c>
      <c r="T83" s="71" t="e">
        <f>' 2024'!#REF!</f>
        <v>#REF!</v>
      </c>
      <c r="U83" s="72" t="e">
        <f>' 2024'!#REF!</f>
        <v>#REF!</v>
      </c>
      <c r="V83" s="72" t="e">
        <f>' 2024'!#REF!</f>
        <v>#REF!</v>
      </c>
      <c r="W83" s="73">
        <f>' 2024'!H90</f>
        <v>3314.9639999999995</v>
      </c>
      <c r="X83" s="74">
        <f>' 2024'!N90</f>
        <v>3758.5679999999998</v>
      </c>
      <c r="Y83" s="217">
        <v>0</v>
      </c>
      <c r="Z83" s="217">
        <v>0</v>
      </c>
      <c r="AA83" s="74">
        <f>' 2024'!J90</f>
        <v>2950.21</v>
      </c>
      <c r="AB83" s="74">
        <f>' 2024'!P90</f>
        <v>2979.71</v>
      </c>
      <c r="AC83" s="74">
        <f>' 2024'!K90</f>
        <v>0</v>
      </c>
      <c r="AD83" s="74">
        <f>' 2024'!Q90</f>
        <v>0</v>
      </c>
    </row>
    <row r="84" spans="1:31">
      <c r="A84">
        <f t="shared" si="36"/>
        <v>78</v>
      </c>
      <c r="B84" s="85" t="str">
        <f>' 2024'!B90</f>
        <v>Советский район</v>
      </c>
      <c r="C84" s="92" t="str">
        <f t="shared" si="26"/>
        <v>Код района</v>
      </c>
      <c r="D84" s="66" t="str">
        <f>' 2024'!C91</f>
        <v xml:space="preserve"> Волжановский сельсовет</v>
      </c>
      <c r="E84" s="92" t="str">
        <f t="shared" si="25"/>
        <v>Код сельсовета</v>
      </c>
      <c r="F84" s="89" t="str">
        <f>' 2024'!D91</f>
        <v>ГУПКО "Курскоблжилкомхоз"</v>
      </c>
      <c r="G84" s="91">
        <f>' 2024'!E91</f>
        <v>4632024035</v>
      </c>
      <c r="H84" s="48" t="e">
        <f t="shared" si="27"/>
        <v>#REF!</v>
      </c>
      <c r="I84" s="48" t="e">
        <f t="shared" si="28"/>
        <v>#REF!</v>
      </c>
      <c r="J84" s="48" t="e">
        <f t="shared" si="29"/>
        <v>#REF!</v>
      </c>
      <c r="K84" s="49" t="e">
        <f t="shared" si="30"/>
        <v>#REF!</v>
      </c>
      <c r="L84" s="86" t="e">
        <f>' 2024'!#REF!+' 2024'!#REF!</f>
        <v>#REF!</v>
      </c>
      <c r="M84" s="71" t="e">
        <f>' 2024'!#REF!+' 2024'!#REF!</f>
        <v>#REF!</v>
      </c>
      <c r="N84" s="67" t="e">
        <f t="shared" si="31"/>
        <v>#REF!</v>
      </c>
      <c r="O84" s="68" t="e">
        <f t="shared" si="32"/>
        <v>#REF!</v>
      </c>
      <c r="P84" s="69" t="e">
        <f t="shared" si="33"/>
        <v>#REF!</v>
      </c>
      <c r="Q84" s="70" t="e">
        <f t="shared" si="34"/>
        <v>#REF!</v>
      </c>
      <c r="R84" s="70" t="e">
        <f t="shared" si="35"/>
        <v>#REF!</v>
      </c>
      <c r="S84" s="71" t="e">
        <f>' 2024'!#REF!</f>
        <v>#REF!</v>
      </c>
      <c r="T84" s="71" t="e">
        <f>' 2024'!#REF!</f>
        <v>#REF!</v>
      </c>
      <c r="U84" s="72" t="e">
        <f>' 2024'!#REF!</f>
        <v>#REF!</v>
      </c>
      <c r="V84" s="72" t="e">
        <f>' 2024'!#REF!</f>
        <v>#REF!</v>
      </c>
      <c r="W84" s="73">
        <f>' 2024'!H91</f>
        <v>3314.9639999999995</v>
      </c>
      <c r="X84" s="74">
        <f>' 2024'!N91</f>
        <v>3758.5679999999998</v>
      </c>
      <c r="Y84" s="217">
        <v>0</v>
      </c>
      <c r="Z84" s="217">
        <v>0</v>
      </c>
      <c r="AA84" s="74">
        <f>' 2024'!J91</f>
        <v>0</v>
      </c>
      <c r="AB84" s="74">
        <f>' 2024'!P91</f>
        <v>0</v>
      </c>
      <c r="AC84" s="74">
        <f>' 2024'!K91</f>
        <v>0</v>
      </c>
      <c r="AD84" s="74">
        <f>' 2024'!Q91</f>
        <v>0</v>
      </c>
    </row>
    <row r="85" spans="1:31">
      <c r="A85">
        <f t="shared" si="36"/>
        <v>79</v>
      </c>
      <c r="B85" s="85" t="str">
        <f>' 2024'!B91</f>
        <v>Рыльский район</v>
      </c>
      <c r="C85" s="92" t="str">
        <f t="shared" si="26"/>
        <v>Код района</v>
      </c>
      <c r="D85" s="66" t="str">
        <f>' 2024'!C92</f>
        <v>Советский сельсовет</v>
      </c>
      <c r="E85" s="92" t="str">
        <f t="shared" si="25"/>
        <v>Код сельсовета</v>
      </c>
      <c r="F85" s="89" t="str">
        <f>' 2024'!D92</f>
        <v xml:space="preserve">ГУПКО "Курскоблжилкомхоз" </v>
      </c>
      <c r="G85" s="91">
        <f>' 2024'!E92</f>
        <v>4632024035</v>
      </c>
      <c r="H85" s="48" t="e">
        <f t="shared" si="27"/>
        <v>#REF!</v>
      </c>
      <c r="I85" s="48" t="e">
        <f t="shared" si="28"/>
        <v>#REF!</v>
      </c>
      <c r="J85" s="48" t="e">
        <f t="shared" si="29"/>
        <v>#REF!</v>
      </c>
      <c r="K85" s="49" t="e">
        <f t="shared" si="30"/>
        <v>#REF!</v>
      </c>
      <c r="L85" s="86" t="e">
        <f>' 2024'!#REF!+' 2024'!#REF!</f>
        <v>#REF!</v>
      </c>
      <c r="M85" s="71" t="e">
        <f>' 2024'!#REF!+' 2024'!#REF!</f>
        <v>#REF!</v>
      </c>
      <c r="N85" s="67" t="e">
        <f t="shared" si="31"/>
        <v>#REF!</v>
      </c>
      <c r="O85" s="68" t="e">
        <f t="shared" si="32"/>
        <v>#REF!</v>
      </c>
      <c r="P85" s="69" t="e">
        <f t="shared" si="33"/>
        <v>#REF!</v>
      </c>
      <c r="Q85" s="70" t="e">
        <f t="shared" si="34"/>
        <v>#REF!</v>
      </c>
      <c r="R85" s="70" t="e">
        <f t="shared" si="35"/>
        <v>#REF!</v>
      </c>
      <c r="S85" s="71" t="e">
        <f>' 2024'!#REF!</f>
        <v>#REF!</v>
      </c>
      <c r="T85" s="71" t="e">
        <f>' 2024'!#REF!</f>
        <v>#REF!</v>
      </c>
      <c r="U85" s="72" t="e">
        <f>' 2024'!#REF!</f>
        <v>#REF!</v>
      </c>
      <c r="V85" s="72" t="e">
        <f>' 2024'!#REF!</f>
        <v>#REF!</v>
      </c>
      <c r="W85" s="73">
        <f>' 2024'!H92</f>
        <v>3314.9639999999995</v>
      </c>
      <c r="X85" s="74">
        <f>' 2024'!N92</f>
        <v>3758.5679999999998</v>
      </c>
      <c r="Y85" s="217">
        <v>0</v>
      </c>
      <c r="Z85" s="217">
        <v>0</v>
      </c>
      <c r="AA85" s="74">
        <f>' 2024'!J92</f>
        <v>0</v>
      </c>
      <c r="AB85" s="74">
        <f>' 2024'!P92</f>
        <v>0</v>
      </c>
      <c r="AC85" s="74">
        <f>' 2024'!K92</f>
        <v>0</v>
      </c>
      <c r="AD85" s="74">
        <f>' 2024'!Q92</f>
        <v>0</v>
      </c>
    </row>
    <row r="86" spans="1:31">
      <c r="A86">
        <f t="shared" si="36"/>
        <v>80</v>
      </c>
      <c r="B86" s="85" t="str">
        <f>' 2024'!B92</f>
        <v>Рыльский район</v>
      </c>
      <c r="C86" s="92" t="str">
        <f t="shared" si="26"/>
        <v>Код района</v>
      </c>
      <c r="D86" s="66" t="str">
        <f>' 2024'!C93</f>
        <v>Мансуроовский сельсовет</v>
      </c>
      <c r="E86" s="92" t="str">
        <f t="shared" si="25"/>
        <v>Код сельсовета</v>
      </c>
      <c r="F86" s="89" t="str">
        <f>' 2024'!D93</f>
        <v xml:space="preserve">ГУПКО "Курскоблжилкомхоз" </v>
      </c>
      <c r="G86" s="91">
        <f>' 2024'!E93</f>
        <v>4632024035</v>
      </c>
      <c r="H86" s="48" t="e">
        <f t="shared" si="27"/>
        <v>#REF!</v>
      </c>
      <c r="I86" s="48" t="e">
        <f t="shared" si="28"/>
        <v>#REF!</v>
      </c>
      <c r="J86" s="48" t="e">
        <f t="shared" si="29"/>
        <v>#REF!</v>
      </c>
      <c r="K86" s="49" t="e">
        <f t="shared" si="30"/>
        <v>#REF!</v>
      </c>
      <c r="L86" s="86" t="e">
        <f>' 2024'!#REF!+' 2024'!#REF!</f>
        <v>#REF!</v>
      </c>
      <c r="M86" s="71" t="e">
        <f>' 2024'!#REF!+' 2024'!#REF!</f>
        <v>#REF!</v>
      </c>
      <c r="N86" s="67" t="e">
        <f t="shared" si="31"/>
        <v>#REF!</v>
      </c>
      <c r="O86" s="68" t="e">
        <f t="shared" si="32"/>
        <v>#REF!</v>
      </c>
      <c r="P86" s="69" t="e">
        <f t="shared" si="33"/>
        <v>#REF!</v>
      </c>
      <c r="Q86" s="70" t="e">
        <f t="shared" si="34"/>
        <v>#REF!</v>
      </c>
      <c r="R86" s="70" t="e">
        <f t="shared" si="35"/>
        <v>#REF!</v>
      </c>
      <c r="S86" s="71" t="e">
        <f>' 2024'!#REF!</f>
        <v>#REF!</v>
      </c>
      <c r="T86" s="71" t="e">
        <f>' 2024'!#REF!</f>
        <v>#REF!</v>
      </c>
      <c r="U86" s="72" t="e">
        <f>' 2024'!#REF!</f>
        <v>#REF!</v>
      </c>
      <c r="V86" s="72" t="e">
        <f>' 2024'!#REF!</f>
        <v>#REF!</v>
      </c>
      <c r="W86" s="73">
        <f>' 2024'!H93</f>
        <v>3314.9639999999995</v>
      </c>
      <c r="X86" s="74">
        <f>' 2024'!N93</f>
        <v>3758.5679999999998</v>
      </c>
      <c r="Y86" s="217">
        <v>0</v>
      </c>
      <c r="Z86" s="217">
        <v>0</v>
      </c>
      <c r="AA86" s="74">
        <f>' 2024'!J93</f>
        <v>0</v>
      </c>
      <c r="AB86" s="74">
        <f>' 2024'!P93</f>
        <v>0</v>
      </c>
      <c r="AC86" s="74">
        <f>' 2024'!K93</f>
        <v>0</v>
      </c>
      <c r="AD86" s="74">
        <f>' 2024'!Q93</f>
        <v>0</v>
      </c>
    </row>
    <row r="87" spans="1:31">
      <c r="A87">
        <f t="shared" si="36"/>
        <v>81</v>
      </c>
      <c r="B87" s="85" t="str">
        <f>' 2024'!B93</f>
        <v>Рыльский район</v>
      </c>
      <c r="C87" s="92" t="str">
        <f t="shared" si="26"/>
        <v>Код района</v>
      </c>
      <c r="D87" s="66" t="str">
        <f>' 2024'!C94</f>
        <v>пос. Солнцево</v>
      </c>
      <c r="E87" s="92" t="str">
        <f t="shared" si="25"/>
        <v>Код сельсовета</v>
      </c>
      <c r="F87" s="89" t="str">
        <f>' 2024'!D94</f>
        <v xml:space="preserve">ГУПКО "Курскоблжилкомхоз" </v>
      </c>
      <c r="G87" s="91">
        <f>' 2024'!E94</f>
        <v>4632024035</v>
      </c>
      <c r="H87" s="48" t="e">
        <f t="shared" si="27"/>
        <v>#REF!</v>
      </c>
      <c r="I87" s="48" t="e">
        <f t="shared" si="28"/>
        <v>#REF!</v>
      </c>
      <c r="J87" s="48" t="e">
        <f t="shared" si="29"/>
        <v>#REF!</v>
      </c>
      <c r="K87" s="49" t="e">
        <f t="shared" si="30"/>
        <v>#REF!</v>
      </c>
      <c r="L87" s="86" t="e">
        <f>' 2024'!#REF!+' 2024'!#REF!</f>
        <v>#REF!</v>
      </c>
      <c r="M87" s="71" t="e">
        <f>' 2024'!#REF!+' 2024'!#REF!</f>
        <v>#REF!</v>
      </c>
      <c r="N87" s="67" t="e">
        <f t="shared" si="31"/>
        <v>#REF!</v>
      </c>
      <c r="O87" s="68" t="e">
        <f t="shared" si="32"/>
        <v>#REF!</v>
      </c>
      <c r="P87" s="69" t="e">
        <f t="shared" si="33"/>
        <v>#REF!</v>
      </c>
      <c r="Q87" s="70" t="e">
        <f t="shared" si="34"/>
        <v>#REF!</v>
      </c>
      <c r="R87" s="70" t="e">
        <f t="shared" si="35"/>
        <v>#REF!</v>
      </c>
      <c r="S87" s="71" t="e">
        <f>' 2024'!#REF!</f>
        <v>#REF!</v>
      </c>
      <c r="T87" s="71" t="e">
        <f>' 2024'!#REF!</f>
        <v>#REF!</v>
      </c>
      <c r="U87" s="72" t="e">
        <f>' 2024'!#REF!</f>
        <v>#REF!</v>
      </c>
      <c r="V87" s="72" t="e">
        <f>' 2024'!#REF!</f>
        <v>#REF!</v>
      </c>
      <c r="W87" s="73">
        <f>' 2024'!H94</f>
        <v>3314.9639999999995</v>
      </c>
      <c r="X87" s="74">
        <f>' 2024'!N94</f>
        <v>3758.5679999999998</v>
      </c>
      <c r="Y87" s="217">
        <v>0</v>
      </c>
      <c r="Z87" s="217">
        <v>0</v>
      </c>
      <c r="AA87" s="74">
        <f>' 2024'!J94</f>
        <v>0</v>
      </c>
      <c r="AB87" s="74">
        <f>' 2024'!P94</f>
        <v>0</v>
      </c>
      <c r="AC87" s="74">
        <f>' 2024'!K94</f>
        <v>0</v>
      </c>
      <c r="AD87" s="74">
        <f>' 2024'!Q94</f>
        <v>0</v>
      </c>
    </row>
    <row r="88" spans="1:31">
      <c r="A88">
        <f t="shared" si="36"/>
        <v>82</v>
      </c>
      <c r="B88" s="85" t="str">
        <f>' 2024'!B94</f>
        <v>Солнцевский район</v>
      </c>
      <c r="C88" s="92" t="str">
        <f t="shared" si="26"/>
        <v>Код района</v>
      </c>
      <c r="D88" s="66" t="str">
        <f>' 2024'!C95</f>
        <v>пос. Солнцево</v>
      </c>
      <c r="E88" s="92" t="str">
        <f t="shared" si="25"/>
        <v>Код сельсовета</v>
      </c>
      <c r="F88" s="89" t="str">
        <f>' 2024'!D95</f>
        <v>МКУ "Управление ОДОМС"</v>
      </c>
      <c r="G88" s="91">
        <f>' 2024'!E95</f>
        <v>4622005001</v>
      </c>
      <c r="H88" s="48" t="e">
        <f t="shared" si="27"/>
        <v>#REF!</v>
      </c>
      <c r="I88" s="48" t="e">
        <f t="shared" si="28"/>
        <v>#REF!</v>
      </c>
      <c r="J88" s="48" t="e">
        <f t="shared" si="29"/>
        <v>#REF!</v>
      </c>
      <c r="K88" s="49" t="e">
        <f t="shared" si="30"/>
        <v>#REF!</v>
      </c>
      <c r="L88" s="86" t="e">
        <f>' 2024'!#REF!+' 2024'!#REF!</f>
        <v>#REF!</v>
      </c>
      <c r="M88" s="71" t="e">
        <f>' 2024'!#REF!+' 2024'!#REF!</f>
        <v>#REF!</v>
      </c>
      <c r="N88" s="67" t="e">
        <f t="shared" si="31"/>
        <v>#REF!</v>
      </c>
      <c r="O88" s="68" t="e">
        <f t="shared" si="32"/>
        <v>#REF!</v>
      </c>
      <c r="P88" s="69" t="e">
        <f t="shared" si="33"/>
        <v>#REF!</v>
      </c>
      <c r="Q88" s="70" t="e">
        <f t="shared" si="34"/>
        <v>#REF!</v>
      </c>
      <c r="R88" s="70" t="e">
        <f t="shared" si="35"/>
        <v>#REF!</v>
      </c>
      <c r="S88" s="71" t="e">
        <f>' 2024'!#REF!</f>
        <v>#REF!</v>
      </c>
      <c r="T88" s="71" t="e">
        <f>' 2024'!#REF!</f>
        <v>#REF!</v>
      </c>
      <c r="U88" s="72" t="e">
        <f>' 2024'!#REF!</f>
        <v>#REF!</v>
      </c>
      <c r="V88" s="72" t="e">
        <f>' 2024'!#REF!</f>
        <v>#REF!</v>
      </c>
      <c r="W88" s="73">
        <f>' 2024'!H95</f>
        <v>3727.67</v>
      </c>
      <c r="X88" s="74">
        <f>' 2024'!N95</f>
        <v>4263.22</v>
      </c>
      <c r="Y88" s="217">
        <v>0</v>
      </c>
      <c r="Z88" s="217">
        <v>0</v>
      </c>
      <c r="AA88" s="74">
        <f>' 2024'!J95</f>
        <v>3727.67</v>
      </c>
      <c r="AB88" s="74">
        <f>' 2024'!P95</f>
        <v>4263.22</v>
      </c>
      <c r="AC88" s="74">
        <f>' 2024'!K95</f>
        <v>0</v>
      </c>
      <c r="AD88" s="74">
        <f>' 2024'!Q95</f>
        <v>0</v>
      </c>
    </row>
    <row r="89" spans="1:31">
      <c r="A89">
        <f t="shared" si="36"/>
        <v>83</v>
      </c>
      <c r="B89" s="85" t="str">
        <f>' 2024'!B95</f>
        <v>Солнцевский район</v>
      </c>
      <c r="C89" s="92" t="str">
        <f t="shared" si="26"/>
        <v>Код района</v>
      </c>
      <c r="D89" s="66" t="str">
        <f>' 2024'!C96</f>
        <v>город Суджа</v>
      </c>
      <c r="E89" s="92" t="str">
        <f t="shared" si="25"/>
        <v>Код сельсовета</v>
      </c>
      <c r="F89" s="89" t="str">
        <f>' 2024'!D96</f>
        <v>МУП КЭТС г. Суджа</v>
      </c>
      <c r="G89" s="91">
        <f>' 2024'!E96</f>
        <v>4623002116</v>
      </c>
      <c r="H89" s="48" t="e">
        <f t="shared" si="27"/>
        <v>#REF!</v>
      </c>
      <c r="I89" s="48" t="e">
        <f t="shared" si="28"/>
        <v>#REF!</v>
      </c>
      <c r="J89" s="48" t="e">
        <f t="shared" si="29"/>
        <v>#REF!</v>
      </c>
      <c r="K89" s="49" t="e">
        <f t="shared" si="30"/>
        <v>#REF!</v>
      </c>
      <c r="L89" s="86" t="e">
        <f>' 2024'!#REF!+' 2024'!#REF!</f>
        <v>#REF!</v>
      </c>
      <c r="M89" s="71" t="e">
        <f>' 2024'!#REF!+' 2024'!#REF!</f>
        <v>#REF!</v>
      </c>
      <c r="N89" s="67" t="e">
        <f t="shared" si="31"/>
        <v>#REF!</v>
      </c>
      <c r="O89" s="68" t="e">
        <f t="shared" si="32"/>
        <v>#REF!</v>
      </c>
      <c r="P89" s="69" t="e">
        <f t="shared" si="33"/>
        <v>#REF!</v>
      </c>
      <c r="Q89" s="70" t="e">
        <f t="shared" si="34"/>
        <v>#REF!</v>
      </c>
      <c r="R89" s="70" t="e">
        <f t="shared" si="35"/>
        <v>#REF!</v>
      </c>
      <c r="S89" s="71" t="e">
        <f>' 2024'!#REF!</f>
        <v>#REF!</v>
      </c>
      <c r="T89" s="71" t="e">
        <f>' 2024'!#REF!</f>
        <v>#REF!</v>
      </c>
      <c r="U89" s="72" t="e">
        <f>' 2024'!#REF!</f>
        <v>#REF!</v>
      </c>
      <c r="V89" s="72" t="e">
        <f>' 2024'!#REF!</f>
        <v>#REF!</v>
      </c>
      <c r="W89" s="73">
        <f>' 2024'!H96</f>
        <v>3470.07</v>
      </c>
      <c r="X89" s="74">
        <f>' 2024'!N96</f>
        <v>3700.05</v>
      </c>
      <c r="Y89" s="217">
        <v>0</v>
      </c>
      <c r="Z89" s="217">
        <v>0</v>
      </c>
      <c r="AA89" s="74">
        <f>' 2024'!J96</f>
        <v>3470.07</v>
      </c>
      <c r="AB89" s="74">
        <f>' 2024'!P96</f>
        <v>3700.05</v>
      </c>
      <c r="AC89" s="74">
        <f>' 2024'!K96</f>
        <v>0</v>
      </c>
      <c r="AD89" s="74">
        <f>' 2024'!Q96</f>
        <v>0</v>
      </c>
    </row>
    <row r="90" spans="1:31">
      <c r="A90">
        <f t="shared" si="36"/>
        <v>84</v>
      </c>
      <c r="B90" s="85" t="str">
        <f>' 2024'!B96</f>
        <v>Суджанский район</v>
      </c>
      <c r="C90" s="92" t="str">
        <f t="shared" si="26"/>
        <v>Код района</v>
      </c>
      <c r="D90" s="66" t="str">
        <f>' 2024'!C97</f>
        <v>Гончаровский сельсовет</v>
      </c>
      <c r="E90" s="92" t="str">
        <f t="shared" si="25"/>
        <v>Код сельсовета</v>
      </c>
      <c r="F90" s="89" t="str">
        <f>' 2024'!D97</f>
        <v>МУП КЭТС г. Суджа</v>
      </c>
      <c r="G90" s="91">
        <f>' 2024'!E97</f>
        <v>4623002116</v>
      </c>
      <c r="H90" s="48" t="e">
        <f t="shared" si="27"/>
        <v>#REF!</v>
      </c>
      <c r="I90" s="48" t="e">
        <f t="shared" si="28"/>
        <v>#REF!</v>
      </c>
      <c r="J90" s="48" t="e">
        <f t="shared" si="29"/>
        <v>#REF!</v>
      </c>
      <c r="K90" s="49" t="e">
        <f t="shared" si="30"/>
        <v>#REF!</v>
      </c>
      <c r="L90" s="86" t="e">
        <f>' 2024'!#REF!+' 2024'!#REF!</f>
        <v>#REF!</v>
      </c>
      <c r="M90" s="71" t="e">
        <f>' 2024'!#REF!+' 2024'!#REF!</f>
        <v>#REF!</v>
      </c>
      <c r="N90" s="67" t="e">
        <f t="shared" si="31"/>
        <v>#REF!</v>
      </c>
      <c r="O90" s="68" t="e">
        <f t="shared" si="32"/>
        <v>#REF!</v>
      </c>
      <c r="P90" s="69" t="e">
        <f t="shared" si="33"/>
        <v>#REF!</v>
      </c>
      <c r="Q90" s="70" t="e">
        <f t="shared" si="34"/>
        <v>#REF!</v>
      </c>
      <c r="R90" s="70" t="e">
        <f t="shared" si="35"/>
        <v>#REF!</v>
      </c>
      <c r="S90" s="71" t="e">
        <f>' 2024'!#REF!</f>
        <v>#REF!</v>
      </c>
      <c r="T90" s="71" t="e">
        <f>' 2024'!#REF!</f>
        <v>#REF!</v>
      </c>
      <c r="U90" s="72" t="e">
        <f>' 2024'!#REF!</f>
        <v>#REF!</v>
      </c>
      <c r="V90" s="72" t="e">
        <f>' 2024'!#REF!</f>
        <v>#REF!</v>
      </c>
      <c r="W90" s="73">
        <f>' 2024'!H97</f>
        <v>3470.07</v>
      </c>
      <c r="X90" s="74">
        <f>' 2024'!N97</f>
        <v>3700.05</v>
      </c>
      <c r="Y90" s="217">
        <v>0</v>
      </c>
      <c r="Z90" s="217">
        <v>0</v>
      </c>
      <c r="AA90" s="74">
        <f>' 2024'!J97</f>
        <v>0</v>
      </c>
      <c r="AB90" s="74">
        <f>' 2024'!P97</f>
        <v>0</v>
      </c>
      <c r="AC90" s="74">
        <f>' 2024'!K97</f>
        <v>0</v>
      </c>
      <c r="AD90" s="74">
        <f>' 2024'!Q97</f>
        <v>0</v>
      </c>
    </row>
    <row r="91" spans="1:31">
      <c r="A91">
        <f t="shared" si="36"/>
        <v>85</v>
      </c>
      <c r="B91" s="85" t="str">
        <f>' 2024'!B97</f>
        <v>Суджанский район</v>
      </c>
      <c r="C91" s="92" t="str">
        <f t="shared" si="26"/>
        <v>Код района</v>
      </c>
      <c r="D91" s="66" t="str">
        <f>' 2024'!C98</f>
        <v>Заолешенский сельсовет</v>
      </c>
      <c r="E91" s="92" t="str">
        <f t="shared" si="25"/>
        <v>Код сельсовета</v>
      </c>
      <c r="F91" s="89" t="str">
        <f>' 2024'!D98</f>
        <v>МУП КЭТС г. Суджа</v>
      </c>
      <c r="G91" s="91">
        <f>' 2024'!E98</f>
        <v>4623002116</v>
      </c>
      <c r="H91" s="48" t="e">
        <f t="shared" si="27"/>
        <v>#REF!</v>
      </c>
      <c r="I91" s="48" t="e">
        <f t="shared" si="28"/>
        <v>#REF!</v>
      </c>
      <c r="J91" s="48" t="e">
        <f t="shared" si="29"/>
        <v>#REF!</v>
      </c>
      <c r="K91" s="49" t="e">
        <f t="shared" si="30"/>
        <v>#REF!</v>
      </c>
      <c r="L91" s="86" t="e">
        <f>' 2024'!#REF!+' 2024'!#REF!</f>
        <v>#REF!</v>
      </c>
      <c r="M91" s="71" t="e">
        <f>' 2024'!#REF!+' 2024'!#REF!</f>
        <v>#REF!</v>
      </c>
      <c r="N91" s="67" t="e">
        <f t="shared" si="31"/>
        <v>#REF!</v>
      </c>
      <c r="O91" s="68" t="e">
        <f t="shared" si="32"/>
        <v>#REF!</v>
      </c>
      <c r="P91" s="69" t="e">
        <f t="shared" si="33"/>
        <v>#REF!</v>
      </c>
      <c r="Q91" s="70" t="e">
        <f t="shared" si="34"/>
        <v>#REF!</v>
      </c>
      <c r="R91" s="70" t="e">
        <f t="shared" si="35"/>
        <v>#REF!</v>
      </c>
      <c r="S91" s="71" t="e">
        <f>' 2024'!#REF!</f>
        <v>#REF!</v>
      </c>
      <c r="T91" s="71" t="e">
        <f>' 2024'!#REF!</f>
        <v>#REF!</v>
      </c>
      <c r="U91" s="72" t="e">
        <f>' 2024'!#REF!</f>
        <v>#REF!</v>
      </c>
      <c r="V91" s="72" t="e">
        <f>' 2024'!#REF!</f>
        <v>#REF!</v>
      </c>
      <c r="W91" s="73">
        <f>' 2024'!H98</f>
        <v>3470.07</v>
      </c>
      <c r="X91" s="74">
        <f>' 2024'!N98</f>
        <v>3700.05</v>
      </c>
      <c r="Y91" s="217">
        <v>0</v>
      </c>
      <c r="Z91" s="217">
        <v>0</v>
      </c>
      <c r="AA91" s="74">
        <f>' 2024'!J98</f>
        <v>0</v>
      </c>
      <c r="AB91" s="74">
        <f>' 2024'!P98</f>
        <v>0</v>
      </c>
      <c r="AC91" s="74">
        <f>' 2024'!K98</f>
        <v>0</v>
      </c>
      <c r="AD91" s="74">
        <f>' 2024'!Q98</f>
        <v>0</v>
      </c>
    </row>
    <row r="92" spans="1:31">
      <c r="A92">
        <f t="shared" si="36"/>
        <v>86</v>
      </c>
      <c r="B92" s="85" t="str">
        <f>' 2024'!B98</f>
        <v>Суджанский район</v>
      </c>
      <c r="C92" s="92" t="str">
        <f t="shared" si="26"/>
        <v>Код района</v>
      </c>
      <c r="D92" s="66" t="str">
        <f>' 2024'!C99</f>
        <v>п. Тим</v>
      </c>
      <c r="E92" s="92" t="str">
        <f t="shared" si="25"/>
        <v>Код сельсовета</v>
      </c>
      <c r="F92" s="89" t="str">
        <f>' 2024'!D99</f>
        <v xml:space="preserve"> ГУПКО "Курскоблжилкомхоз"</v>
      </c>
      <c r="G92" s="91">
        <f>' 2024'!E99</f>
        <v>4632024035</v>
      </c>
      <c r="H92" s="48" t="e">
        <f t="shared" si="27"/>
        <v>#REF!</v>
      </c>
      <c r="I92" s="48" t="e">
        <f t="shared" si="28"/>
        <v>#REF!</v>
      </c>
      <c r="J92" s="48" t="e">
        <f t="shared" si="29"/>
        <v>#REF!</v>
      </c>
      <c r="K92" s="49" t="e">
        <f t="shared" si="30"/>
        <v>#REF!</v>
      </c>
      <c r="L92" s="86" t="e">
        <f>' 2024'!#REF!+' 2024'!#REF!</f>
        <v>#REF!</v>
      </c>
      <c r="M92" s="71" t="e">
        <f>' 2024'!#REF!+' 2024'!#REF!</f>
        <v>#REF!</v>
      </c>
      <c r="N92" s="67" t="e">
        <f t="shared" si="31"/>
        <v>#REF!</v>
      </c>
      <c r="O92" s="68" t="e">
        <f t="shared" si="32"/>
        <v>#REF!</v>
      </c>
      <c r="P92" s="69" t="e">
        <f t="shared" si="33"/>
        <v>#REF!</v>
      </c>
      <c r="Q92" s="70" t="e">
        <f t="shared" si="34"/>
        <v>#REF!</v>
      </c>
      <c r="R92" s="70" t="e">
        <f t="shared" si="35"/>
        <v>#REF!</v>
      </c>
      <c r="S92" s="71" t="e">
        <f>' 2024'!#REF!</f>
        <v>#REF!</v>
      </c>
      <c r="T92" s="71" t="e">
        <f>' 2024'!#REF!</f>
        <v>#REF!</v>
      </c>
      <c r="U92" s="72" t="e">
        <f>' 2024'!#REF!</f>
        <v>#REF!</v>
      </c>
      <c r="V92" s="72" t="e">
        <f>' 2024'!#REF!</f>
        <v>#REF!</v>
      </c>
      <c r="W92" s="73">
        <f>' 2024'!H99</f>
        <v>3314.9639999999995</v>
      </c>
      <c r="X92" s="74">
        <f>' 2024'!N99</f>
        <v>3758.5679999999998</v>
      </c>
      <c r="Y92" s="217">
        <v>0</v>
      </c>
      <c r="Z92" s="217">
        <v>0</v>
      </c>
      <c r="AA92" s="74">
        <f>' 2024'!J99</f>
        <v>2484</v>
      </c>
      <c r="AB92" s="74">
        <f>' 2024'!P99</f>
        <v>2719.98</v>
      </c>
      <c r="AC92" s="74">
        <f>' 2024'!K99</f>
        <v>0</v>
      </c>
      <c r="AD92" s="74">
        <f>' 2024'!Q99</f>
        <v>0</v>
      </c>
    </row>
    <row r="93" spans="1:31" s="800" customFormat="1">
      <c r="A93">
        <f t="shared" si="36"/>
        <v>87</v>
      </c>
      <c r="B93" s="85" t="str">
        <f>' 2024'!B99</f>
        <v>Тимский район</v>
      </c>
      <c r="C93" s="92" t="str">
        <f t="shared" si="26"/>
        <v>Код района</v>
      </c>
      <c r="D93" s="66" t="str">
        <f>' 2024'!C100</f>
        <v>город Фатеж</v>
      </c>
      <c r="E93" s="92" t="str">
        <f t="shared" si="25"/>
        <v>Код сельсовета</v>
      </c>
      <c r="F93" s="89" t="str">
        <f>' 2024'!D100</f>
        <v xml:space="preserve"> ГУПКО "Курскоблжилкомхоз"</v>
      </c>
      <c r="G93" s="91">
        <f>' 2024'!E100</f>
        <v>4632024035</v>
      </c>
      <c r="H93" s="48" t="e">
        <f t="shared" si="27"/>
        <v>#REF!</v>
      </c>
      <c r="I93" s="48" t="e">
        <f t="shared" si="28"/>
        <v>#REF!</v>
      </c>
      <c r="J93" s="48" t="e">
        <f t="shared" si="29"/>
        <v>#REF!</v>
      </c>
      <c r="K93" s="49" t="e">
        <f t="shared" si="30"/>
        <v>#REF!</v>
      </c>
      <c r="L93" s="86" t="e">
        <f>' 2024'!#REF!+' 2024'!#REF!</f>
        <v>#REF!</v>
      </c>
      <c r="M93" s="71" t="e">
        <f>' 2024'!#REF!+' 2024'!#REF!</f>
        <v>#REF!</v>
      </c>
      <c r="N93" s="67" t="e">
        <f t="shared" si="31"/>
        <v>#REF!</v>
      </c>
      <c r="O93" s="68" t="e">
        <f t="shared" si="32"/>
        <v>#REF!</v>
      </c>
      <c r="P93" s="69" t="e">
        <f t="shared" si="33"/>
        <v>#REF!</v>
      </c>
      <c r="Q93" s="70" t="e">
        <f t="shared" si="34"/>
        <v>#REF!</v>
      </c>
      <c r="R93" s="70" t="e">
        <f t="shared" si="35"/>
        <v>#REF!</v>
      </c>
      <c r="S93" s="71" t="e">
        <f>' 2024'!#REF!</f>
        <v>#REF!</v>
      </c>
      <c r="T93" s="71" t="e">
        <f>' 2024'!#REF!</f>
        <v>#REF!</v>
      </c>
      <c r="U93" s="72" t="e">
        <f>' 2024'!#REF!</f>
        <v>#REF!</v>
      </c>
      <c r="V93" s="72" t="e">
        <f>' 2024'!#REF!</f>
        <v>#REF!</v>
      </c>
      <c r="W93" s="73">
        <f>' 2024'!H100</f>
        <v>3314.9639999999995</v>
      </c>
      <c r="X93" s="74">
        <f>' 2024'!N100</f>
        <v>3758.5679999999998</v>
      </c>
      <c r="Y93" s="217">
        <v>0</v>
      </c>
      <c r="Z93" s="217">
        <v>0</v>
      </c>
      <c r="AA93" s="74">
        <f>' 2024'!J100</f>
        <v>0</v>
      </c>
      <c r="AB93" s="74">
        <f>' 2024'!P100</f>
        <v>0</v>
      </c>
      <c r="AC93" s="74">
        <f>' 2024'!K100</f>
        <v>0</v>
      </c>
      <c r="AD93" s="74">
        <f>' 2024'!Q100</f>
        <v>0</v>
      </c>
      <c r="AE93" s="801">
        <v>4926.6000000000004</v>
      </c>
    </row>
    <row r="94" spans="1:31" s="800" customFormat="1">
      <c r="A94">
        <f t="shared" si="36"/>
        <v>88</v>
      </c>
      <c r="B94" s="85" t="str">
        <f>' 2024'!B100</f>
        <v>Фатежский район</v>
      </c>
      <c r="C94" s="92" t="str">
        <f t="shared" si="26"/>
        <v>Код района</v>
      </c>
      <c r="D94" s="66" t="str">
        <f>' 2024'!C101</f>
        <v>Верхнелюбажский сельсовет</v>
      </c>
      <c r="E94" s="92" t="str">
        <f t="shared" si="25"/>
        <v>Код сельсовета</v>
      </c>
      <c r="F94" s="89" t="str">
        <f>' 2024'!D101</f>
        <v>ООО "Фатежские КЭТС"</v>
      </c>
      <c r="G94" s="91">
        <f>' 2024'!E101</f>
        <v>4625004944</v>
      </c>
      <c r="H94" s="48" t="e">
        <f t="shared" si="27"/>
        <v>#REF!</v>
      </c>
      <c r="I94" s="48" t="e">
        <f t="shared" si="28"/>
        <v>#REF!</v>
      </c>
      <c r="J94" s="48" t="e">
        <f t="shared" si="29"/>
        <v>#REF!</v>
      </c>
      <c r="K94" s="49" t="e">
        <f t="shared" si="30"/>
        <v>#REF!</v>
      </c>
      <c r="L94" s="86" t="e">
        <f>' 2024'!#REF!+' 2024'!#REF!</f>
        <v>#REF!</v>
      </c>
      <c r="M94" s="71" t="e">
        <f>' 2024'!#REF!+' 2024'!#REF!</f>
        <v>#REF!</v>
      </c>
      <c r="N94" s="67" t="e">
        <f t="shared" si="31"/>
        <v>#REF!</v>
      </c>
      <c r="O94" s="68" t="e">
        <f t="shared" si="32"/>
        <v>#REF!</v>
      </c>
      <c r="P94" s="69" t="e">
        <f t="shared" si="33"/>
        <v>#REF!</v>
      </c>
      <c r="Q94" s="70" t="e">
        <f t="shared" si="34"/>
        <v>#REF!</v>
      </c>
      <c r="R94" s="70" t="e">
        <f t="shared" si="35"/>
        <v>#REF!</v>
      </c>
      <c r="S94" s="71" t="e">
        <f>' 2024'!#REF!</f>
        <v>#REF!</v>
      </c>
      <c r="T94" s="71" t="e">
        <f>' 2024'!#REF!</f>
        <v>#REF!</v>
      </c>
      <c r="U94" s="72" t="e">
        <f>' 2024'!#REF!</f>
        <v>#REF!</v>
      </c>
      <c r="V94" s="72" t="e">
        <f>' 2024'!#REF!</f>
        <v>#REF!</v>
      </c>
      <c r="W94" s="73">
        <f>' 2024'!H101</f>
        <v>2951.0829318332949</v>
      </c>
      <c r="X94" s="74">
        <f>' 2024'!N101</f>
        <v>3285.23</v>
      </c>
      <c r="Y94" s="217">
        <v>0</v>
      </c>
      <c r="Z94" s="217">
        <v>0</v>
      </c>
      <c r="AA94" s="74">
        <f>' 2024'!J101</f>
        <v>2951.0829318332949</v>
      </c>
      <c r="AB94" s="74">
        <f>' 2024'!P101</f>
        <v>3285.23</v>
      </c>
      <c r="AC94" s="74">
        <f>' 2024'!K101</f>
        <v>0</v>
      </c>
      <c r="AD94" s="74">
        <f>' 2024'!Q101</f>
        <v>0</v>
      </c>
      <c r="AE94" s="801">
        <v>2901.7</v>
      </c>
    </row>
    <row r="95" spans="1:31" s="800" customFormat="1">
      <c r="A95">
        <f t="shared" si="36"/>
        <v>89</v>
      </c>
      <c r="B95" s="85" t="str">
        <f>' 2024'!B101</f>
        <v>Фатежский район</v>
      </c>
      <c r="C95" s="92" t="str">
        <f t="shared" si="26"/>
        <v>Код района</v>
      </c>
      <c r="D95" s="66" t="str">
        <f>' 2024'!C102</f>
        <v>город Фатеж</v>
      </c>
      <c r="E95" s="92" t="str">
        <f t="shared" si="25"/>
        <v>Код сельсовета</v>
      </c>
      <c r="F95" s="89" t="str">
        <f>' 2024'!D102</f>
        <v>ООО "Фатежские КЭТС"</v>
      </c>
      <c r="G95" s="91">
        <f>' 2024'!E102</f>
        <v>4625004944</v>
      </c>
      <c r="H95" s="48" t="e">
        <f t="shared" si="27"/>
        <v>#REF!</v>
      </c>
      <c r="I95" s="48" t="e">
        <f t="shared" si="28"/>
        <v>#REF!</v>
      </c>
      <c r="J95" s="48" t="e">
        <f t="shared" si="29"/>
        <v>#REF!</v>
      </c>
      <c r="K95" s="49" t="e">
        <f t="shared" si="30"/>
        <v>#REF!</v>
      </c>
      <c r="L95" s="86" t="e">
        <f>' 2024'!#REF!+' 2024'!#REF!</f>
        <v>#REF!</v>
      </c>
      <c r="M95" s="71" t="e">
        <f>' 2024'!#REF!+' 2024'!#REF!</f>
        <v>#REF!</v>
      </c>
      <c r="N95" s="67" t="e">
        <f t="shared" si="31"/>
        <v>#REF!</v>
      </c>
      <c r="O95" s="68" t="e">
        <f t="shared" si="32"/>
        <v>#REF!</v>
      </c>
      <c r="P95" s="69" t="e">
        <f t="shared" si="33"/>
        <v>#REF!</v>
      </c>
      <c r="Q95" s="70" t="e">
        <f t="shared" si="34"/>
        <v>#REF!</v>
      </c>
      <c r="R95" s="70" t="e">
        <f t="shared" si="35"/>
        <v>#REF!</v>
      </c>
      <c r="S95" s="71" t="e">
        <f>' 2024'!#REF!</f>
        <v>#REF!</v>
      </c>
      <c r="T95" s="71" t="e">
        <f>' 2024'!#REF!</f>
        <v>#REF!</v>
      </c>
      <c r="U95" s="72" t="e">
        <f>' 2024'!#REF!</f>
        <v>#REF!</v>
      </c>
      <c r="V95" s="72" t="e">
        <f>' 2024'!#REF!</f>
        <v>#REF!</v>
      </c>
      <c r="W95" s="73">
        <f>' 2024'!H102</f>
        <v>2951.0829318332949</v>
      </c>
      <c r="X95" s="74">
        <f>' 2024'!N102</f>
        <v>3285.23</v>
      </c>
      <c r="Y95" s="217">
        <v>0</v>
      </c>
      <c r="Z95" s="217">
        <v>0</v>
      </c>
      <c r="AA95" s="74">
        <f>' 2024'!J102</f>
        <v>2951.0829318332949</v>
      </c>
      <c r="AB95" s="74">
        <f>' 2024'!P102</f>
        <v>3285.23</v>
      </c>
      <c r="AC95" s="74">
        <f>' 2024'!K102</f>
        <v>0</v>
      </c>
      <c r="AD95" s="74">
        <f>' 2024'!Q102</f>
        <v>0</v>
      </c>
      <c r="AE95" s="801">
        <v>1278.5999999999999</v>
      </c>
    </row>
    <row r="96" spans="1:31" customFormat="1">
      <c r="A96">
        <f t="shared" si="36"/>
        <v>90</v>
      </c>
      <c r="B96" s="85" t="str">
        <f>' 2024'!B102</f>
        <v>Фатежский район</v>
      </c>
      <c r="C96" s="92" t="str">
        <f t="shared" si="26"/>
        <v>Код района</v>
      </c>
      <c r="D96" s="66" t="str">
        <f>' 2024'!C103</f>
        <v>Калиновский сельсовет</v>
      </c>
      <c r="E96" s="92" t="str">
        <f t="shared" si="25"/>
        <v>Код сельсовета</v>
      </c>
      <c r="F96" s="89" t="str">
        <f>' 2024'!D103</f>
        <v>МУП  "Теплосервис"</v>
      </c>
      <c r="G96" s="91">
        <f>' 2024'!E103</f>
        <v>4626006422</v>
      </c>
      <c r="H96" s="48" t="e">
        <f t="shared" si="27"/>
        <v>#REF!</v>
      </c>
      <c r="I96" s="48" t="e">
        <f t="shared" si="28"/>
        <v>#REF!</v>
      </c>
      <c r="J96" s="48" t="e">
        <f t="shared" si="29"/>
        <v>#REF!</v>
      </c>
      <c r="K96" s="49" t="e">
        <f t="shared" si="30"/>
        <v>#REF!</v>
      </c>
      <c r="L96" s="86" t="e">
        <f>' 2024'!#REF!+' 2024'!#REF!</f>
        <v>#REF!</v>
      </c>
      <c r="M96" s="71" t="e">
        <f>' 2024'!#REF!+' 2024'!#REF!</f>
        <v>#REF!</v>
      </c>
      <c r="N96" s="67" t="e">
        <f t="shared" si="31"/>
        <v>#REF!</v>
      </c>
      <c r="O96" s="68" t="e">
        <f t="shared" si="32"/>
        <v>#REF!</v>
      </c>
      <c r="P96" s="69" t="e">
        <f t="shared" si="33"/>
        <v>#REF!</v>
      </c>
      <c r="Q96" s="70" t="e">
        <f t="shared" si="34"/>
        <v>#REF!</v>
      </c>
      <c r="R96" s="70" t="e">
        <f t="shared" si="35"/>
        <v>#REF!</v>
      </c>
      <c r="S96" s="71" t="e">
        <f>' 2024'!#REF!</f>
        <v>#REF!</v>
      </c>
      <c r="T96" s="71" t="e">
        <f>' 2024'!#REF!</f>
        <v>#REF!</v>
      </c>
      <c r="U96" s="72" t="e">
        <f>' 2024'!#REF!</f>
        <v>#REF!</v>
      </c>
      <c r="V96" s="72" t="e">
        <f>' 2024'!#REF!</f>
        <v>#REF!</v>
      </c>
      <c r="W96" s="73">
        <f>' 2024'!H103</f>
        <v>2928.96</v>
      </c>
      <c r="X96" s="74">
        <f>' 2024'!N103</f>
        <v>3288.7</v>
      </c>
      <c r="Y96" s="217">
        <v>0</v>
      </c>
      <c r="Z96" s="217">
        <v>0</v>
      </c>
      <c r="AA96" s="74">
        <f>' 2024'!J103</f>
        <v>2550.9499999999998</v>
      </c>
      <c r="AB96" s="74">
        <f>' 2024'!P103</f>
        <v>2918.29</v>
      </c>
      <c r="AC96" s="74">
        <f>' 2024'!K103</f>
        <v>0</v>
      </c>
      <c r="AD96" s="74">
        <f>' 2024'!Q103</f>
        <v>0</v>
      </c>
      <c r="AE96">
        <f>SUM(AE93:AE95)</f>
        <v>9106.9</v>
      </c>
    </row>
    <row r="97" spans="1:31" customFormat="1">
      <c r="A97">
        <f t="shared" si="36"/>
        <v>91</v>
      </c>
      <c r="B97" s="85" t="str">
        <f>' 2024'!B103</f>
        <v>Хомутовский район</v>
      </c>
      <c r="C97" s="92" t="str">
        <f t="shared" si="26"/>
        <v>Код района</v>
      </c>
      <c r="D97" s="66" t="str">
        <f>' 2024'!C104</f>
        <v>п. Хомутовка</v>
      </c>
      <c r="E97" s="92" t="str">
        <f t="shared" si="25"/>
        <v>Код сельсовета</v>
      </c>
      <c r="F97" s="89" t="str">
        <f>' 2024'!D104</f>
        <v>МУП "Хомутовское ЖКХ"</v>
      </c>
      <c r="G97" s="91">
        <f>' 2024'!E104</f>
        <v>4626006380</v>
      </c>
      <c r="H97" s="48" t="e">
        <f t="shared" si="27"/>
        <v>#REF!</v>
      </c>
      <c r="I97" s="48" t="e">
        <f t="shared" si="28"/>
        <v>#REF!</v>
      </c>
      <c r="J97" s="48" t="e">
        <f t="shared" si="29"/>
        <v>#REF!</v>
      </c>
      <c r="K97" s="49" t="e">
        <f t="shared" si="30"/>
        <v>#REF!</v>
      </c>
      <c r="L97" s="86" t="e">
        <f>' 2024'!#REF!+' 2024'!#REF!</f>
        <v>#REF!</v>
      </c>
      <c r="M97" s="71" t="e">
        <f>' 2024'!#REF!+' 2024'!#REF!</f>
        <v>#REF!</v>
      </c>
      <c r="N97" s="67" t="e">
        <f t="shared" si="31"/>
        <v>#REF!</v>
      </c>
      <c r="O97" s="68" t="e">
        <f t="shared" si="32"/>
        <v>#REF!</v>
      </c>
      <c r="P97" s="69" t="e">
        <f t="shared" si="33"/>
        <v>#REF!</v>
      </c>
      <c r="Q97" s="70" t="e">
        <f t="shared" si="34"/>
        <v>#REF!</v>
      </c>
      <c r="R97" s="70" t="e">
        <f t="shared" si="35"/>
        <v>#REF!</v>
      </c>
      <c r="S97" s="71" t="e">
        <f>' 2024'!#REF!</f>
        <v>#REF!</v>
      </c>
      <c r="T97" s="71" t="e">
        <f>' 2024'!#REF!</f>
        <v>#REF!</v>
      </c>
      <c r="U97" s="72" t="e">
        <f>' 2024'!#REF!</f>
        <v>#REF!</v>
      </c>
      <c r="V97" s="72" t="e">
        <f>' 2024'!#REF!</f>
        <v>#REF!</v>
      </c>
      <c r="W97" s="73">
        <f>' 2024'!H104</f>
        <v>2975.83</v>
      </c>
      <c r="X97" s="74">
        <f>' 2024'!N104</f>
        <v>3252.8</v>
      </c>
      <c r="Y97" s="217">
        <v>0</v>
      </c>
      <c r="Z97" s="217">
        <v>0</v>
      </c>
      <c r="AA97" s="74">
        <f>' 2024'!J104</f>
        <v>2975.83</v>
      </c>
      <c r="AB97" s="74">
        <f>' 2024'!P104</f>
        <v>3252.8</v>
      </c>
      <c r="AC97" s="74">
        <f>' 2024'!K104</f>
        <v>0</v>
      </c>
      <c r="AD97" s="74">
        <f>' 2024'!Q104</f>
        <v>0</v>
      </c>
    </row>
    <row r="98" spans="1:31" customFormat="1">
      <c r="A98">
        <f t="shared" si="36"/>
        <v>92</v>
      </c>
      <c r="B98" s="85" t="str">
        <f>' 2024'!B104</f>
        <v>Хомутовский район</v>
      </c>
      <c r="C98" s="92" t="str">
        <f t="shared" si="26"/>
        <v>Код района</v>
      </c>
      <c r="D98" s="66" t="str">
        <f>' 2024'!C105</f>
        <v>Дубовицкий сельсовет</v>
      </c>
      <c r="E98" s="92" t="str">
        <f t="shared" si="25"/>
        <v>Код сельсовета</v>
      </c>
      <c r="F98" s="89" t="str">
        <f>' 2024'!D105</f>
        <v xml:space="preserve">ГУПКО "Курскоблжилкомхоз" </v>
      </c>
      <c r="G98" s="91">
        <f>' 2024'!E105</f>
        <v>4632024035</v>
      </c>
      <c r="H98" s="48" t="e">
        <f t="shared" si="27"/>
        <v>#REF!</v>
      </c>
      <c r="I98" s="48" t="e">
        <f t="shared" si="28"/>
        <v>#REF!</v>
      </c>
      <c r="J98" s="48" t="e">
        <f t="shared" si="29"/>
        <v>#REF!</v>
      </c>
      <c r="K98" s="49" t="e">
        <f t="shared" si="30"/>
        <v>#REF!</v>
      </c>
      <c r="L98" s="86" t="e">
        <f>' 2024'!#REF!+' 2024'!#REF!</f>
        <v>#REF!</v>
      </c>
      <c r="M98" s="71" t="e">
        <f>' 2024'!#REF!+' 2024'!#REF!</f>
        <v>#REF!</v>
      </c>
      <c r="N98" s="67" t="e">
        <f t="shared" si="31"/>
        <v>#REF!</v>
      </c>
      <c r="O98" s="68" t="e">
        <f t="shared" si="32"/>
        <v>#REF!</v>
      </c>
      <c r="P98" s="69" t="e">
        <f t="shared" si="33"/>
        <v>#REF!</v>
      </c>
      <c r="Q98" s="70" t="e">
        <f t="shared" si="34"/>
        <v>#REF!</v>
      </c>
      <c r="R98" s="70" t="e">
        <f t="shared" si="35"/>
        <v>#REF!</v>
      </c>
      <c r="S98" s="71" t="e">
        <f>' 2024'!#REF!</f>
        <v>#REF!</v>
      </c>
      <c r="T98" s="71" t="e">
        <f>' 2024'!#REF!</f>
        <v>#REF!</v>
      </c>
      <c r="U98" s="72" t="e">
        <f>' 2024'!#REF!</f>
        <v>#REF!</v>
      </c>
      <c r="V98" s="72" t="e">
        <f>' 2024'!#REF!</f>
        <v>#REF!</v>
      </c>
      <c r="W98" s="73">
        <f>' 2024'!H105</f>
        <v>3314.9639999999995</v>
      </c>
      <c r="X98" s="74">
        <f>' 2024'!N105</f>
        <v>3758.5679999999998</v>
      </c>
      <c r="Y98" s="217">
        <v>0</v>
      </c>
      <c r="Z98" s="217">
        <v>0</v>
      </c>
      <c r="AA98" s="74">
        <f>' 2024'!J105</f>
        <v>0</v>
      </c>
      <c r="AB98" s="74">
        <f>' 2024'!P105</f>
        <v>0</v>
      </c>
      <c r="AC98" s="74">
        <f>' 2024'!K105</f>
        <v>0</v>
      </c>
      <c r="AD98" s="74">
        <f>' 2024'!Q105</f>
        <v>0</v>
      </c>
    </row>
    <row r="99" spans="1:31" customFormat="1">
      <c r="A99">
        <f t="shared" si="36"/>
        <v>93</v>
      </c>
      <c r="B99" s="85" t="str">
        <f>' 2024'!B105</f>
        <v>Хомутовский район</v>
      </c>
      <c r="C99" s="92" t="str">
        <f t="shared" si="26"/>
        <v>Код района</v>
      </c>
      <c r="D99" s="66" t="str">
        <f>' 2024'!C106</f>
        <v>Сальновский сельсовет</v>
      </c>
      <c r="E99" s="92" t="str">
        <f t="shared" si="25"/>
        <v>Код сельсовета</v>
      </c>
      <c r="F99" s="89" t="str">
        <f>' 2024'!D106</f>
        <v xml:space="preserve">ГУПКО "Курскоблжилкомхоз" </v>
      </c>
      <c r="G99" s="91">
        <f>' 2024'!E106</f>
        <v>4632024035</v>
      </c>
      <c r="H99" s="48" t="e">
        <f t="shared" si="27"/>
        <v>#REF!</v>
      </c>
      <c r="I99" s="48" t="e">
        <f t="shared" si="28"/>
        <v>#REF!</v>
      </c>
      <c r="J99" s="48" t="e">
        <f t="shared" si="29"/>
        <v>#REF!</v>
      </c>
      <c r="K99" s="49" t="e">
        <f t="shared" si="30"/>
        <v>#REF!</v>
      </c>
      <c r="L99" s="86" t="e">
        <f>' 2024'!#REF!+' 2024'!#REF!</f>
        <v>#REF!</v>
      </c>
      <c r="M99" s="71" t="e">
        <f>' 2024'!#REF!+' 2024'!#REF!</f>
        <v>#REF!</v>
      </c>
      <c r="N99" s="67" t="e">
        <f t="shared" si="31"/>
        <v>#REF!</v>
      </c>
      <c r="O99" s="68" t="e">
        <f t="shared" si="32"/>
        <v>#REF!</v>
      </c>
      <c r="P99" s="69" t="e">
        <f t="shared" si="33"/>
        <v>#REF!</v>
      </c>
      <c r="Q99" s="70" t="e">
        <f t="shared" si="34"/>
        <v>#REF!</v>
      </c>
      <c r="R99" s="70" t="e">
        <f t="shared" si="35"/>
        <v>#REF!</v>
      </c>
      <c r="S99" s="71" t="e">
        <f>' 2024'!#REF!</f>
        <v>#REF!</v>
      </c>
      <c r="T99" s="71" t="e">
        <f>' 2024'!#REF!</f>
        <v>#REF!</v>
      </c>
      <c r="U99" s="72" t="e">
        <f>' 2024'!#REF!</f>
        <v>#REF!</v>
      </c>
      <c r="V99" s="72" t="e">
        <f>' 2024'!#REF!</f>
        <v>#REF!</v>
      </c>
      <c r="W99" s="73">
        <f>' 2024'!H106</f>
        <v>3314.9639999999995</v>
      </c>
      <c r="X99" s="74">
        <f>' 2024'!N106</f>
        <v>3758.5679999999998</v>
      </c>
      <c r="Y99" s="217">
        <v>0</v>
      </c>
      <c r="Z99" s="217">
        <v>0</v>
      </c>
      <c r="AA99" s="74">
        <f>' 2024'!J106</f>
        <v>0</v>
      </c>
      <c r="AB99" s="74">
        <f>' 2024'!P106</f>
        <v>0</v>
      </c>
      <c r="AC99" s="74">
        <f>' 2024'!K106</f>
        <v>0</v>
      </c>
      <c r="AD99" s="74">
        <f>' 2024'!Q106</f>
        <v>0</v>
      </c>
    </row>
    <row r="100" spans="1:31" s="1297" customFormat="1">
      <c r="A100">
        <f t="shared" si="36"/>
        <v>94</v>
      </c>
      <c r="B100" s="85" t="str">
        <f>' 2024'!B106</f>
        <v>Хомутовский район</v>
      </c>
      <c r="C100" s="92" t="str">
        <f t="shared" si="26"/>
        <v>Код района</v>
      </c>
      <c r="D100" s="66" t="str">
        <f>' 2024'!C107</f>
        <v xml:space="preserve">п. Черемисиново </v>
      </c>
      <c r="E100" s="92" t="str">
        <f t="shared" si="25"/>
        <v>Код сельсовета</v>
      </c>
      <c r="F100" s="89" t="str">
        <f>' 2024'!D107</f>
        <v xml:space="preserve"> ГУПКО "Курскоблжилкомхоз" </v>
      </c>
      <c r="G100" s="91">
        <f>' 2024'!E107</f>
        <v>4632024035</v>
      </c>
      <c r="H100" s="48" t="e">
        <f t="shared" si="27"/>
        <v>#REF!</v>
      </c>
      <c r="I100" s="48" t="e">
        <f t="shared" si="28"/>
        <v>#REF!</v>
      </c>
      <c r="J100" s="48" t="e">
        <f t="shared" si="29"/>
        <v>#REF!</v>
      </c>
      <c r="K100" s="49" t="e">
        <f t="shared" si="30"/>
        <v>#REF!</v>
      </c>
      <c r="L100" s="86" t="e">
        <f>' 2024'!#REF!+' 2024'!#REF!</f>
        <v>#REF!</v>
      </c>
      <c r="M100" s="71" t="e">
        <f>' 2024'!#REF!+' 2024'!#REF!</f>
        <v>#REF!</v>
      </c>
      <c r="N100" s="67" t="e">
        <f t="shared" si="31"/>
        <v>#REF!</v>
      </c>
      <c r="O100" s="68" t="e">
        <f t="shared" si="32"/>
        <v>#REF!</v>
      </c>
      <c r="P100" s="69" t="e">
        <f t="shared" si="33"/>
        <v>#REF!</v>
      </c>
      <c r="Q100" s="70" t="e">
        <f t="shared" si="34"/>
        <v>#REF!</v>
      </c>
      <c r="R100" s="70" t="e">
        <f t="shared" si="35"/>
        <v>#REF!</v>
      </c>
      <c r="S100" s="71" t="e">
        <f>' 2024'!#REF!</f>
        <v>#REF!</v>
      </c>
      <c r="T100" s="71" t="e">
        <f>' 2024'!#REF!</f>
        <v>#REF!</v>
      </c>
      <c r="U100" s="72" t="e">
        <f>' 2024'!#REF!</f>
        <v>#REF!</v>
      </c>
      <c r="V100" s="72" t="e">
        <f>' 2024'!#REF!</f>
        <v>#REF!</v>
      </c>
      <c r="W100" s="73">
        <f>' 2024'!H107</f>
        <v>3314.9639999999995</v>
      </c>
      <c r="X100" s="74">
        <f>' 2024'!N107</f>
        <v>3758.5679999999998</v>
      </c>
      <c r="Y100" s="217">
        <v>0</v>
      </c>
      <c r="Z100" s="217">
        <v>0</v>
      </c>
      <c r="AA100" s="74">
        <f>' 2024'!J107</f>
        <v>2484</v>
      </c>
      <c r="AB100" s="74">
        <f>' 2024'!P107</f>
        <v>2719.98</v>
      </c>
      <c r="AC100" s="74">
        <f>' 2024'!K107</f>
        <v>0</v>
      </c>
      <c r="AD100" s="74">
        <f>' 2024'!Q107</f>
        <v>0</v>
      </c>
    </row>
    <row r="101" spans="1:31" customFormat="1">
      <c r="A101">
        <f t="shared" si="36"/>
        <v>95</v>
      </c>
      <c r="B101" s="85" t="str">
        <f>' 2024'!B107</f>
        <v>Черемисиновский  район</v>
      </c>
      <c r="C101" s="92" t="str">
        <f t="shared" si="26"/>
        <v>Код района</v>
      </c>
      <c r="D101" s="66" t="str">
        <f>' 2024'!C108</f>
        <v>Краснополянский сельсовет</v>
      </c>
      <c r="E101" s="92" t="str">
        <f t="shared" si="25"/>
        <v>Код сельсовета</v>
      </c>
      <c r="F101" s="89" t="str">
        <f>' 2024'!D108</f>
        <v xml:space="preserve">ГУПКО "Курскоблжилкомхоз" </v>
      </c>
      <c r="G101" s="91">
        <f>' 2024'!E108</f>
        <v>4632024035</v>
      </c>
      <c r="H101" s="48" t="e">
        <f t="shared" si="27"/>
        <v>#REF!</v>
      </c>
      <c r="I101" s="48" t="e">
        <f t="shared" si="28"/>
        <v>#REF!</v>
      </c>
      <c r="J101" s="48" t="e">
        <f t="shared" si="29"/>
        <v>#REF!</v>
      </c>
      <c r="K101" s="49" t="e">
        <f t="shared" si="30"/>
        <v>#REF!</v>
      </c>
      <c r="L101" s="86" t="e">
        <f>' 2024'!#REF!+' 2024'!#REF!</f>
        <v>#REF!</v>
      </c>
      <c r="M101" s="71" t="e">
        <f>' 2024'!#REF!+' 2024'!#REF!</f>
        <v>#REF!</v>
      </c>
      <c r="N101" s="67" t="e">
        <f t="shared" si="31"/>
        <v>#REF!</v>
      </c>
      <c r="O101" s="68" t="e">
        <f t="shared" si="32"/>
        <v>#REF!</v>
      </c>
      <c r="P101" s="69" t="e">
        <f t="shared" si="33"/>
        <v>#REF!</v>
      </c>
      <c r="Q101" s="70" t="e">
        <f t="shared" si="34"/>
        <v>#REF!</v>
      </c>
      <c r="R101" s="70" t="e">
        <f t="shared" si="35"/>
        <v>#REF!</v>
      </c>
      <c r="S101" s="71" t="e">
        <f>' 2024'!#REF!</f>
        <v>#REF!</v>
      </c>
      <c r="T101" s="71" t="e">
        <f>' 2024'!#REF!</f>
        <v>#REF!</v>
      </c>
      <c r="U101" s="72" t="e">
        <f>' 2024'!#REF!</f>
        <v>#REF!</v>
      </c>
      <c r="V101" s="72" t="e">
        <f>' 2024'!#REF!</f>
        <v>#REF!</v>
      </c>
      <c r="W101" s="73">
        <f>' 2024'!H108</f>
        <v>3314.9639999999995</v>
      </c>
      <c r="X101" s="74">
        <f>' 2024'!N108</f>
        <v>3758.5679999999998</v>
      </c>
      <c r="Y101" s="217">
        <v>0</v>
      </c>
      <c r="Z101" s="217">
        <v>0</v>
      </c>
      <c r="AA101" s="74">
        <f>' 2024'!J108</f>
        <v>0</v>
      </c>
      <c r="AB101" s="74">
        <f>' 2024'!P108</f>
        <v>0</v>
      </c>
      <c r="AC101" s="74">
        <f>' 2024'!K108</f>
        <v>0</v>
      </c>
      <c r="AD101" s="74">
        <f>' 2024'!Q108</f>
        <v>0</v>
      </c>
    </row>
    <row r="102" spans="1:31" customFormat="1">
      <c r="A102">
        <f t="shared" si="36"/>
        <v>96</v>
      </c>
      <c r="B102" s="85" t="str">
        <f>' 2024'!B108</f>
        <v>Черемисиновский  район</v>
      </c>
      <c r="C102" s="92" t="str">
        <f t="shared" si="26"/>
        <v>Код района</v>
      </c>
      <c r="D102" s="66" t="str">
        <f>' 2024'!C109</f>
        <v>г.Щигры</v>
      </c>
      <c r="E102" s="92" t="str">
        <f t="shared" si="25"/>
        <v>Код сельсовета</v>
      </c>
      <c r="F102" s="89" t="str">
        <f>' 2024'!D109</f>
        <v xml:space="preserve">ГУПКО "Курскоблжилкомхоз"  </v>
      </c>
      <c r="G102" s="91">
        <f>' 2024'!E109</f>
        <v>4632024035</v>
      </c>
      <c r="H102" s="48" t="e">
        <f t="shared" si="27"/>
        <v>#REF!</v>
      </c>
      <c r="I102" s="48" t="e">
        <f t="shared" si="28"/>
        <v>#REF!</v>
      </c>
      <c r="J102" s="48" t="e">
        <f t="shared" si="29"/>
        <v>#REF!</v>
      </c>
      <c r="K102" s="49" t="e">
        <f t="shared" si="30"/>
        <v>#REF!</v>
      </c>
      <c r="L102" s="86" t="e">
        <f>' 2024'!#REF!+' 2024'!#REF!</f>
        <v>#REF!</v>
      </c>
      <c r="M102" s="71" t="e">
        <f>' 2024'!#REF!+' 2024'!#REF!</f>
        <v>#REF!</v>
      </c>
      <c r="N102" s="67" t="e">
        <f t="shared" si="31"/>
        <v>#REF!</v>
      </c>
      <c r="O102" s="68" t="e">
        <f t="shared" si="32"/>
        <v>#REF!</v>
      </c>
      <c r="P102" s="69" t="e">
        <f t="shared" si="33"/>
        <v>#REF!</v>
      </c>
      <c r="Q102" s="70" t="e">
        <f t="shared" si="34"/>
        <v>#REF!</v>
      </c>
      <c r="R102" s="70" t="e">
        <f t="shared" si="35"/>
        <v>#REF!</v>
      </c>
      <c r="S102" s="71" t="e">
        <f>' 2024'!#REF!</f>
        <v>#REF!</v>
      </c>
      <c r="T102" s="71" t="e">
        <f>' 2024'!#REF!</f>
        <v>#REF!</v>
      </c>
      <c r="U102" s="72" t="e">
        <f>' 2024'!#REF!</f>
        <v>#REF!</v>
      </c>
      <c r="V102" s="72" t="e">
        <f>' 2024'!#REF!</f>
        <v>#REF!</v>
      </c>
      <c r="W102" s="73">
        <f>' 2024'!H109</f>
        <v>3314.9639999999995</v>
      </c>
      <c r="X102" s="74">
        <f>' 2024'!N109</f>
        <v>3758.5679999999998</v>
      </c>
      <c r="Y102" s="217">
        <v>0</v>
      </c>
      <c r="Z102" s="217">
        <v>0</v>
      </c>
      <c r="AA102" s="74">
        <f>' 2024'!J109</f>
        <v>2484</v>
      </c>
      <c r="AB102" s="74">
        <f>' 2024'!P109</f>
        <v>2719.98</v>
      </c>
      <c r="AC102" s="74">
        <f>' 2024'!K109</f>
        <v>1822.33</v>
      </c>
      <c r="AD102" s="74">
        <f>' 2024'!Q109</f>
        <v>2084.56</v>
      </c>
    </row>
    <row r="103" spans="1:31" customFormat="1">
      <c r="A103">
        <f t="shared" si="36"/>
        <v>97</v>
      </c>
      <c r="B103" s="85" t="str">
        <f>' 2024'!B109</f>
        <v>Щигровский район</v>
      </c>
      <c r="C103" s="92" t="str">
        <f t="shared" si="26"/>
        <v>Код района</v>
      </c>
      <c r="D103" s="66" t="str">
        <f>' 2024'!C110</f>
        <v>Охочевский сельсовет</v>
      </c>
      <c r="E103" s="92" t="str">
        <f t="shared" si="25"/>
        <v>Код сельсовета</v>
      </c>
      <c r="F103" s="89" t="str">
        <f>' 2024'!D110</f>
        <v xml:space="preserve">ГУПКО "Курскоблжилкомхоз" </v>
      </c>
      <c r="G103" s="91">
        <f>' 2024'!E110</f>
        <v>4632024035</v>
      </c>
      <c r="H103" s="48" t="e">
        <f t="shared" si="27"/>
        <v>#REF!</v>
      </c>
      <c r="I103" s="48" t="e">
        <f t="shared" si="28"/>
        <v>#REF!</v>
      </c>
      <c r="J103" s="48" t="e">
        <f t="shared" si="29"/>
        <v>#REF!</v>
      </c>
      <c r="K103" s="49" t="e">
        <f t="shared" si="30"/>
        <v>#REF!</v>
      </c>
      <c r="L103" s="86" t="e">
        <f>' 2024'!#REF!+' 2024'!#REF!</f>
        <v>#REF!</v>
      </c>
      <c r="M103" s="71" t="e">
        <f>' 2024'!#REF!+' 2024'!#REF!</f>
        <v>#REF!</v>
      </c>
      <c r="N103" s="67" t="e">
        <f t="shared" si="31"/>
        <v>#REF!</v>
      </c>
      <c r="O103" s="68" t="e">
        <f t="shared" si="32"/>
        <v>#REF!</v>
      </c>
      <c r="P103" s="69" t="e">
        <f t="shared" si="33"/>
        <v>#REF!</v>
      </c>
      <c r="Q103" s="70" t="e">
        <f t="shared" si="34"/>
        <v>#REF!</v>
      </c>
      <c r="R103" s="70" t="e">
        <f t="shared" si="35"/>
        <v>#REF!</v>
      </c>
      <c r="S103" s="71" t="e">
        <f>' 2024'!#REF!</f>
        <v>#REF!</v>
      </c>
      <c r="T103" s="71" t="e">
        <f>' 2024'!#REF!</f>
        <v>#REF!</v>
      </c>
      <c r="U103" s="72" t="e">
        <f>' 2024'!#REF!</f>
        <v>#REF!</v>
      </c>
      <c r="V103" s="72" t="e">
        <f>' 2024'!#REF!</f>
        <v>#REF!</v>
      </c>
      <c r="W103" s="73">
        <f>' 2024'!H110</f>
        <v>3314.9639999999995</v>
      </c>
      <c r="X103" s="74">
        <f>' 2024'!N110</f>
        <v>3758.5679999999998</v>
      </c>
      <c r="Y103" s="217">
        <v>0</v>
      </c>
      <c r="Z103" s="217">
        <v>0</v>
      </c>
      <c r="AA103" s="74">
        <f>' 2024'!J110</f>
        <v>0</v>
      </c>
      <c r="AB103" s="74">
        <f>' 2024'!P110</f>
        <v>0</v>
      </c>
      <c r="AC103" s="74">
        <f>' 2024'!K110</f>
        <v>0</v>
      </c>
      <c r="AD103" s="74">
        <f>' 2024'!Q110</f>
        <v>0</v>
      </c>
    </row>
    <row r="104" spans="1:31" customFormat="1">
      <c r="A104">
        <f t="shared" si="36"/>
        <v>98</v>
      </c>
      <c r="B104" s="85" t="str">
        <f>' 2024'!B110</f>
        <v>Щигровский район</v>
      </c>
      <c r="C104" s="92" t="str">
        <f t="shared" si="26"/>
        <v>Код района</v>
      </c>
      <c r="D104" s="66" t="str">
        <f>' 2024'!C111</f>
        <v>Озерковский сельсовет</v>
      </c>
      <c r="E104" s="92" t="str">
        <f t="shared" si="25"/>
        <v>Код сельсовета</v>
      </c>
      <c r="F104" s="89" t="str">
        <f>' 2024'!D111</f>
        <v xml:space="preserve">ГУПКО "Курскоблжилкомхоз" </v>
      </c>
      <c r="G104" s="91">
        <f>' 2024'!E111</f>
        <v>4632024035</v>
      </c>
      <c r="H104" s="48" t="e">
        <f t="shared" si="27"/>
        <v>#REF!</v>
      </c>
      <c r="I104" s="48" t="e">
        <f t="shared" si="28"/>
        <v>#REF!</v>
      </c>
      <c r="J104" s="48" t="e">
        <f t="shared" si="29"/>
        <v>#REF!</v>
      </c>
      <c r="K104" s="49" t="e">
        <f t="shared" si="30"/>
        <v>#REF!</v>
      </c>
      <c r="L104" s="86" t="e">
        <f>' 2024'!#REF!+' 2024'!#REF!</f>
        <v>#REF!</v>
      </c>
      <c r="M104" s="71" t="e">
        <f>' 2024'!#REF!+' 2024'!#REF!</f>
        <v>#REF!</v>
      </c>
      <c r="N104" s="67" t="e">
        <f t="shared" si="31"/>
        <v>#REF!</v>
      </c>
      <c r="O104" s="68" t="e">
        <f t="shared" si="32"/>
        <v>#REF!</v>
      </c>
      <c r="P104" s="69" t="e">
        <f t="shared" si="33"/>
        <v>#REF!</v>
      </c>
      <c r="Q104" s="70" t="e">
        <f t="shared" si="34"/>
        <v>#REF!</v>
      </c>
      <c r="R104" s="70" t="e">
        <f t="shared" si="35"/>
        <v>#REF!</v>
      </c>
      <c r="S104" s="71" t="e">
        <f>' 2024'!#REF!</f>
        <v>#REF!</v>
      </c>
      <c r="T104" s="71" t="e">
        <f>' 2024'!#REF!</f>
        <v>#REF!</v>
      </c>
      <c r="U104" s="72" t="e">
        <f>' 2024'!#REF!</f>
        <v>#REF!</v>
      </c>
      <c r="V104" s="72" t="e">
        <f>' 2024'!#REF!</f>
        <v>#REF!</v>
      </c>
      <c r="W104" s="73">
        <f>' 2024'!H111</f>
        <v>3314.9639999999995</v>
      </c>
      <c r="X104" s="74">
        <f>' 2024'!N111</f>
        <v>3758.5679999999998</v>
      </c>
      <c r="Y104" s="217">
        <v>0</v>
      </c>
      <c r="Z104" s="217">
        <v>0</v>
      </c>
      <c r="AA104" s="74">
        <f>' 2024'!J111</f>
        <v>0</v>
      </c>
      <c r="AB104" s="74">
        <f>' 2024'!P111</f>
        <v>0</v>
      </c>
      <c r="AC104" s="74">
        <f>' 2024'!K111</f>
        <v>0</v>
      </c>
      <c r="AD104" s="74">
        <f>' 2024'!Q111</f>
        <v>0</v>
      </c>
    </row>
    <row r="105" spans="1:31" customFormat="1">
      <c r="A105">
        <f t="shared" si="36"/>
        <v>99</v>
      </c>
      <c r="B105" s="85" t="str">
        <f>' 2024'!B111</f>
        <v>Щигровский район</v>
      </c>
      <c r="C105" s="92" t="str">
        <f t="shared" si="26"/>
        <v>Код района</v>
      </c>
      <c r="D105" s="66" t="str">
        <f>' 2024'!C112</f>
        <v>Защитинский сельсовет</v>
      </c>
      <c r="E105" s="92" t="str">
        <f t="shared" si="25"/>
        <v>Код сельсовета</v>
      </c>
      <c r="F105" s="89" t="str">
        <f>' 2024'!D112</f>
        <v xml:space="preserve">ГУПКО "Курскоблжилкомхоз" </v>
      </c>
      <c r="G105" s="91">
        <f>' 2024'!E112</f>
        <v>4632024035</v>
      </c>
      <c r="H105" s="48" t="e">
        <f t="shared" si="27"/>
        <v>#REF!</v>
      </c>
      <c r="I105" s="48" t="e">
        <f t="shared" si="28"/>
        <v>#REF!</v>
      </c>
      <c r="J105" s="48" t="e">
        <f t="shared" si="29"/>
        <v>#REF!</v>
      </c>
      <c r="K105" s="49" t="e">
        <f t="shared" si="30"/>
        <v>#REF!</v>
      </c>
      <c r="L105" s="86" t="e">
        <f>' 2024'!#REF!+' 2024'!#REF!</f>
        <v>#REF!</v>
      </c>
      <c r="M105" s="71" t="e">
        <f>' 2024'!#REF!+' 2024'!#REF!</f>
        <v>#REF!</v>
      </c>
      <c r="N105" s="67" t="e">
        <f t="shared" si="31"/>
        <v>#REF!</v>
      </c>
      <c r="O105" s="68" t="e">
        <f t="shared" si="32"/>
        <v>#REF!</v>
      </c>
      <c r="P105" s="69" t="e">
        <f t="shared" si="33"/>
        <v>#REF!</v>
      </c>
      <c r="Q105" s="70" t="e">
        <f t="shared" si="34"/>
        <v>#REF!</v>
      </c>
      <c r="R105" s="70" t="e">
        <f t="shared" si="35"/>
        <v>#REF!</v>
      </c>
      <c r="S105" s="71" t="e">
        <f>' 2024'!#REF!</f>
        <v>#REF!</v>
      </c>
      <c r="T105" s="71" t="e">
        <f>' 2024'!#REF!</f>
        <v>#REF!</v>
      </c>
      <c r="U105" s="72" t="e">
        <f>' 2024'!#REF!</f>
        <v>#REF!</v>
      </c>
      <c r="V105" s="72" t="e">
        <f>' 2024'!#REF!</f>
        <v>#REF!</v>
      </c>
      <c r="W105" s="73">
        <f>' 2024'!H112</f>
        <v>3314.9639999999995</v>
      </c>
      <c r="X105" s="74">
        <f>' 2024'!N112</f>
        <v>3758.5679999999998</v>
      </c>
      <c r="Y105" s="217">
        <v>0</v>
      </c>
      <c r="Z105" s="217">
        <v>0</v>
      </c>
      <c r="AA105" s="74">
        <f>' 2024'!J112</f>
        <v>0</v>
      </c>
      <c r="AB105" s="74">
        <f>' 2024'!P112</f>
        <v>0</v>
      </c>
      <c r="AC105" s="74">
        <f>' 2024'!K112</f>
        <v>0</v>
      </c>
      <c r="AD105" s="74">
        <f>' 2024'!Q112</f>
        <v>0</v>
      </c>
      <c r="AE105" s="211"/>
    </row>
    <row r="106" spans="1:31" customFormat="1">
      <c r="A106">
        <f t="shared" si="36"/>
        <v>100</v>
      </c>
      <c r="B106" s="85" t="str">
        <f>' 2024'!B112</f>
        <v>Щигровский район</v>
      </c>
      <c r="C106" s="92" t="str">
        <f t="shared" si="26"/>
        <v>Код района</v>
      </c>
      <c r="D106" s="66" t="str">
        <f>' 2024'!C113</f>
        <v xml:space="preserve"> Знаменский сельсовет</v>
      </c>
      <c r="E106" s="92" t="str">
        <f t="shared" si="25"/>
        <v>Код сельсовета</v>
      </c>
      <c r="F106" s="89" t="str">
        <f>' 2024'!D113</f>
        <v>ГУПКО "Курскоблжилкомхоз"</v>
      </c>
      <c r="G106" s="91">
        <f>' 2024'!E113</f>
        <v>4632024035</v>
      </c>
      <c r="H106" s="48" t="e">
        <f t="shared" si="27"/>
        <v>#REF!</v>
      </c>
      <c r="I106" s="48" t="e">
        <f t="shared" si="28"/>
        <v>#REF!</v>
      </c>
      <c r="J106" s="48" t="e">
        <f t="shared" si="29"/>
        <v>#REF!</v>
      </c>
      <c r="K106" s="49" t="e">
        <f t="shared" si="30"/>
        <v>#REF!</v>
      </c>
      <c r="L106" s="86" t="e">
        <f>' 2024'!#REF!+' 2024'!#REF!</f>
        <v>#REF!</v>
      </c>
      <c r="M106" s="71" t="e">
        <f>' 2024'!#REF!+' 2024'!#REF!</f>
        <v>#REF!</v>
      </c>
      <c r="N106" s="67" t="e">
        <f t="shared" si="31"/>
        <v>#REF!</v>
      </c>
      <c r="O106" s="68" t="e">
        <f t="shared" si="32"/>
        <v>#REF!</v>
      </c>
      <c r="P106" s="69" t="e">
        <f t="shared" si="33"/>
        <v>#REF!</v>
      </c>
      <c r="Q106" s="70" t="e">
        <f t="shared" si="34"/>
        <v>#REF!</v>
      </c>
      <c r="R106" s="70" t="e">
        <f t="shared" si="35"/>
        <v>#REF!</v>
      </c>
      <c r="S106" s="71" t="e">
        <f>' 2024'!#REF!</f>
        <v>#REF!</v>
      </c>
      <c r="T106" s="71" t="e">
        <f>' 2024'!#REF!</f>
        <v>#REF!</v>
      </c>
      <c r="U106" s="72" t="e">
        <f>' 2024'!#REF!</f>
        <v>#REF!</v>
      </c>
      <c r="V106" s="72" t="e">
        <f>' 2024'!#REF!</f>
        <v>#REF!</v>
      </c>
      <c r="W106" s="73">
        <f>' 2024'!H113</f>
        <v>3314.9639999999995</v>
      </c>
      <c r="X106" s="74">
        <f>' 2024'!N113</f>
        <v>3758.5679999999998</v>
      </c>
      <c r="Y106" s="217">
        <v>0</v>
      </c>
      <c r="Z106" s="217">
        <v>0</v>
      </c>
      <c r="AA106" s="74">
        <f>' 2024'!J113</f>
        <v>0</v>
      </c>
      <c r="AB106" s="74">
        <f>' 2024'!P113</f>
        <v>0</v>
      </c>
      <c r="AC106" s="74">
        <f>' 2024'!K113</f>
        <v>0</v>
      </c>
      <c r="AD106" s="74">
        <f>' 2024'!Q113</f>
        <v>0</v>
      </c>
    </row>
    <row r="107" spans="1:31" customFormat="1">
      <c r="A107">
        <f t="shared" si="36"/>
        <v>101</v>
      </c>
      <c r="B107" s="85" t="str">
        <f>' 2024'!B113</f>
        <v>Щигровский район</v>
      </c>
      <c r="C107" s="92" t="str">
        <f t="shared" si="26"/>
        <v>Код района</v>
      </c>
      <c r="D107" s="66" t="str">
        <f>' 2024'!C114</f>
        <v>Вишневский сельсовет</v>
      </c>
      <c r="E107" s="92" t="str">
        <f t="shared" si="25"/>
        <v>Код сельсовета</v>
      </c>
      <c r="F107" s="89" t="str">
        <f>' 2024'!D114</f>
        <v xml:space="preserve">ГУПКО "Курскоблжилкомхоз" </v>
      </c>
      <c r="G107" s="91">
        <f>' 2024'!E114</f>
        <v>4632024035</v>
      </c>
      <c r="H107" s="48" t="e">
        <f t="shared" si="27"/>
        <v>#REF!</v>
      </c>
      <c r="I107" s="48" t="e">
        <f t="shared" si="28"/>
        <v>#REF!</v>
      </c>
      <c r="J107" s="48" t="e">
        <f t="shared" si="29"/>
        <v>#REF!</v>
      </c>
      <c r="K107" s="49" t="e">
        <f t="shared" si="30"/>
        <v>#REF!</v>
      </c>
      <c r="L107" s="86" t="e">
        <f>' 2024'!#REF!+' 2024'!#REF!</f>
        <v>#REF!</v>
      </c>
      <c r="M107" s="71" t="e">
        <f>' 2024'!#REF!+' 2024'!#REF!</f>
        <v>#REF!</v>
      </c>
      <c r="N107" s="67" t="e">
        <f t="shared" si="31"/>
        <v>#REF!</v>
      </c>
      <c r="O107" s="68" t="e">
        <f t="shared" si="32"/>
        <v>#REF!</v>
      </c>
      <c r="P107" s="69" t="e">
        <f t="shared" si="33"/>
        <v>#REF!</v>
      </c>
      <c r="Q107" s="70" t="e">
        <f t="shared" si="34"/>
        <v>#REF!</v>
      </c>
      <c r="R107" s="70" t="e">
        <f t="shared" si="35"/>
        <v>#REF!</v>
      </c>
      <c r="S107" s="71" t="e">
        <f>' 2024'!#REF!</f>
        <v>#REF!</v>
      </c>
      <c r="T107" s="71" t="e">
        <f>' 2024'!#REF!</f>
        <v>#REF!</v>
      </c>
      <c r="U107" s="72" t="e">
        <f>' 2024'!#REF!</f>
        <v>#REF!</v>
      </c>
      <c r="V107" s="72" t="e">
        <f>' 2024'!#REF!</f>
        <v>#REF!</v>
      </c>
      <c r="W107" s="73">
        <f>' 2024'!H114</f>
        <v>3314.9639999999995</v>
      </c>
      <c r="X107" s="74">
        <f>' 2024'!N114</f>
        <v>3758.5679999999998</v>
      </c>
      <c r="Y107" s="217">
        <v>0</v>
      </c>
      <c r="Z107" s="217">
        <v>0</v>
      </c>
      <c r="AA107" s="74">
        <f>' 2024'!J114</f>
        <v>0</v>
      </c>
      <c r="AB107" s="74">
        <f>' 2024'!P114</f>
        <v>0</v>
      </c>
      <c r="AC107" s="74">
        <f>' 2024'!K114</f>
        <v>0</v>
      </c>
      <c r="AD107" s="74">
        <f>' 2024'!Q114</f>
        <v>0</v>
      </c>
    </row>
    <row r="108" spans="1:31" customFormat="1">
      <c r="A108">
        <f t="shared" si="36"/>
        <v>102</v>
      </c>
      <c r="B108" s="85" t="str">
        <f>' 2024'!B114</f>
        <v>Щигровский район</v>
      </c>
      <c r="C108" s="92" t="str">
        <f t="shared" si="26"/>
        <v>Код района</v>
      </c>
      <c r="D108" s="66" t="str">
        <f>' 2024'!C115</f>
        <v>Кривцовский сельсовет</v>
      </c>
      <c r="E108" s="92" t="str">
        <f t="shared" si="25"/>
        <v>Код сельсовета</v>
      </c>
      <c r="F108" s="89" t="str">
        <f>' 2024'!D115</f>
        <v xml:space="preserve">ГУПКО "Курскоблжилкомхоз" </v>
      </c>
      <c r="G108" s="91">
        <f>' 2024'!E115</f>
        <v>4632024035</v>
      </c>
      <c r="H108" s="48" t="e">
        <f t="shared" si="27"/>
        <v>#REF!</v>
      </c>
      <c r="I108" s="48" t="e">
        <f t="shared" si="28"/>
        <v>#REF!</v>
      </c>
      <c r="J108" s="48" t="e">
        <f t="shared" si="29"/>
        <v>#REF!</v>
      </c>
      <c r="K108" s="49" t="e">
        <f t="shared" si="30"/>
        <v>#REF!</v>
      </c>
      <c r="L108" s="86" t="e">
        <f>' 2024'!#REF!+' 2024'!#REF!</f>
        <v>#REF!</v>
      </c>
      <c r="M108" s="71" t="e">
        <f>' 2024'!#REF!+' 2024'!#REF!</f>
        <v>#REF!</v>
      </c>
      <c r="N108" s="67" t="e">
        <f t="shared" si="31"/>
        <v>#REF!</v>
      </c>
      <c r="O108" s="68" t="e">
        <f t="shared" si="32"/>
        <v>#REF!</v>
      </c>
      <c r="P108" s="69" t="e">
        <f t="shared" si="33"/>
        <v>#REF!</v>
      </c>
      <c r="Q108" s="70" t="e">
        <f t="shared" si="34"/>
        <v>#REF!</v>
      </c>
      <c r="R108" s="70" t="e">
        <f t="shared" si="35"/>
        <v>#REF!</v>
      </c>
      <c r="S108" s="71" t="e">
        <f>' 2024'!#REF!</f>
        <v>#REF!</v>
      </c>
      <c r="T108" s="71" t="e">
        <f>' 2024'!#REF!</f>
        <v>#REF!</v>
      </c>
      <c r="U108" s="72" t="e">
        <f>' 2024'!#REF!</f>
        <v>#REF!</v>
      </c>
      <c r="V108" s="72" t="e">
        <f>' 2024'!#REF!</f>
        <v>#REF!</v>
      </c>
      <c r="W108" s="73">
        <f>' 2024'!H115</f>
        <v>3314.9639999999995</v>
      </c>
      <c r="X108" s="74">
        <f>' 2024'!N115</f>
        <v>3758.5679999999998</v>
      </c>
      <c r="Y108" s="217">
        <v>0</v>
      </c>
      <c r="Z108" s="217">
        <v>0</v>
      </c>
      <c r="AA108" s="74">
        <f>' 2024'!J115</f>
        <v>0</v>
      </c>
      <c r="AB108" s="74">
        <f>' 2024'!P115</f>
        <v>0</v>
      </c>
      <c r="AC108" s="74">
        <f>' 2024'!K115</f>
        <v>0</v>
      </c>
      <c r="AD108" s="74">
        <f>' 2024'!Q115</f>
        <v>0</v>
      </c>
    </row>
    <row r="109" spans="1:31" customFormat="1">
      <c r="A109">
        <f t="shared" si="36"/>
        <v>103</v>
      </c>
      <c r="B109" s="85" t="str">
        <f>' 2024'!B115</f>
        <v>Щигровский район</v>
      </c>
      <c r="C109" s="92" t="str">
        <f t="shared" si="26"/>
        <v>Код района</v>
      </c>
      <c r="D109" s="66" t="str">
        <f>' 2024'!C116</f>
        <v>Никольский сельсовет</v>
      </c>
      <c r="E109" s="92" t="str">
        <f t="shared" si="25"/>
        <v>Код сельсовета</v>
      </c>
      <c r="F109" s="89" t="str">
        <f>' 2024'!D116</f>
        <v xml:space="preserve">ГУПКО "Курскоблжилкомхоз" </v>
      </c>
      <c r="G109" s="91">
        <f>' 2024'!E116</f>
        <v>4632024035</v>
      </c>
      <c r="H109" s="48" t="e">
        <f t="shared" si="27"/>
        <v>#REF!</v>
      </c>
      <c r="I109" s="48" t="e">
        <f t="shared" si="28"/>
        <v>#REF!</v>
      </c>
      <c r="J109" s="48" t="e">
        <f t="shared" si="29"/>
        <v>#REF!</v>
      </c>
      <c r="K109" s="49" t="e">
        <f t="shared" si="30"/>
        <v>#REF!</v>
      </c>
      <c r="L109" s="86" t="e">
        <f>' 2024'!#REF!+' 2024'!#REF!</f>
        <v>#REF!</v>
      </c>
      <c r="M109" s="71" t="e">
        <f>' 2024'!#REF!+' 2024'!#REF!</f>
        <v>#REF!</v>
      </c>
      <c r="N109" s="67" t="e">
        <f t="shared" si="31"/>
        <v>#REF!</v>
      </c>
      <c r="O109" s="68" t="e">
        <f t="shared" si="32"/>
        <v>#REF!</v>
      </c>
      <c r="P109" s="69" t="e">
        <f t="shared" si="33"/>
        <v>#REF!</v>
      </c>
      <c r="Q109" s="70" t="e">
        <f t="shared" si="34"/>
        <v>#REF!</v>
      </c>
      <c r="R109" s="70" t="e">
        <f t="shared" si="35"/>
        <v>#REF!</v>
      </c>
      <c r="S109" s="71" t="e">
        <f>' 2024'!#REF!</f>
        <v>#REF!</v>
      </c>
      <c r="T109" s="71" t="e">
        <f>' 2024'!#REF!</f>
        <v>#REF!</v>
      </c>
      <c r="U109" s="72" t="e">
        <f>' 2024'!#REF!</f>
        <v>#REF!</v>
      </c>
      <c r="V109" s="72" t="e">
        <f>' 2024'!#REF!</f>
        <v>#REF!</v>
      </c>
      <c r="W109" s="73">
        <f>' 2024'!H116</f>
        <v>3314.9639999999995</v>
      </c>
      <c r="X109" s="74">
        <f>' 2024'!N116</f>
        <v>3758.5679999999998</v>
      </c>
      <c r="Y109" s="217">
        <v>0</v>
      </c>
      <c r="Z109" s="217">
        <v>0</v>
      </c>
      <c r="AA109" s="74">
        <f>' 2024'!J116</f>
        <v>0</v>
      </c>
      <c r="AB109" s="74">
        <f>' 2024'!P116</f>
        <v>0</v>
      </c>
      <c r="AC109" s="74">
        <f>' 2024'!K116</f>
        <v>0</v>
      </c>
      <c r="AD109" s="74">
        <f>' 2024'!Q116</f>
        <v>0</v>
      </c>
    </row>
    <row r="110" spans="1:31" customFormat="1">
      <c r="A110">
        <f t="shared" si="36"/>
        <v>104</v>
      </c>
      <c r="B110" s="85" t="str">
        <f>' 2024'!B116</f>
        <v>Щигровский район</v>
      </c>
      <c r="C110" s="92" t="str">
        <f t="shared" si="26"/>
        <v>Код района</v>
      </c>
      <c r="D110" s="66" t="str">
        <f>' 2024'!C117</f>
        <v>Пригородненский сельсовет</v>
      </c>
      <c r="E110" s="92" t="str">
        <f t="shared" si="25"/>
        <v>Код сельсовета</v>
      </c>
      <c r="F110" s="89" t="str">
        <f>' 2024'!D117</f>
        <v xml:space="preserve">ГУПКО "Курскоблжилкомхоз" </v>
      </c>
      <c r="G110" s="91">
        <f>' 2024'!E117</f>
        <v>4632024035</v>
      </c>
      <c r="H110" s="48" t="e">
        <f t="shared" si="27"/>
        <v>#REF!</v>
      </c>
      <c r="I110" s="48" t="e">
        <f t="shared" si="28"/>
        <v>#REF!</v>
      </c>
      <c r="J110" s="48" t="e">
        <f t="shared" si="29"/>
        <v>#REF!</v>
      </c>
      <c r="K110" s="49" t="e">
        <f t="shared" si="30"/>
        <v>#REF!</v>
      </c>
      <c r="L110" s="86" t="e">
        <f>' 2024'!#REF!+' 2024'!#REF!</f>
        <v>#REF!</v>
      </c>
      <c r="M110" s="71" t="e">
        <f>' 2024'!#REF!+' 2024'!#REF!</f>
        <v>#REF!</v>
      </c>
      <c r="N110" s="67" t="e">
        <f t="shared" si="31"/>
        <v>#REF!</v>
      </c>
      <c r="O110" s="68" t="e">
        <f t="shared" si="32"/>
        <v>#REF!</v>
      </c>
      <c r="P110" s="69" t="e">
        <f t="shared" si="33"/>
        <v>#REF!</v>
      </c>
      <c r="Q110" s="70" t="e">
        <f t="shared" si="34"/>
        <v>#REF!</v>
      </c>
      <c r="R110" s="70" t="e">
        <f t="shared" si="35"/>
        <v>#REF!</v>
      </c>
      <c r="S110" s="71" t="e">
        <f>' 2024'!#REF!</f>
        <v>#REF!</v>
      </c>
      <c r="T110" s="71" t="e">
        <f>' 2024'!#REF!</f>
        <v>#REF!</v>
      </c>
      <c r="U110" s="72" t="e">
        <f>' 2024'!#REF!</f>
        <v>#REF!</v>
      </c>
      <c r="V110" s="72" t="e">
        <f>' 2024'!#REF!</f>
        <v>#REF!</v>
      </c>
      <c r="W110" s="73">
        <f>' 2024'!H117</f>
        <v>3314.9639999999995</v>
      </c>
      <c r="X110" s="74">
        <f>' 2024'!N117</f>
        <v>3758.5679999999998</v>
      </c>
      <c r="Y110" s="217">
        <v>0</v>
      </c>
      <c r="Z110" s="217">
        <v>0</v>
      </c>
      <c r="AA110" s="74">
        <f>' 2024'!J117</f>
        <v>0</v>
      </c>
      <c r="AB110" s="74">
        <f>' 2024'!P117</f>
        <v>0</v>
      </c>
      <c r="AC110" s="74">
        <f>' 2024'!K117</f>
        <v>0</v>
      </c>
      <c r="AD110" s="74">
        <f>' 2024'!Q117</f>
        <v>0</v>
      </c>
    </row>
    <row r="111" spans="1:31" customFormat="1">
      <c r="A111">
        <f t="shared" si="36"/>
        <v>105</v>
      </c>
      <c r="B111" s="85" t="str">
        <f>' 2024'!B117</f>
        <v>Щигровский район</v>
      </c>
      <c r="C111" s="92" t="str">
        <f t="shared" si="26"/>
        <v>Код района</v>
      </c>
      <c r="D111" s="66" t="str">
        <f>' 2024'!C118</f>
        <v>город Железногорск</v>
      </c>
      <c r="E111" s="92" t="str">
        <f t="shared" si="25"/>
        <v>Код сельсовета</v>
      </c>
      <c r="F111" s="89" t="str">
        <f>' 2024'!D118</f>
        <v>МУП "Гортеплосеть"
г.Железногорск</v>
      </c>
      <c r="G111" s="91">
        <f>' 2024'!E118</f>
        <v>4633002394</v>
      </c>
      <c r="H111" s="48" t="e">
        <f t="shared" si="27"/>
        <v>#REF!</v>
      </c>
      <c r="I111" s="48" t="e">
        <f t="shared" si="28"/>
        <v>#REF!</v>
      </c>
      <c r="J111" s="48" t="e">
        <f t="shared" si="29"/>
        <v>#REF!</v>
      </c>
      <c r="K111" s="49" t="e">
        <f t="shared" si="30"/>
        <v>#REF!</v>
      </c>
      <c r="L111" s="86" t="e">
        <f>' 2024'!#REF!+' 2024'!#REF!</f>
        <v>#REF!</v>
      </c>
      <c r="M111" s="71" t="e">
        <f>' 2024'!#REF!+' 2024'!#REF!</f>
        <v>#REF!</v>
      </c>
      <c r="N111" s="67" t="e">
        <f t="shared" si="31"/>
        <v>#REF!</v>
      </c>
      <c r="O111" s="68" t="e">
        <f t="shared" si="32"/>
        <v>#REF!</v>
      </c>
      <c r="P111" s="69" t="e">
        <f t="shared" si="33"/>
        <v>#REF!</v>
      </c>
      <c r="Q111" s="70" t="e">
        <f t="shared" si="34"/>
        <v>#REF!</v>
      </c>
      <c r="R111" s="70" t="e">
        <f t="shared" si="35"/>
        <v>#REF!</v>
      </c>
      <c r="S111" s="71" t="e">
        <f>' 2024'!#REF!</f>
        <v>#REF!</v>
      </c>
      <c r="T111" s="71" t="e">
        <f>' 2024'!#REF!</f>
        <v>#REF!</v>
      </c>
      <c r="U111" s="72" t="e">
        <f>' 2024'!#REF!</f>
        <v>#REF!</v>
      </c>
      <c r="V111" s="72" t="e">
        <f>' 2024'!#REF!</f>
        <v>#REF!</v>
      </c>
      <c r="W111" s="73">
        <f>' 2024'!H118</f>
        <v>2092.2239999999997</v>
      </c>
      <c r="X111" s="74">
        <f>' 2024'!N118</f>
        <v>2326.9079999999999</v>
      </c>
      <c r="Y111" s="217">
        <v>0</v>
      </c>
      <c r="Z111" s="217">
        <v>0</v>
      </c>
      <c r="AA111" s="74">
        <f>' 2024'!J118</f>
        <v>2092.2239999999997</v>
      </c>
      <c r="AB111" s="74">
        <f>' 2024'!P118</f>
        <v>2326.91</v>
      </c>
      <c r="AC111" s="74">
        <f>' 2024'!K118</f>
        <v>2036.22</v>
      </c>
      <c r="AD111" s="74">
        <f>' 2024'!Q118</f>
        <v>2326.91</v>
      </c>
    </row>
    <row r="112" spans="1:31" customFormat="1">
      <c r="A112">
        <f t="shared" si="36"/>
        <v>106</v>
      </c>
      <c r="B112" s="85" t="str">
        <f>' 2024'!B118</f>
        <v>г.Железногорск</v>
      </c>
      <c r="C112" s="92" t="str">
        <f t="shared" si="26"/>
        <v>Код района</v>
      </c>
      <c r="D112" s="66" t="str">
        <f>' 2024'!C119</f>
        <v>город Железногорск</v>
      </c>
      <c r="E112" s="92" t="str">
        <f t="shared" si="25"/>
        <v>Код сельсовета</v>
      </c>
      <c r="F112" s="89" t="str">
        <f>' 2024'!D119</f>
        <v>АО "Михайловский ГОК им. А.В. Варичева"</v>
      </c>
      <c r="G112" s="91">
        <f>' 2024'!E119</f>
        <v>4633001577</v>
      </c>
      <c r="H112" s="48" t="e">
        <f t="shared" si="27"/>
        <v>#REF!</v>
      </c>
      <c r="I112" s="48" t="e">
        <f t="shared" si="28"/>
        <v>#REF!</v>
      </c>
      <c r="J112" s="48" t="e">
        <f t="shared" si="29"/>
        <v>#REF!</v>
      </c>
      <c r="K112" s="49" t="e">
        <f t="shared" si="30"/>
        <v>#REF!</v>
      </c>
      <c r="L112" s="86" t="e">
        <f>' 2024'!#REF!+' 2024'!#REF!</f>
        <v>#REF!</v>
      </c>
      <c r="M112" s="71" t="e">
        <f>' 2024'!#REF!+' 2024'!#REF!</f>
        <v>#REF!</v>
      </c>
      <c r="N112" s="67" t="e">
        <f t="shared" si="31"/>
        <v>#REF!</v>
      </c>
      <c r="O112" s="68" t="e">
        <f t="shared" si="32"/>
        <v>#REF!</v>
      </c>
      <c r="P112" s="69" t="e">
        <f t="shared" si="33"/>
        <v>#REF!</v>
      </c>
      <c r="Q112" s="70" t="e">
        <f t="shared" si="34"/>
        <v>#REF!</v>
      </c>
      <c r="R112" s="70" t="e">
        <f t="shared" si="35"/>
        <v>#REF!</v>
      </c>
      <c r="S112" s="71" t="e">
        <f>' 2024'!#REF!</f>
        <v>#REF!</v>
      </c>
      <c r="T112" s="71" t="e">
        <f>' 2024'!#REF!</f>
        <v>#REF!</v>
      </c>
      <c r="U112" s="72" t="e">
        <f>' 2024'!#REF!</f>
        <v>#REF!</v>
      </c>
      <c r="V112" s="72" t="e">
        <f>' 2024'!#REF!</f>
        <v>#REF!</v>
      </c>
      <c r="W112" s="73">
        <f>' 2024'!H119</f>
        <v>2140.0319999999997</v>
      </c>
      <c r="X112" s="74">
        <f>' 2024'!N119</f>
        <v>2534.2439999999997</v>
      </c>
      <c r="Y112" s="217">
        <v>0</v>
      </c>
      <c r="Z112" s="217">
        <v>0</v>
      </c>
      <c r="AA112" s="74">
        <f>' 2024'!J119</f>
        <v>0</v>
      </c>
      <c r="AB112" s="74">
        <f>' 2024'!P119</f>
        <v>0</v>
      </c>
      <c r="AC112" s="74">
        <f>' 2024'!K119</f>
        <v>0</v>
      </c>
      <c r="AD112" s="74">
        <f>' 2024'!Q119</f>
        <v>0</v>
      </c>
    </row>
    <row r="113" spans="1:30" customFormat="1">
      <c r="A113">
        <f t="shared" si="36"/>
        <v>107</v>
      </c>
      <c r="B113" s="85" t="str">
        <f>' 2024'!B119</f>
        <v>г.Железногорск</v>
      </c>
      <c r="C113" s="92" t="str">
        <f t="shared" si="26"/>
        <v>Код района</v>
      </c>
      <c r="D113" s="66" t="str">
        <f>' 2024'!C120</f>
        <v>город Железногорск</v>
      </c>
      <c r="E113" s="92" t="str">
        <f t="shared" si="25"/>
        <v>Код сельсовета</v>
      </c>
      <c r="F113" s="89" t="str">
        <f>' 2024'!D120</f>
        <v xml:space="preserve">ООО "ГОТЭК"-ЦПУ </v>
      </c>
      <c r="G113" s="91">
        <f>' 2024'!E120</f>
        <v>4633016372</v>
      </c>
      <c r="H113" s="48" t="e">
        <f t="shared" si="27"/>
        <v>#REF!</v>
      </c>
      <c r="I113" s="48" t="e">
        <f t="shared" si="28"/>
        <v>#REF!</v>
      </c>
      <c r="J113" s="48" t="e">
        <f t="shared" si="29"/>
        <v>#REF!</v>
      </c>
      <c r="K113" s="49" t="e">
        <f t="shared" si="30"/>
        <v>#REF!</v>
      </c>
      <c r="L113" s="86" t="e">
        <f>' 2024'!#REF!+' 2024'!#REF!</f>
        <v>#REF!</v>
      </c>
      <c r="M113" s="71" t="e">
        <f>' 2024'!#REF!+' 2024'!#REF!</f>
        <v>#REF!</v>
      </c>
      <c r="N113" s="67" t="e">
        <f t="shared" si="31"/>
        <v>#REF!</v>
      </c>
      <c r="O113" s="68" t="e">
        <f t="shared" si="32"/>
        <v>#REF!</v>
      </c>
      <c r="P113" s="69" t="e">
        <f t="shared" si="33"/>
        <v>#REF!</v>
      </c>
      <c r="Q113" s="70" t="e">
        <f t="shared" si="34"/>
        <v>#REF!</v>
      </c>
      <c r="R113" s="70" t="e">
        <f t="shared" si="35"/>
        <v>#REF!</v>
      </c>
      <c r="S113" s="71" t="e">
        <f>' 2024'!#REF!</f>
        <v>#REF!</v>
      </c>
      <c r="T113" s="71" t="e">
        <f>' 2024'!#REF!</f>
        <v>#REF!</v>
      </c>
      <c r="U113" s="72" t="e">
        <f>' 2024'!#REF!</f>
        <v>#REF!</v>
      </c>
      <c r="V113" s="72" t="e">
        <f>' 2024'!#REF!</f>
        <v>#REF!</v>
      </c>
      <c r="W113" s="73">
        <f>' 2024'!H120</f>
        <v>2263.3319999999999</v>
      </c>
      <c r="X113" s="74">
        <f>' 2024'!N120</f>
        <v>2263.3319999999999</v>
      </c>
      <c r="Y113" s="217">
        <v>0</v>
      </c>
      <c r="Z113" s="217">
        <v>0</v>
      </c>
      <c r="AA113" s="74">
        <f>' 2024'!J120</f>
        <v>0</v>
      </c>
      <c r="AB113" s="74">
        <f>' 2024'!P120</f>
        <v>0</v>
      </c>
      <c r="AC113" s="74">
        <f>' 2024'!K120</f>
        <v>0</v>
      </c>
      <c r="AD113" s="74">
        <f>' 2024'!Q120</f>
        <v>0</v>
      </c>
    </row>
    <row r="114" spans="1:30" customFormat="1">
      <c r="A114">
        <f t="shared" si="36"/>
        <v>108</v>
      </c>
      <c r="B114" s="85" t="str">
        <f>' 2024'!B120</f>
        <v>г.Железногорск</v>
      </c>
      <c r="C114" s="92" t="str">
        <f t="shared" si="26"/>
        <v>Код района</v>
      </c>
      <c r="D114" s="66" t="str">
        <f>' 2024'!C121</f>
        <v>город Железногорск</v>
      </c>
      <c r="E114" s="92" t="str">
        <f t="shared" si="25"/>
        <v>Код сельсовета</v>
      </c>
      <c r="F114" s="89" t="str">
        <f>' 2024'!D121</f>
        <v xml:space="preserve">ООО "ГОТЭК"-ЦПУ </v>
      </c>
      <c r="G114" s="91">
        <f>' 2024'!E121</f>
        <v>4633016372</v>
      </c>
      <c r="H114" s="48" t="e">
        <f t="shared" si="27"/>
        <v>#REF!</v>
      </c>
      <c r="I114" s="48" t="e">
        <f t="shared" si="28"/>
        <v>#REF!</v>
      </c>
      <c r="J114" s="48" t="e">
        <f t="shared" si="29"/>
        <v>#REF!</v>
      </c>
      <c r="K114" s="49" t="e">
        <f t="shared" si="30"/>
        <v>#REF!</v>
      </c>
      <c r="L114" s="86" t="e">
        <f>' 2024'!#REF!+' 2024'!#REF!</f>
        <v>#REF!</v>
      </c>
      <c r="M114" s="71" t="e">
        <f>' 2024'!#REF!+' 2024'!#REF!</f>
        <v>#REF!</v>
      </c>
      <c r="N114" s="67" t="e">
        <f t="shared" si="31"/>
        <v>#REF!</v>
      </c>
      <c r="O114" s="68" t="e">
        <f t="shared" si="32"/>
        <v>#REF!</v>
      </c>
      <c r="P114" s="69" t="e">
        <f t="shared" si="33"/>
        <v>#REF!</v>
      </c>
      <c r="Q114" s="70" t="e">
        <f t="shared" si="34"/>
        <v>#REF!</v>
      </c>
      <c r="R114" s="70" t="e">
        <f t="shared" si="35"/>
        <v>#REF!</v>
      </c>
      <c r="S114" s="71" t="e">
        <f>' 2024'!#REF!</f>
        <v>#REF!</v>
      </c>
      <c r="T114" s="71" t="e">
        <f>' 2024'!#REF!</f>
        <v>#REF!</v>
      </c>
      <c r="U114" s="72" t="e">
        <f>' 2024'!#REF!</f>
        <v>#REF!</v>
      </c>
      <c r="V114" s="72" t="e">
        <f>' 2024'!#REF!</f>
        <v>#REF!</v>
      </c>
      <c r="W114" s="73">
        <f>' 2024'!H121</f>
        <v>2503.9679999999998</v>
      </c>
      <c r="X114" s="74">
        <f>' 2024'!N121</f>
        <v>2698.8584531584438</v>
      </c>
      <c r="Y114" s="217">
        <v>0</v>
      </c>
      <c r="Z114" s="217">
        <v>0</v>
      </c>
      <c r="AA114" s="74">
        <f>' 2024'!J121</f>
        <v>0</v>
      </c>
      <c r="AB114" s="74">
        <f>' 2024'!P121</f>
        <v>0</v>
      </c>
      <c r="AC114" s="74">
        <f>' 2024'!K121</f>
        <v>0</v>
      </c>
      <c r="AD114" s="74">
        <f>' 2024'!Q121</f>
        <v>0</v>
      </c>
    </row>
    <row r="115" spans="1:30" customFormat="1">
      <c r="A115">
        <f t="shared" si="36"/>
        <v>109</v>
      </c>
      <c r="B115" s="85" t="str">
        <f>' 2024'!B121</f>
        <v>г.Железногорск</v>
      </c>
      <c r="C115" s="92" t="str">
        <f t="shared" si="26"/>
        <v>Код района</v>
      </c>
      <c r="D115" s="66" t="str">
        <f>' 2024'!C122</f>
        <v>город Железногорск</v>
      </c>
      <c r="E115" s="92" t="str">
        <f t="shared" si="25"/>
        <v>Код сельсовета</v>
      </c>
      <c r="F115" s="89" t="str">
        <f>' 2024'!D122</f>
        <v>ООО "Комфорт"</v>
      </c>
      <c r="G115" s="91">
        <f>' 2024'!E122</f>
        <v>4633022993</v>
      </c>
      <c r="H115" s="48" t="e">
        <f t="shared" si="27"/>
        <v>#REF!</v>
      </c>
      <c r="I115" s="48" t="e">
        <f t="shared" si="28"/>
        <v>#REF!</v>
      </c>
      <c r="J115" s="48" t="e">
        <f t="shared" si="29"/>
        <v>#REF!</v>
      </c>
      <c r="K115" s="49" t="e">
        <f t="shared" si="30"/>
        <v>#REF!</v>
      </c>
      <c r="L115" s="86" t="e">
        <f>' 2024'!#REF!+' 2024'!#REF!</f>
        <v>#REF!</v>
      </c>
      <c r="M115" s="71" t="e">
        <f>' 2024'!#REF!+' 2024'!#REF!</f>
        <v>#REF!</v>
      </c>
      <c r="N115" s="67" t="e">
        <f t="shared" si="31"/>
        <v>#REF!</v>
      </c>
      <c r="O115" s="68" t="e">
        <f t="shared" si="32"/>
        <v>#REF!</v>
      </c>
      <c r="P115" s="69" t="e">
        <f t="shared" si="33"/>
        <v>#REF!</v>
      </c>
      <c r="Q115" s="70" t="e">
        <f t="shared" si="34"/>
        <v>#REF!</v>
      </c>
      <c r="R115" s="70" t="e">
        <f t="shared" si="35"/>
        <v>#REF!</v>
      </c>
      <c r="S115" s="71" t="e">
        <f>' 2024'!#REF!</f>
        <v>#REF!</v>
      </c>
      <c r="T115" s="71" t="e">
        <f>' 2024'!#REF!</f>
        <v>#REF!</v>
      </c>
      <c r="U115" s="72" t="e">
        <f>' 2024'!#REF!</f>
        <v>#REF!</v>
      </c>
      <c r="V115" s="72" t="e">
        <f>' 2024'!#REF!</f>
        <v>#REF!</v>
      </c>
      <c r="W115" s="73">
        <f>' 2024'!H122</f>
        <v>1701.14</v>
      </c>
      <c r="X115" s="74">
        <f>' 2024'!N122</f>
        <v>1837.55</v>
      </c>
      <c r="Y115" s="217">
        <v>0</v>
      </c>
      <c r="Z115" s="217">
        <v>0</v>
      </c>
      <c r="AA115" s="74">
        <f>' 2024'!J122</f>
        <v>1701.14</v>
      </c>
      <c r="AB115" s="74">
        <f>' 2024'!P122</f>
        <v>1837.55</v>
      </c>
      <c r="AC115" s="74">
        <f>' 2024'!K122</f>
        <v>1701.14</v>
      </c>
      <c r="AD115" s="74">
        <f>' 2024'!Q122</f>
        <v>1837.55</v>
      </c>
    </row>
    <row r="116" spans="1:30" customFormat="1">
      <c r="A116">
        <f t="shared" si="36"/>
        <v>110</v>
      </c>
      <c r="B116" s="85" t="str">
        <f>' 2024'!B122</f>
        <v>г.Железногорск</v>
      </c>
      <c r="C116" s="92" t="str">
        <f t="shared" si="26"/>
        <v>Код района</v>
      </c>
      <c r="D116" s="66" t="str">
        <f>' 2024'!C123</f>
        <v>город Железногорск</v>
      </c>
      <c r="E116" s="92" t="str">
        <f t="shared" si="25"/>
        <v>Код сельсовета</v>
      </c>
      <c r="F116" s="89" t="str">
        <f>' 2024'!D123</f>
        <v xml:space="preserve">ООО "Жилсервис ЗЖБИ-3"
</v>
      </c>
      <c r="G116" s="91">
        <f>' 2024'!E123</f>
        <v>4633039010</v>
      </c>
      <c r="H116" s="48" t="e">
        <f t="shared" si="27"/>
        <v>#REF!</v>
      </c>
      <c r="I116" s="48" t="e">
        <f t="shared" si="28"/>
        <v>#REF!</v>
      </c>
      <c r="J116" s="48" t="e">
        <f t="shared" si="29"/>
        <v>#REF!</v>
      </c>
      <c r="K116" s="49" t="e">
        <f t="shared" si="30"/>
        <v>#REF!</v>
      </c>
      <c r="L116" s="86" t="e">
        <f>' 2024'!#REF!+' 2024'!#REF!</f>
        <v>#REF!</v>
      </c>
      <c r="M116" s="71" t="e">
        <f>' 2024'!#REF!+' 2024'!#REF!</f>
        <v>#REF!</v>
      </c>
      <c r="N116" s="67" t="e">
        <f t="shared" si="31"/>
        <v>#REF!</v>
      </c>
      <c r="O116" s="68" t="e">
        <f t="shared" si="32"/>
        <v>#REF!</v>
      </c>
      <c r="P116" s="69" t="e">
        <f t="shared" si="33"/>
        <v>#REF!</v>
      </c>
      <c r="Q116" s="70" t="e">
        <f t="shared" si="34"/>
        <v>#REF!</v>
      </c>
      <c r="R116" s="70" t="e">
        <f t="shared" si="35"/>
        <v>#REF!</v>
      </c>
      <c r="S116" s="71" t="e">
        <f>' 2024'!#REF!</f>
        <v>#REF!</v>
      </c>
      <c r="T116" s="71" t="e">
        <f>' 2024'!#REF!</f>
        <v>#REF!</v>
      </c>
      <c r="U116" s="72" t="e">
        <f>' 2024'!#REF!</f>
        <v>#REF!</v>
      </c>
      <c r="V116" s="72" t="e">
        <f>' 2024'!#REF!</f>
        <v>#REF!</v>
      </c>
      <c r="W116" s="73">
        <f>' 2024'!H123</f>
        <v>1571.285756878892</v>
      </c>
      <c r="X116" s="74">
        <f>' 2024'!N123</f>
        <v>1717.71</v>
      </c>
      <c r="Y116" s="217">
        <v>0</v>
      </c>
      <c r="Z116" s="217">
        <v>0</v>
      </c>
      <c r="AA116" s="74">
        <f>' 2024'!J123</f>
        <v>1571.285756878892</v>
      </c>
      <c r="AB116" s="74">
        <f>' 2024'!P123</f>
        <v>1717.71</v>
      </c>
      <c r="AC116" s="74">
        <f>' 2024'!K123</f>
        <v>1571.285756878892</v>
      </c>
      <c r="AD116" s="74">
        <f>' 2024'!Q123</f>
        <v>1717.71</v>
      </c>
    </row>
    <row r="117" spans="1:30" customFormat="1">
      <c r="A117">
        <f t="shared" si="36"/>
        <v>111</v>
      </c>
      <c r="B117" s="85" t="str">
        <f>' 2024'!B123</f>
        <v>г.Железногорск</v>
      </c>
      <c r="C117" s="92" t="str">
        <f t="shared" si="26"/>
        <v>Код района</v>
      </c>
      <c r="D117" s="66" t="str">
        <f>' 2024'!C124</f>
        <v>город Курск</v>
      </c>
      <c r="E117" s="92" t="str">
        <f t="shared" si="25"/>
        <v>Код сельсовета</v>
      </c>
      <c r="F117" s="89" t="str">
        <f>' 2024'!D124</f>
        <v>АО "Теплоэнергосбытовая компания" (АО "ТЭСК")</v>
      </c>
      <c r="G117" s="91">
        <f>' 2024'!E124</f>
        <v>4632121159</v>
      </c>
      <c r="H117" s="48" t="e">
        <f t="shared" si="27"/>
        <v>#REF!</v>
      </c>
      <c r="I117" s="48" t="e">
        <f t="shared" si="28"/>
        <v>#REF!</v>
      </c>
      <c r="J117" s="48" t="e">
        <f t="shared" si="29"/>
        <v>#REF!</v>
      </c>
      <c r="K117" s="49" t="e">
        <f t="shared" si="30"/>
        <v>#REF!</v>
      </c>
      <c r="L117" s="86" t="e">
        <f>' 2024'!#REF!+' 2024'!#REF!</f>
        <v>#REF!</v>
      </c>
      <c r="M117" s="71" t="e">
        <f>' 2024'!#REF!+' 2024'!#REF!</f>
        <v>#REF!</v>
      </c>
      <c r="N117" s="67" t="e">
        <f t="shared" si="31"/>
        <v>#REF!</v>
      </c>
      <c r="O117" s="68" t="e">
        <f t="shared" si="32"/>
        <v>#REF!</v>
      </c>
      <c r="P117" s="69" t="e">
        <f t="shared" si="33"/>
        <v>#REF!</v>
      </c>
      <c r="Q117" s="70" t="e">
        <f t="shared" si="34"/>
        <v>#REF!</v>
      </c>
      <c r="R117" s="70" t="e">
        <f t="shared" si="35"/>
        <v>#REF!</v>
      </c>
      <c r="S117" s="71" t="e">
        <f>' 2024'!#REF!</f>
        <v>#REF!</v>
      </c>
      <c r="T117" s="71" t="e">
        <f>' 2024'!#REF!</f>
        <v>#REF!</v>
      </c>
      <c r="U117" s="72" t="e">
        <f>' 2024'!#REF!</f>
        <v>#REF!</v>
      </c>
      <c r="V117" s="72" t="e">
        <f>' 2024'!#REF!</f>
        <v>#REF!</v>
      </c>
      <c r="W117" s="73">
        <f>' 2024'!H124</f>
        <v>2115.6799999999998</v>
      </c>
      <c r="X117" s="74">
        <f>' 2024'!N124</f>
        <v>2391.91</v>
      </c>
      <c r="Y117" s="217">
        <v>0</v>
      </c>
      <c r="Z117" s="217">
        <v>0</v>
      </c>
      <c r="AA117" s="74">
        <f>' 2024'!J124</f>
        <v>2115.6799999999998</v>
      </c>
      <c r="AB117" s="74">
        <f>' 2024'!P124</f>
        <v>2391.91</v>
      </c>
      <c r="AC117" s="74">
        <f>' 2024'!K124</f>
        <v>0</v>
      </c>
      <c r="AD117" s="74">
        <f>' 2024'!Q124</f>
        <v>0</v>
      </c>
    </row>
    <row r="118" spans="1:30" customFormat="1">
      <c r="A118">
        <f t="shared" si="36"/>
        <v>112</v>
      </c>
      <c r="B118" s="85" t="str">
        <f>' 2024'!B124</f>
        <v>г.Курск</v>
      </c>
      <c r="C118" s="92" t="str">
        <f t="shared" si="26"/>
        <v>Код района</v>
      </c>
      <c r="D118" s="66" t="str">
        <f>' 2024'!C125</f>
        <v>город Курск</v>
      </c>
      <c r="E118" s="92" t="str">
        <f t="shared" si="25"/>
        <v>Код сельсовета</v>
      </c>
      <c r="F118" s="89" t="str">
        <f>' 2024'!D125</f>
        <v>ООО "СБМ"</v>
      </c>
      <c r="G118" s="91">
        <f>' 2024'!E125</f>
        <v>4632113278</v>
      </c>
      <c r="H118" s="48" t="e">
        <f t="shared" si="27"/>
        <v>#REF!</v>
      </c>
      <c r="I118" s="48" t="e">
        <f t="shared" si="28"/>
        <v>#REF!</v>
      </c>
      <c r="J118" s="48" t="e">
        <f t="shared" si="29"/>
        <v>#REF!</v>
      </c>
      <c r="K118" s="49" t="e">
        <f t="shared" si="30"/>
        <v>#REF!</v>
      </c>
      <c r="L118" s="86" t="e">
        <f>' 2024'!#REF!+' 2024'!#REF!</f>
        <v>#REF!</v>
      </c>
      <c r="M118" s="71" t="e">
        <f>' 2024'!#REF!+' 2024'!#REF!</f>
        <v>#REF!</v>
      </c>
      <c r="N118" s="67" t="e">
        <f t="shared" si="31"/>
        <v>#REF!</v>
      </c>
      <c r="O118" s="68" t="e">
        <f t="shared" si="32"/>
        <v>#REF!</v>
      </c>
      <c r="P118" s="69" t="e">
        <f t="shared" si="33"/>
        <v>#REF!</v>
      </c>
      <c r="Q118" s="70" t="e">
        <f t="shared" si="34"/>
        <v>#REF!</v>
      </c>
      <c r="R118" s="70" t="e">
        <f t="shared" si="35"/>
        <v>#REF!</v>
      </c>
      <c r="S118" s="71" t="e">
        <f>' 2024'!#REF!</f>
        <v>#REF!</v>
      </c>
      <c r="T118" s="71" t="e">
        <f>' 2024'!#REF!</f>
        <v>#REF!</v>
      </c>
      <c r="U118" s="72" t="e">
        <f>' 2024'!#REF!</f>
        <v>#REF!</v>
      </c>
      <c r="V118" s="72" t="e">
        <f>' 2024'!#REF!</f>
        <v>#REF!</v>
      </c>
      <c r="W118" s="73">
        <f>' 2024'!H125</f>
        <v>1521.43</v>
      </c>
      <c r="X118" s="74">
        <f>' 2024'!N125</f>
        <v>1740.52</v>
      </c>
      <c r="Y118" s="217">
        <v>0</v>
      </c>
      <c r="Z118" s="217">
        <v>0</v>
      </c>
      <c r="AA118" s="74">
        <f>' 2024'!J125</f>
        <v>1521.43</v>
      </c>
      <c r="AB118" s="74">
        <f>' 2024'!P125</f>
        <v>1740.52</v>
      </c>
      <c r="AC118" s="74">
        <f>' 2024'!K125</f>
        <v>0</v>
      </c>
      <c r="AD118" s="74">
        <f>' 2024'!Q125</f>
        <v>0</v>
      </c>
    </row>
    <row r="119" spans="1:30" customFormat="1">
      <c r="A119">
        <f t="shared" si="36"/>
        <v>113</v>
      </c>
      <c r="B119" s="85" t="str">
        <f>' 2024'!B125</f>
        <v>г.Курск</v>
      </c>
      <c r="C119" s="92" t="str">
        <f t="shared" si="26"/>
        <v>Код района</v>
      </c>
      <c r="D119" s="66" t="str">
        <f>' 2024'!C126</f>
        <v>город Курск</v>
      </c>
      <c r="E119" s="92" t="str">
        <f t="shared" si="25"/>
        <v>Код сельсовета</v>
      </c>
      <c r="F119" s="89" t="str">
        <f>' 2024'!D126</f>
        <v>Курский завод "Маяк" - филиал АО "Нижегородское научно-производственное объединение имени М.В.Фрунзе"</v>
      </c>
      <c r="G119" s="91">
        <f>' 2024'!E126</f>
        <v>5261077695</v>
      </c>
      <c r="H119" s="48" t="e">
        <f t="shared" si="27"/>
        <v>#REF!</v>
      </c>
      <c r="I119" s="48" t="e">
        <f t="shared" si="28"/>
        <v>#REF!</v>
      </c>
      <c r="J119" s="48" t="e">
        <f t="shared" si="29"/>
        <v>#REF!</v>
      </c>
      <c r="K119" s="49" t="e">
        <f t="shared" si="30"/>
        <v>#REF!</v>
      </c>
      <c r="L119" s="86" t="e">
        <f>' 2024'!#REF!+' 2024'!#REF!</f>
        <v>#REF!</v>
      </c>
      <c r="M119" s="71" t="e">
        <f>' 2024'!#REF!+' 2024'!#REF!</f>
        <v>#REF!</v>
      </c>
      <c r="N119" s="67" t="e">
        <f t="shared" si="31"/>
        <v>#REF!</v>
      </c>
      <c r="O119" s="68" t="e">
        <f t="shared" si="32"/>
        <v>#REF!</v>
      </c>
      <c r="P119" s="69" t="e">
        <f t="shared" si="33"/>
        <v>#REF!</v>
      </c>
      <c r="Q119" s="70" t="e">
        <f t="shared" si="34"/>
        <v>#REF!</v>
      </c>
      <c r="R119" s="70" t="e">
        <f t="shared" si="35"/>
        <v>#REF!</v>
      </c>
      <c r="S119" s="71" t="e">
        <f>' 2024'!#REF!</f>
        <v>#REF!</v>
      </c>
      <c r="T119" s="71" t="e">
        <f>' 2024'!#REF!</f>
        <v>#REF!</v>
      </c>
      <c r="U119" s="72" t="e">
        <f>' 2024'!#REF!</f>
        <v>#REF!</v>
      </c>
      <c r="V119" s="72" t="e">
        <f>' 2024'!#REF!</f>
        <v>#REF!</v>
      </c>
      <c r="W119" s="73">
        <f>' 2024'!H126</f>
        <v>2617.2537028118982</v>
      </c>
      <c r="X119" s="74">
        <f>' 2024'!N126</f>
        <v>3009.84</v>
      </c>
      <c r="Y119" s="217">
        <v>0</v>
      </c>
      <c r="Z119" s="217">
        <v>0</v>
      </c>
      <c r="AA119" s="74">
        <f>' 2024'!J126</f>
        <v>0</v>
      </c>
      <c r="AB119" s="74">
        <f>' 2024'!P126</f>
        <v>0</v>
      </c>
      <c r="AC119" s="74">
        <f>' 2024'!K126</f>
        <v>0</v>
      </c>
      <c r="AD119" s="74">
        <f>' 2024'!Q126</f>
        <v>0</v>
      </c>
    </row>
    <row r="120" spans="1:30" customFormat="1">
      <c r="A120">
        <f t="shared" si="36"/>
        <v>114</v>
      </c>
      <c r="B120" s="85" t="str">
        <f>' 2024'!B126</f>
        <v>г.Курск</v>
      </c>
      <c r="C120" s="92" t="str">
        <f t="shared" si="26"/>
        <v>Код района</v>
      </c>
      <c r="D120" s="66" t="str">
        <f>' 2024'!C127</f>
        <v>город Курск</v>
      </c>
      <c r="E120" s="92" t="str">
        <f t="shared" si="25"/>
        <v>Код сельсовета</v>
      </c>
      <c r="F120" s="89" t="str">
        <f>' 2024'!D127</f>
        <v xml:space="preserve">МУП "Гортеплосеть"
г.Курск </v>
      </c>
      <c r="G120" s="91">
        <f>' 2024'!E127</f>
        <v>4632000330</v>
      </c>
      <c r="H120" s="48" t="e">
        <f t="shared" si="27"/>
        <v>#REF!</v>
      </c>
      <c r="I120" s="48" t="e">
        <f t="shared" si="28"/>
        <v>#REF!</v>
      </c>
      <c r="J120" s="48" t="e">
        <f t="shared" si="29"/>
        <v>#REF!</v>
      </c>
      <c r="K120" s="49" t="e">
        <f t="shared" si="30"/>
        <v>#REF!</v>
      </c>
      <c r="L120" s="86" t="e">
        <f>' 2024'!#REF!+' 2024'!#REF!</f>
        <v>#REF!</v>
      </c>
      <c r="M120" s="71" t="e">
        <f>' 2024'!#REF!+' 2024'!#REF!</f>
        <v>#REF!</v>
      </c>
      <c r="N120" s="67" t="e">
        <f t="shared" si="31"/>
        <v>#REF!</v>
      </c>
      <c r="O120" s="68" t="e">
        <f t="shared" si="32"/>
        <v>#REF!</v>
      </c>
      <c r="P120" s="69" t="e">
        <f t="shared" si="33"/>
        <v>#REF!</v>
      </c>
      <c r="Q120" s="70" t="e">
        <f t="shared" si="34"/>
        <v>#REF!</v>
      </c>
      <c r="R120" s="70" t="e">
        <f t="shared" si="35"/>
        <v>#REF!</v>
      </c>
      <c r="S120" s="71" t="e">
        <f>' 2024'!#REF!</f>
        <v>#REF!</v>
      </c>
      <c r="T120" s="71" t="e">
        <f>' 2024'!#REF!</f>
        <v>#REF!</v>
      </c>
      <c r="U120" s="72" t="e">
        <f>' 2024'!#REF!</f>
        <v>#REF!</v>
      </c>
      <c r="V120" s="72" t="e">
        <f>' 2024'!#REF!</f>
        <v>#REF!</v>
      </c>
      <c r="W120" s="73">
        <f>' 2024'!H127</f>
        <v>3400.3919999999998</v>
      </c>
      <c r="X120" s="74">
        <f>' 2024'!N127</f>
        <v>4036.7159999999994</v>
      </c>
      <c r="Y120" s="217">
        <v>0</v>
      </c>
      <c r="Z120" s="217">
        <v>0</v>
      </c>
      <c r="AA120" s="74">
        <f>' 2024'!J127</f>
        <v>2316.2579351999998</v>
      </c>
      <c r="AB120" s="74">
        <f>' 2024'!P127</f>
        <v>2536.3000000000002</v>
      </c>
      <c r="AC120" s="74">
        <f>' 2024'!K127</f>
        <v>0</v>
      </c>
      <c r="AD120" s="74">
        <f>' 2024'!Q127</f>
        <v>0</v>
      </c>
    </row>
    <row r="121" spans="1:30" customFormat="1">
      <c r="A121">
        <f t="shared" si="36"/>
        <v>115</v>
      </c>
      <c r="B121" s="85" t="str">
        <f>' 2024'!B127</f>
        <v>г.Курск</v>
      </c>
      <c r="C121" s="92" t="str">
        <f t="shared" si="26"/>
        <v>Код района</v>
      </c>
      <c r="D121" s="66" t="str">
        <f>' 2024'!C128</f>
        <v>город Курск</v>
      </c>
      <c r="E121" s="92" t="str">
        <f t="shared" si="25"/>
        <v>Код сельсовета</v>
      </c>
      <c r="F121" s="89" t="str">
        <f>' 2024'!D128</f>
        <v xml:space="preserve">ФГБУ "ЦЖКУ" Минобороны России </v>
      </c>
      <c r="G121" s="91">
        <f>' 2024'!E128</f>
        <v>7729314745</v>
      </c>
      <c r="H121" s="48" t="e">
        <f t="shared" si="27"/>
        <v>#REF!</v>
      </c>
      <c r="I121" s="48" t="e">
        <f t="shared" si="28"/>
        <v>#REF!</v>
      </c>
      <c r="J121" s="48" t="e">
        <f t="shared" si="29"/>
        <v>#REF!</v>
      </c>
      <c r="K121" s="49" t="e">
        <f t="shared" si="30"/>
        <v>#REF!</v>
      </c>
      <c r="L121" s="86" t="e">
        <f>' 2024'!#REF!+' 2024'!#REF!</f>
        <v>#REF!</v>
      </c>
      <c r="M121" s="71" t="e">
        <f>' 2024'!#REF!+' 2024'!#REF!</f>
        <v>#REF!</v>
      </c>
      <c r="N121" s="67" t="e">
        <f t="shared" si="31"/>
        <v>#REF!</v>
      </c>
      <c r="O121" s="68" t="e">
        <f t="shared" si="32"/>
        <v>#REF!</v>
      </c>
      <c r="P121" s="69" t="e">
        <f t="shared" si="33"/>
        <v>#REF!</v>
      </c>
      <c r="Q121" s="70" t="e">
        <f t="shared" si="34"/>
        <v>#REF!</v>
      </c>
      <c r="R121" s="70" t="e">
        <f t="shared" si="35"/>
        <v>#REF!</v>
      </c>
      <c r="S121" s="71" t="e">
        <f>' 2024'!#REF!</f>
        <v>#REF!</v>
      </c>
      <c r="T121" s="71" t="e">
        <f>' 2024'!#REF!</f>
        <v>#REF!</v>
      </c>
      <c r="U121" s="72" t="e">
        <f>' 2024'!#REF!</f>
        <v>#REF!</v>
      </c>
      <c r="V121" s="72" t="e">
        <f>' 2024'!#REF!</f>
        <v>#REF!</v>
      </c>
      <c r="W121" s="73">
        <f>' 2024'!H128</f>
        <v>4187.424</v>
      </c>
      <c r="X121" s="74">
        <f>' 2024'!N128</f>
        <v>4396.8</v>
      </c>
      <c r="Y121" s="217">
        <v>0</v>
      </c>
      <c r="Z121" s="217">
        <v>0</v>
      </c>
      <c r="AA121" s="74">
        <f>' 2024'!J128</f>
        <v>0</v>
      </c>
      <c r="AB121" s="74">
        <f>' 2024'!P128</f>
        <v>0</v>
      </c>
      <c r="AC121" s="74">
        <f>' 2024'!K128</f>
        <v>0</v>
      </c>
      <c r="AD121" s="74">
        <f>' 2024'!Q128</f>
        <v>0</v>
      </c>
    </row>
    <row r="122" spans="1:30" customFormat="1">
      <c r="A122">
        <f t="shared" si="36"/>
        <v>116</v>
      </c>
      <c r="B122" s="85" t="str">
        <f>' 2024'!B128</f>
        <v>г.Курск</v>
      </c>
      <c r="C122" s="92" t="str">
        <f t="shared" si="26"/>
        <v>Код района</v>
      </c>
      <c r="D122" s="66" t="str">
        <f>' 2024'!C129</f>
        <v>город Курск</v>
      </c>
      <c r="E122" s="92" t="str">
        <f t="shared" si="25"/>
        <v>Код сельсовета</v>
      </c>
      <c r="F122" s="89" t="str">
        <f>' 2024'!D129</f>
        <v>ОАО "Курскрезинотехника"</v>
      </c>
      <c r="G122" s="91">
        <f>' 2024'!E129</f>
        <v>4632001454</v>
      </c>
      <c r="H122" s="48" t="e">
        <f t="shared" si="27"/>
        <v>#REF!</v>
      </c>
      <c r="I122" s="48" t="e">
        <f t="shared" si="28"/>
        <v>#REF!</v>
      </c>
      <c r="J122" s="48" t="e">
        <f t="shared" si="29"/>
        <v>#REF!</v>
      </c>
      <c r="K122" s="49" t="e">
        <f t="shared" si="30"/>
        <v>#REF!</v>
      </c>
      <c r="L122" s="86" t="e">
        <f>' 2024'!#REF!+' 2024'!#REF!</f>
        <v>#REF!</v>
      </c>
      <c r="M122" s="71" t="e">
        <f>' 2024'!#REF!+' 2024'!#REF!</f>
        <v>#REF!</v>
      </c>
      <c r="N122" s="67" t="e">
        <f t="shared" si="31"/>
        <v>#REF!</v>
      </c>
      <c r="O122" s="68" t="e">
        <f t="shared" si="32"/>
        <v>#REF!</v>
      </c>
      <c r="P122" s="69" t="e">
        <f t="shared" si="33"/>
        <v>#REF!</v>
      </c>
      <c r="Q122" s="70" t="e">
        <f t="shared" si="34"/>
        <v>#REF!</v>
      </c>
      <c r="R122" s="70" t="e">
        <f t="shared" si="35"/>
        <v>#REF!</v>
      </c>
      <c r="S122" s="71" t="e">
        <f>' 2024'!#REF!</f>
        <v>#REF!</v>
      </c>
      <c r="T122" s="71" t="e">
        <f>' 2024'!#REF!</f>
        <v>#REF!</v>
      </c>
      <c r="U122" s="72" t="e">
        <f>' 2024'!#REF!</f>
        <v>#REF!</v>
      </c>
      <c r="V122" s="72" t="e">
        <f>' 2024'!#REF!</f>
        <v>#REF!</v>
      </c>
      <c r="W122" s="73">
        <f>' 2024'!H129</f>
        <v>3966.6</v>
      </c>
      <c r="X122" s="74">
        <f>' 2024'!N129</f>
        <v>4459.1000000000004</v>
      </c>
      <c r="Y122" s="217">
        <v>0</v>
      </c>
      <c r="Z122" s="217">
        <v>0</v>
      </c>
      <c r="AA122" s="74">
        <f>' 2024'!J129</f>
        <v>0</v>
      </c>
      <c r="AB122" s="74">
        <f>' 2024'!P129</f>
        <v>0</v>
      </c>
      <c r="AC122" s="74">
        <f>' 2024'!K129</f>
        <v>0</v>
      </c>
      <c r="AD122" s="74">
        <f>' 2024'!Q129</f>
        <v>0</v>
      </c>
    </row>
    <row r="123" spans="1:30" customFormat="1">
      <c r="A123">
        <f t="shared" si="36"/>
        <v>117</v>
      </c>
      <c r="B123" s="85" t="str">
        <f>' 2024'!B129</f>
        <v>г.Курск</v>
      </c>
      <c r="C123" s="92" t="str">
        <f t="shared" si="26"/>
        <v>Код района</v>
      </c>
      <c r="D123" s="66" t="str">
        <f>' 2024'!C130</f>
        <v>город Курск</v>
      </c>
      <c r="E123" s="92" t="str">
        <f t="shared" si="25"/>
        <v>Код сельсовета</v>
      </c>
      <c r="F123" s="89" t="str">
        <f>' 2024'!D130</f>
        <v xml:space="preserve">ООО "Курские внешние коммунальные сети" </v>
      </c>
      <c r="G123" s="91">
        <f>' 2024'!E130</f>
        <v>4632033706</v>
      </c>
      <c r="H123" s="48" t="e">
        <f t="shared" si="27"/>
        <v>#REF!</v>
      </c>
      <c r="I123" s="48" t="e">
        <f t="shared" si="28"/>
        <v>#REF!</v>
      </c>
      <c r="J123" s="48" t="e">
        <f t="shared" si="29"/>
        <v>#REF!</v>
      </c>
      <c r="K123" s="49" t="e">
        <f t="shared" si="30"/>
        <v>#REF!</v>
      </c>
      <c r="L123" s="86" t="e">
        <f>' 2024'!#REF!+' 2024'!#REF!</f>
        <v>#REF!</v>
      </c>
      <c r="M123" s="71" t="e">
        <f>' 2024'!#REF!+' 2024'!#REF!</f>
        <v>#REF!</v>
      </c>
      <c r="N123" s="67" t="e">
        <f t="shared" si="31"/>
        <v>#REF!</v>
      </c>
      <c r="O123" s="68" t="e">
        <f t="shared" si="32"/>
        <v>#REF!</v>
      </c>
      <c r="P123" s="69" t="e">
        <f t="shared" si="33"/>
        <v>#REF!</v>
      </c>
      <c r="Q123" s="70" t="e">
        <f t="shared" si="34"/>
        <v>#REF!</v>
      </c>
      <c r="R123" s="70" t="e">
        <f t="shared" si="35"/>
        <v>#REF!</v>
      </c>
      <c r="S123" s="71" t="e">
        <f>' 2024'!#REF!</f>
        <v>#REF!</v>
      </c>
      <c r="T123" s="71" t="e">
        <f>' 2024'!#REF!</f>
        <v>#REF!</v>
      </c>
      <c r="U123" s="72" t="e">
        <f>' 2024'!#REF!</f>
        <v>#REF!</v>
      </c>
      <c r="V123" s="72" t="e">
        <f>' 2024'!#REF!</f>
        <v>#REF!</v>
      </c>
      <c r="W123" s="73">
        <f>' 2024'!H130</f>
        <v>200.21</v>
      </c>
      <c r="X123" s="74">
        <f>' 2024'!N130</f>
        <v>222.15599999999998</v>
      </c>
      <c r="Y123" s="217">
        <v>0</v>
      </c>
      <c r="Z123" s="217">
        <v>0</v>
      </c>
      <c r="AA123" s="74">
        <f>' 2024'!J130</f>
        <v>0</v>
      </c>
      <c r="AB123" s="74">
        <f>' 2024'!P130</f>
        <v>0</v>
      </c>
      <c r="AC123" s="74">
        <f>' 2024'!K130</f>
        <v>0</v>
      </c>
      <c r="AD123" s="74">
        <f>' 2024'!Q130</f>
        <v>0</v>
      </c>
    </row>
    <row r="124" spans="1:30" customFormat="1">
      <c r="A124">
        <f t="shared" si="36"/>
        <v>118</v>
      </c>
      <c r="B124" s="85" t="str">
        <f>' 2024'!B130</f>
        <v>г.Курск</v>
      </c>
      <c r="C124" s="92" t="str">
        <f t="shared" si="26"/>
        <v>Код района</v>
      </c>
      <c r="D124" s="66" t="str">
        <f>' 2024'!C131</f>
        <v>город Курск</v>
      </c>
      <c r="E124" s="92" t="str">
        <f t="shared" si="25"/>
        <v>Код сельсовета</v>
      </c>
      <c r="F124" s="89" t="str">
        <f>' 2024'!D131</f>
        <v>ООО "Энерго-Сервис"</v>
      </c>
      <c r="G124" s="91">
        <f>' 2024'!E131</f>
        <v>4632032678</v>
      </c>
      <c r="H124" s="48" t="e">
        <f t="shared" si="27"/>
        <v>#REF!</v>
      </c>
      <c r="I124" s="48" t="e">
        <f t="shared" si="28"/>
        <v>#REF!</v>
      </c>
      <c r="J124" s="48" t="e">
        <f t="shared" si="29"/>
        <v>#REF!</v>
      </c>
      <c r="K124" s="49" t="e">
        <f t="shared" si="30"/>
        <v>#REF!</v>
      </c>
      <c r="L124" s="86" t="e">
        <f>' 2024'!#REF!+' 2024'!#REF!</f>
        <v>#REF!</v>
      </c>
      <c r="M124" s="71" t="e">
        <f>' 2024'!#REF!+' 2024'!#REF!</f>
        <v>#REF!</v>
      </c>
      <c r="N124" s="67" t="e">
        <f t="shared" si="31"/>
        <v>#REF!</v>
      </c>
      <c r="O124" s="68" t="e">
        <f t="shared" si="32"/>
        <v>#REF!</v>
      </c>
      <c r="P124" s="69" t="e">
        <f t="shared" si="33"/>
        <v>#REF!</v>
      </c>
      <c r="Q124" s="70" t="e">
        <f t="shared" si="34"/>
        <v>#REF!</v>
      </c>
      <c r="R124" s="70" t="e">
        <f t="shared" si="35"/>
        <v>#REF!</v>
      </c>
      <c r="S124" s="71" t="e">
        <f>' 2024'!#REF!</f>
        <v>#REF!</v>
      </c>
      <c r="T124" s="71" t="e">
        <f>' 2024'!#REF!</f>
        <v>#REF!</v>
      </c>
      <c r="U124" s="72" t="e">
        <f>' 2024'!#REF!</f>
        <v>#REF!</v>
      </c>
      <c r="V124" s="72" t="e">
        <f>' 2024'!#REF!</f>
        <v>#REF!</v>
      </c>
      <c r="W124" s="73">
        <f>' 2024'!H131</f>
        <v>2512.6109639158371</v>
      </c>
      <c r="X124" s="74">
        <f>' 2024'!N131</f>
        <v>2662.15</v>
      </c>
      <c r="Y124" s="217">
        <v>0</v>
      </c>
      <c r="Z124" s="217">
        <v>0</v>
      </c>
      <c r="AA124" s="74">
        <f>' 2024'!J131</f>
        <v>0</v>
      </c>
      <c r="AB124" s="74">
        <f>' 2024'!P131</f>
        <v>0</v>
      </c>
      <c r="AC124" s="74">
        <f>' 2024'!K131</f>
        <v>0</v>
      </c>
      <c r="AD124" s="74">
        <f>' 2024'!Q131</f>
        <v>0</v>
      </c>
    </row>
    <row r="125" spans="1:30" customFormat="1">
      <c r="A125">
        <f t="shared" si="36"/>
        <v>119</v>
      </c>
      <c r="B125" s="85" t="str">
        <f>' 2024'!B131</f>
        <v>г.Курск</v>
      </c>
      <c r="C125" s="92" t="str">
        <f t="shared" si="26"/>
        <v>Код района</v>
      </c>
      <c r="D125" s="66" t="str">
        <f>' 2024'!C132</f>
        <v>город Курск</v>
      </c>
      <c r="E125" s="92" t="str">
        <f t="shared" si="25"/>
        <v>Код сельсовета</v>
      </c>
      <c r="F125" s="89" t="str">
        <f>' 2024'!D132</f>
        <v xml:space="preserve">АО "Электроагрегат" </v>
      </c>
      <c r="G125" s="91" t="str">
        <f>' 2024'!E132</f>
        <v>4631005223</v>
      </c>
      <c r="H125" s="48" t="e">
        <f t="shared" si="27"/>
        <v>#REF!</v>
      </c>
      <c r="I125" s="48" t="e">
        <f t="shared" si="28"/>
        <v>#REF!</v>
      </c>
      <c r="J125" s="48" t="e">
        <f t="shared" si="29"/>
        <v>#REF!</v>
      </c>
      <c r="K125" s="49" t="e">
        <f t="shared" si="30"/>
        <v>#REF!</v>
      </c>
      <c r="L125" s="86" t="e">
        <f>' 2024'!#REF!+' 2024'!#REF!</f>
        <v>#REF!</v>
      </c>
      <c r="M125" s="71" t="e">
        <f>' 2024'!#REF!+' 2024'!#REF!</f>
        <v>#REF!</v>
      </c>
      <c r="N125" s="67" t="e">
        <f t="shared" si="31"/>
        <v>#REF!</v>
      </c>
      <c r="O125" s="68" t="e">
        <f t="shared" si="32"/>
        <v>#REF!</v>
      </c>
      <c r="P125" s="69" t="e">
        <f t="shared" si="33"/>
        <v>#REF!</v>
      </c>
      <c r="Q125" s="70" t="e">
        <f t="shared" si="34"/>
        <v>#REF!</v>
      </c>
      <c r="R125" s="70" t="e">
        <f t="shared" si="35"/>
        <v>#REF!</v>
      </c>
      <c r="S125" s="71" t="e">
        <f>' 2024'!#REF!</f>
        <v>#REF!</v>
      </c>
      <c r="T125" s="71" t="e">
        <f>' 2024'!#REF!</f>
        <v>#REF!</v>
      </c>
      <c r="U125" s="72" t="e">
        <f>' 2024'!#REF!</f>
        <v>#REF!</v>
      </c>
      <c r="V125" s="72" t="e">
        <f>' 2024'!#REF!</f>
        <v>#REF!</v>
      </c>
      <c r="W125" s="73">
        <f>' 2024'!H132</f>
        <v>2586.6799999999998</v>
      </c>
      <c r="X125" s="74">
        <f>' 2024'!N132</f>
        <v>3008.94</v>
      </c>
      <c r="Y125" s="217">
        <v>0</v>
      </c>
      <c r="Z125" s="217">
        <v>0</v>
      </c>
      <c r="AA125" s="74">
        <f>' 2024'!J132</f>
        <v>0</v>
      </c>
      <c r="AB125" s="74">
        <f>' 2024'!P132</f>
        <v>0</v>
      </c>
      <c r="AC125" s="74">
        <f>' 2024'!K132</f>
        <v>0</v>
      </c>
      <c r="AD125" s="74">
        <f>' 2024'!Q132</f>
        <v>0</v>
      </c>
    </row>
    <row r="126" spans="1:30" customFormat="1">
      <c r="A126">
        <f t="shared" si="36"/>
        <v>120</v>
      </c>
      <c r="B126" s="85" t="str">
        <f>' 2024'!B132</f>
        <v>г.Курск</v>
      </c>
      <c r="C126" s="92" t="str">
        <f t="shared" si="26"/>
        <v>Код района</v>
      </c>
      <c r="D126" s="66" t="str">
        <f>' 2024'!C133</f>
        <v>город Курск</v>
      </c>
      <c r="E126" s="92" t="str">
        <f t="shared" si="25"/>
        <v>Код сельсовета</v>
      </c>
      <c r="F126" s="89" t="str">
        <f>' 2024'!D133</f>
        <v>ООО "Теплогенерирующая компания"</v>
      </c>
      <c r="G126" s="91">
        <f>' 2024'!E133</f>
        <v>4632068226</v>
      </c>
      <c r="H126" s="48" t="e">
        <f t="shared" si="27"/>
        <v>#REF!</v>
      </c>
      <c r="I126" s="48" t="e">
        <f t="shared" si="28"/>
        <v>#REF!</v>
      </c>
      <c r="J126" s="48" t="e">
        <f t="shared" si="29"/>
        <v>#REF!</v>
      </c>
      <c r="K126" s="49" t="e">
        <f t="shared" si="30"/>
        <v>#REF!</v>
      </c>
      <c r="L126" s="86" t="e">
        <f>' 2024'!#REF!+' 2024'!#REF!</f>
        <v>#REF!</v>
      </c>
      <c r="M126" s="71" t="e">
        <f>' 2024'!#REF!+' 2024'!#REF!</f>
        <v>#REF!</v>
      </c>
      <c r="N126" s="67" t="e">
        <f t="shared" si="31"/>
        <v>#REF!</v>
      </c>
      <c r="O126" s="68" t="e">
        <f t="shared" si="32"/>
        <v>#REF!</v>
      </c>
      <c r="P126" s="69" t="e">
        <f t="shared" si="33"/>
        <v>#REF!</v>
      </c>
      <c r="Q126" s="70" t="e">
        <f t="shared" si="34"/>
        <v>#REF!</v>
      </c>
      <c r="R126" s="70" t="e">
        <f t="shared" si="35"/>
        <v>#REF!</v>
      </c>
      <c r="S126" s="71" t="e">
        <f>' 2024'!#REF!</f>
        <v>#REF!</v>
      </c>
      <c r="T126" s="71" t="e">
        <f>' 2024'!#REF!</f>
        <v>#REF!</v>
      </c>
      <c r="U126" s="72" t="e">
        <f>' 2024'!#REF!</f>
        <v>#REF!</v>
      </c>
      <c r="V126" s="72" t="e">
        <f>' 2024'!#REF!</f>
        <v>#REF!</v>
      </c>
      <c r="W126" s="73">
        <f>' 2024'!H133</f>
        <v>1686.48</v>
      </c>
      <c r="X126" s="74">
        <f>' 2024'!N133</f>
        <v>1828.75</v>
      </c>
      <c r="Y126" s="217">
        <v>0</v>
      </c>
      <c r="Z126" s="217">
        <v>0</v>
      </c>
      <c r="AA126" s="74">
        <f>' 2024'!J133</f>
        <v>1686.48</v>
      </c>
      <c r="AB126" s="74">
        <f>' 2024'!P133</f>
        <v>1828.75</v>
      </c>
      <c r="AC126" s="74">
        <f>' 2024'!K133</f>
        <v>1686.48</v>
      </c>
      <c r="AD126" s="74">
        <f>' 2024'!Q133</f>
        <v>1828.75</v>
      </c>
    </row>
    <row r="127" spans="1:30" customFormat="1">
      <c r="A127">
        <f t="shared" si="36"/>
        <v>121</v>
      </c>
      <c r="B127" s="85" t="str">
        <f>' 2024'!B133</f>
        <v>г.Курск</v>
      </c>
      <c r="C127" s="92" t="str">
        <f t="shared" si="26"/>
        <v>Код района</v>
      </c>
      <c r="D127" s="66" t="str">
        <f>' 2024'!C134</f>
        <v>город Курск</v>
      </c>
      <c r="E127" s="92" t="str">
        <f t="shared" si="25"/>
        <v>Код сельсовета</v>
      </c>
      <c r="F127" s="89" t="str">
        <f>' 2024'!D134</f>
        <v xml:space="preserve">ГУПКО "Курскоблжилкомхоз" </v>
      </c>
      <c r="G127" s="91">
        <f>' 2024'!E134</f>
        <v>4632024035</v>
      </c>
      <c r="H127" s="48" t="e">
        <f t="shared" si="27"/>
        <v>#REF!</v>
      </c>
      <c r="I127" s="48" t="e">
        <f t="shared" si="28"/>
        <v>#REF!</v>
      </c>
      <c r="J127" s="48" t="e">
        <f t="shared" si="29"/>
        <v>#REF!</v>
      </c>
      <c r="K127" s="49" t="e">
        <f t="shared" si="30"/>
        <v>#REF!</v>
      </c>
      <c r="L127" s="86" t="e">
        <f>' 2024'!#REF!+' 2024'!#REF!</f>
        <v>#REF!</v>
      </c>
      <c r="M127" s="71" t="e">
        <f>' 2024'!#REF!+' 2024'!#REF!</f>
        <v>#REF!</v>
      </c>
      <c r="N127" s="67" t="e">
        <f t="shared" si="31"/>
        <v>#REF!</v>
      </c>
      <c r="O127" s="68" t="e">
        <f t="shared" si="32"/>
        <v>#REF!</v>
      </c>
      <c r="P127" s="69" t="e">
        <f t="shared" si="33"/>
        <v>#REF!</v>
      </c>
      <c r="Q127" s="70" t="e">
        <f t="shared" si="34"/>
        <v>#REF!</v>
      </c>
      <c r="R127" s="70" t="e">
        <f t="shared" si="35"/>
        <v>#REF!</v>
      </c>
      <c r="S127" s="71" t="e">
        <f>' 2024'!#REF!</f>
        <v>#REF!</v>
      </c>
      <c r="T127" s="71" t="e">
        <f>' 2024'!#REF!</f>
        <v>#REF!</v>
      </c>
      <c r="U127" s="72" t="e">
        <f>' 2024'!#REF!</f>
        <v>#REF!</v>
      </c>
      <c r="V127" s="72" t="e">
        <f>' 2024'!#REF!</f>
        <v>#REF!</v>
      </c>
      <c r="W127" s="73">
        <f>' 2024'!H134</f>
        <v>3314.9639999999995</v>
      </c>
      <c r="X127" s="74">
        <f>' 2024'!N134</f>
        <v>3758.5679999999998</v>
      </c>
      <c r="Y127" s="217">
        <v>0</v>
      </c>
      <c r="Z127" s="217">
        <v>0</v>
      </c>
      <c r="AA127" s="74">
        <f>' 2024'!J134</f>
        <v>2950.21</v>
      </c>
      <c r="AB127" s="74">
        <f>' 2024'!P134</f>
        <v>2979.71</v>
      </c>
      <c r="AC127" s="74">
        <f>' 2024'!K134</f>
        <v>2950.21</v>
      </c>
      <c r="AD127" s="74">
        <f>' 2024'!Q134</f>
        <v>2979.71</v>
      </c>
    </row>
    <row r="128" spans="1:30" customFormat="1">
      <c r="A128">
        <f t="shared" si="36"/>
        <v>122</v>
      </c>
      <c r="B128" s="85" t="str">
        <f>' 2024'!B134</f>
        <v>г.Курск</v>
      </c>
      <c r="C128" s="92" t="str">
        <f t="shared" si="26"/>
        <v>Код района</v>
      </c>
      <c r="D128" s="66" t="str">
        <f>' 2024'!C135</f>
        <v>город Курск</v>
      </c>
      <c r="E128" s="92" t="str">
        <f t="shared" si="25"/>
        <v>Код сельсовета</v>
      </c>
      <c r="F128" s="89" t="str">
        <f>' 2024'!D135</f>
        <v xml:space="preserve">АО "Квадра" (филиал "Курская генерация")  </v>
      </c>
      <c r="G128" s="91">
        <f>' 2024'!E135</f>
        <v>6829012680</v>
      </c>
      <c r="H128" s="48" t="e">
        <f t="shared" si="27"/>
        <v>#REF!</v>
      </c>
      <c r="I128" s="48" t="e">
        <f t="shared" si="28"/>
        <v>#REF!</v>
      </c>
      <c r="J128" s="48" t="e">
        <f t="shared" si="29"/>
        <v>#REF!</v>
      </c>
      <c r="K128" s="49" t="e">
        <f t="shared" si="30"/>
        <v>#REF!</v>
      </c>
      <c r="L128" s="86" t="e">
        <f>' 2024'!#REF!+' 2024'!#REF!</f>
        <v>#REF!</v>
      </c>
      <c r="M128" s="71" t="e">
        <f>' 2024'!#REF!+' 2024'!#REF!</f>
        <v>#REF!</v>
      </c>
      <c r="N128" s="67" t="e">
        <f t="shared" si="31"/>
        <v>#REF!</v>
      </c>
      <c r="O128" s="68" t="e">
        <f t="shared" si="32"/>
        <v>#REF!</v>
      </c>
      <c r="P128" s="69" t="e">
        <f t="shared" si="33"/>
        <v>#REF!</v>
      </c>
      <c r="Q128" s="70" t="e">
        <f t="shared" si="34"/>
        <v>#REF!</v>
      </c>
      <c r="R128" s="70" t="e">
        <f t="shared" si="35"/>
        <v>#REF!</v>
      </c>
      <c r="S128" s="71" t="e">
        <f>' 2024'!#REF!</f>
        <v>#REF!</v>
      </c>
      <c r="T128" s="71" t="e">
        <f>' 2024'!#REF!</f>
        <v>#REF!</v>
      </c>
      <c r="U128" s="72" t="e">
        <f>' 2024'!#REF!</f>
        <v>#REF!</v>
      </c>
      <c r="V128" s="72" t="e">
        <f>' 2024'!#REF!</f>
        <v>#REF!</v>
      </c>
      <c r="W128" s="73">
        <f>' 2024'!H135</f>
        <v>2326.752</v>
      </c>
      <c r="X128" s="74">
        <f>' 2024'!N135</f>
        <v>2598.9719999999998</v>
      </c>
      <c r="Y128" s="217">
        <v>0</v>
      </c>
      <c r="Z128" s="217">
        <v>0</v>
      </c>
      <c r="AA128" s="74">
        <f>' 2024'!J135</f>
        <v>2231.2199999999998</v>
      </c>
      <c r="AB128" s="74">
        <f>' 2024'!P135</f>
        <v>2403.02</v>
      </c>
      <c r="AC128" s="74">
        <f>' 2024'!K135</f>
        <v>2231.2199999999998</v>
      </c>
      <c r="AD128" s="74">
        <f>' 2024'!Q135</f>
        <v>2403.02</v>
      </c>
    </row>
    <row r="129" spans="1:30" customFormat="1">
      <c r="A129">
        <f t="shared" si="36"/>
        <v>123</v>
      </c>
      <c r="B129" s="85" t="str">
        <f>' 2024'!B135</f>
        <v>г.Курск</v>
      </c>
      <c r="C129" s="92" t="str">
        <f t="shared" si="26"/>
        <v>Код района</v>
      </c>
      <c r="D129" s="66" t="str">
        <f>' 2024'!C136</f>
        <v>город Курск</v>
      </c>
      <c r="E129" s="92" t="str">
        <f t="shared" si="25"/>
        <v>Код сельсовета</v>
      </c>
      <c r="F129" s="89" t="str">
        <f>' 2024'!D136</f>
        <v>АО "Курский комбинат хлебопродуктов"</v>
      </c>
      <c r="G129" s="91">
        <f>' 2024'!E136</f>
        <v>4630001280</v>
      </c>
      <c r="H129" s="48" t="e">
        <f t="shared" si="27"/>
        <v>#REF!</v>
      </c>
      <c r="I129" s="48" t="e">
        <f t="shared" si="28"/>
        <v>#REF!</v>
      </c>
      <c r="J129" s="48" t="e">
        <f t="shared" si="29"/>
        <v>#REF!</v>
      </c>
      <c r="K129" s="49" t="e">
        <f t="shared" si="30"/>
        <v>#REF!</v>
      </c>
      <c r="L129" s="86" t="e">
        <f>' 2024'!#REF!+' 2024'!#REF!</f>
        <v>#REF!</v>
      </c>
      <c r="M129" s="71" t="e">
        <f>' 2024'!#REF!+' 2024'!#REF!</f>
        <v>#REF!</v>
      </c>
      <c r="N129" s="67" t="e">
        <f t="shared" si="31"/>
        <v>#REF!</v>
      </c>
      <c r="O129" s="68" t="e">
        <f t="shared" si="32"/>
        <v>#REF!</v>
      </c>
      <c r="P129" s="69" t="e">
        <f t="shared" si="33"/>
        <v>#REF!</v>
      </c>
      <c r="Q129" s="70" t="e">
        <f t="shared" si="34"/>
        <v>#REF!</v>
      </c>
      <c r="R129" s="70" t="e">
        <f t="shared" si="35"/>
        <v>#REF!</v>
      </c>
      <c r="S129" s="71" t="e">
        <f>' 2024'!#REF!</f>
        <v>#REF!</v>
      </c>
      <c r="T129" s="71" t="e">
        <f>' 2024'!#REF!</f>
        <v>#REF!</v>
      </c>
      <c r="U129" s="72" t="e">
        <f>' 2024'!#REF!</f>
        <v>#REF!</v>
      </c>
      <c r="V129" s="72" t="e">
        <f>' 2024'!#REF!</f>
        <v>#REF!</v>
      </c>
      <c r="W129" s="73">
        <f>' 2024'!H136</f>
        <v>2336.6999999999998</v>
      </c>
      <c r="X129" s="74">
        <f>' 2024'!N136</f>
        <v>2640.252</v>
      </c>
      <c r="Y129" s="217">
        <v>0</v>
      </c>
      <c r="Z129" s="217">
        <v>0</v>
      </c>
      <c r="AA129" s="74">
        <f>' 2024'!J136</f>
        <v>2336.6999999999998</v>
      </c>
      <c r="AB129" s="74">
        <f>' 2024'!P136</f>
        <v>2640.25</v>
      </c>
      <c r="AC129" s="74">
        <f>' 2024'!K136</f>
        <v>0</v>
      </c>
      <c r="AD129" s="74">
        <f>' 2024'!Q136</f>
        <v>0</v>
      </c>
    </row>
    <row r="130" spans="1:30" customFormat="1">
      <c r="A130">
        <f t="shared" si="36"/>
        <v>124</v>
      </c>
      <c r="B130" s="85" t="str">
        <f>' 2024'!B136</f>
        <v>г.Курск</v>
      </c>
      <c r="C130" s="92" t="str">
        <f t="shared" si="26"/>
        <v>Код района</v>
      </c>
      <c r="D130" s="66" t="str">
        <f>' 2024'!C137</f>
        <v>город Курск</v>
      </c>
      <c r="E130" s="92" t="str">
        <f t="shared" si="25"/>
        <v>Код сельсовета</v>
      </c>
      <c r="F130" s="89" t="str">
        <f>' 2024'!D137</f>
        <v>ООО "Энергосервисная компания ЖБК-1"</v>
      </c>
      <c r="G130" s="91">
        <f>' 2024'!E137</f>
        <v>3123389689</v>
      </c>
      <c r="H130" s="48" t="e">
        <f t="shared" si="27"/>
        <v>#REF!</v>
      </c>
      <c r="I130" s="48" t="e">
        <f t="shared" si="28"/>
        <v>#REF!</v>
      </c>
      <c r="J130" s="48" t="e">
        <f t="shared" si="29"/>
        <v>#REF!</v>
      </c>
      <c r="K130" s="49" t="e">
        <f t="shared" si="30"/>
        <v>#REF!</v>
      </c>
      <c r="L130" s="86" t="e">
        <f>' 2024'!#REF!+' 2024'!#REF!</f>
        <v>#REF!</v>
      </c>
      <c r="M130" s="71" t="e">
        <f>' 2024'!#REF!+' 2024'!#REF!</f>
        <v>#REF!</v>
      </c>
      <c r="N130" s="67" t="e">
        <f t="shared" si="31"/>
        <v>#REF!</v>
      </c>
      <c r="O130" s="68" t="e">
        <f t="shared" si="32"/>
        <v>#REF!</v>
      </c>
      <c r="P130" s="69" t="e">
        <f t="shared" si="33"/>
        <v>#REF!</v>
      </c>
      <c r="Q130" s="70" t="e">
        <f t="shared" si="34"/>
        <v>#REF!</v>
      </c>
      <c r="R130" s="70" t="e">
        <f t="shared" si="35"/>
        <v>#REF!</v>
      </c>
      <c r="S130" s="71" t="e">
        <f>' 2024'!#REF!</f>
        <v>#REF!</v>
      </c>
      <c r="T130" s="71" t="e">
        <f>' 2024'!#REF!</f>
        <v>#REF!</v>
      </c>
      <c r="U130" s="72" t="e">
        <f>' 2024'!#REF!</f>
        <v>#REF!</v>
      </c>
      <c r="V130" s="72" t="e">
        <f>' 2024'!#REF!</f>
        <v>#REF!</v>
      </c>
      <c r="W130" s="73">
        <f>' 2024'!H137</f>
        <v>2270.29</v>
      </c>
      <c r="X130" s="74">
        <f>' 2024'!N137</f>
        <v>2470.62</v>
      </c>
      <c r="Y130" s="217">
        <v>0</v>
      </c>
      <c r="Z130" s="217">
        <v>0</v>
      </c>
      <c r="AA130" s="74">
        <f>' 2024'!J137</f>
        <v>2270.29</v>
      </c>
      <c r="AB130" s="74">
        <f>' 2024'!P137</f>
        <v>2470.62</v>
      </c>
      <c r="AC130" s="74">
        <f>' 2024'!K137</f>
        <v>2270.29</v>
      </c>
      <c r="AD130" s="74">
        <f>' 2024'!Q137</f>
        <v>2470.62</v>
      </c>
    </row>
    <row r="131" spans="1:30" customFormat="1">
      <c r="A131">
        <f t="shared" si="36"/>
        <v>125</v>
      </c>
      <c r="B131" s="85" t="str">
        <f>' 2024'!B137</f>
        <v>г.Курск</v>
      </c>
      <c r="C131" s="92" t="str">
        <f t="shared" si="26"/>
        <v>Код района</v>
      </c>
      <c r="D131" s="66" t="str">
        <f>' 2024'!C138</f>
        <v>город Курск</v>
      </c>
      <c r="E131" s="92" t="str">
        <f t="shared" si="25"/>
        <v>Код сельсовета</v>
      </c>
      <c r="F131" s="89" t="str">
        <f>' 2024'!D138</f>
        <v>ООО "Агропроект"</v>
      </c>
      <c r="G131" s="91">
        <f>' 2024'!E138</f>
        <v>3666120176</v>
      </c>
      <c r="H131" s="48" t="e">
        <f t="shared" si="27"/>
        <v>#REF!</v>
      </c>
      <c r="I131" s="48" t="e">
        <f t="shared" si="28"/>
        <v>#REF!</v>
      </c>
      <c r="J131" s="48" t="e">
        <f t="shared" si="29"/>
        <v>#REF!</v>
      </c>
      <c r="K131" s="49" t="e">
        <f t="shared" si="30"/>
        <v>#REF!</v>
      </c>
      <c r="L131" s="86" t="e">
        <f>' 2024'!#REF!+' 2024'!#REF!</f>
        <v>#REF!</v>
      </c>
      <c r="M131" s="71" t="e">
        <f>' 2024'!#REF!+' 2024'!#REF!</f>
        <v>#REF!</v>
      </c>
      <c r="N131" s="67" t="e">
        <f t="shared" si="31"/>
        <v>#REF!</v>
      </c>
      <c r="O131" s="68" t="e">
        <f t="shared" si="32"/>
        <v>#REF!</v>
      </c>
      <c r="P131" s="69" t="e">
        <f t="shared" si="33"/>
        <v>#REF!</v>
      </c>
      <c r="Q131" s="70" t="e">
        <f t="shared" si="34"/>
        <v>#REF!</v>
      </c>
      <c r="R131" s="70" t="e">
        <f t="shared" si="35"/>
        <v>#REF!</v>
      </c>
      <c r="S131" s="71" t="e">
        <f>' 2024'!#REF!</f>
        <v>#REF!</v>
      </c>
      <c r="T131" s="71" t="e">
        <f>' 2024'!#REF!</f>
        <v>#REF!</v>
      </c>
      <c r="U131" s="72" t="e">
        <f>' 2024'!#REF!</f>
        <v>#REF!</v>
      </c>
      <c r="V131" s="72" t="e">
        <f>' 2024'!#REF!</f>
        <v>#REF!</v>
      </c>
      <c r="W131" s="73">
        <f>' 2024'!H138</f>
        <v>1844.2847200799181</v>
      </c>
      <c r="X131" s="74">
        <f>' 2024'!N138</f>
        <v>2069.2199999999998</v>
      </c>
      <c r="Y131" s="217">
        <v>0</v>
      </c>
      <c r="Z131" s="217">
        <v>0</v>
      </c>
      <c r="AA131" s="74">
        <f>' 2024'!J138</f>
        <v>1844.2847200799181</v>
      </c>
      <c r="AB131" s="74">
        <f>' 2024'!P138</f>
        <v>2069.2199999999998</v>
      </c>
      <c r="AC131" s="74">
        <f>' 2024'!K138</f>
        <v>1844.2847200799181</v>
      </c>
      <c r="AD131" s="74">
        <f>' 2024'!Q138</f>
        <v>2069.2199999999998</v>
      </c>
    </row>
    <row r="132" spans="1:30" customFormat="1">
      <c r="A132">
        <f t="shared" si="36"/>
        <v>126</v>
      </c>
      <c r="B132" s="85" t="str">
        <f>' 2024'!B138</f>
        <v>г.Курск</v>
      </c>
      <c r="C132" s="92" t="str">
        <f t="shared" si="26"/>
        <v>Код района</v>
      </c>
      <c r="D132" s="66" t="str">
        <f>' 2024'!C139</f>
        <v>г.Курчатов</v>
      </c>
      <c r="E132" s="92" t="str">
        <f t="shared" si="25"/>
        <v>Код сельсовета</v>
      </c>
      <c r="F132" s="89" t="str">
        <f>' 2024'!D139</f>
        <v>МУП "Гортеплосеть"
г.Курчатов</v>
      </c>
      <c r="G132" s="91">
        <f>' 2024'!E139</f>
        <v>4634002573</v>
      </c>
      <c r="H132" s="48" t="e">
        <f t="shared" si="27"/>
        <v>#REF!</v>
      </c>
      <c r="I132" s="48" t="e">
        <f t="shared" si="28"/>
        <v>#REF!</v>
      </c>
      <c r="J132" s="48" t="e">
        <f t="shared" si="29"/>
        <v>#REF!</v>
      </c>
      <c r="K132" s="49" t="e">
        <f t="shared" si="30"/>
        <v>#REF!</v>
      </c>
      <c r="L132" s="86" t="e">
        <f>' 2024'!#REF!+' 2024'!#REF!</f>
        <v>#REF!</v>
      </c>
      <c r="M132" s="71" t="e">
        <f>' 2024'!#REF!+' 2024'!#REF!</f>
        <v>#REF!</v>
      </c>
      <c r="N132" s="67" t="e">
        <f t="shared" si="31"/>
        <v>#REF!</v>
      </c>
      <c r="O132" s="68" t="e">
        <f t="shared" si="32"/>
        <v>#REF!</v>
      </c>
      <c r="P132" s="69" t="e">
        <f t="shared" si="33"/>
        <v>#REF!</v>
      </c>
      <c r="Q132" s="70" t="e">
        <f t="shared" si="34"/>
        <v>#REF!</v>
      </c>
      <c r="R132" s="70" t="e">
        <f t="shared" si="35"/>
        <v>#REF!</v>
      </c>
      <c r="S132" s="71" t="e">
        <f>' 2024'!#REF!</f>
        <v>#REF!</v>
      </c>
      <c r="T132" s="71" t="e">
        <f>' 2024'!#REF!</f>
        <v>#REF!</v>
      </c>
      <c r="U132" s="72" t="e">
        <f>' 2024'!#REF!</f>
        <v>#REF!</v>
      </c>
      <c r="V132" s="72" t="e">
        <f>' 2024'!#REF!</f>
        <v>#REF!</v>
      </c>
      <c r="W132" s="73">
        <f>' 2024'!H139</f>
        <v>780.30450254239327</v>
      </c>
      <c r="X132" s="74">
        <f>' 2024'!N139</f>
        <v>826.91</v>
      </c>
      <c r="Y132" s="217">
        <v>0</v>
      </c>
      <c r="Z132" s="217">
        <v>0</v>
      </c>
      <c r="AA132" s="74">
        <f>' 2024'!J139</f>
        <v>780.30450254239327</v>
      </c>
      <c r="AB132" s="74">
        <f>' 2024'!P139</f>
        <v>826.90800000000002</v>
      </c>
      <c r="AC132" s="74">
        <f>' 2024'!K139</f>
        <v>780.30450254239327</v>
      </c>
      <c r="AD132" s="74">
        <f>' 2024'!Q139</f>
        <v>826.90800000000002</v>
      </c>
    </row>
    <row r="133" spans="1:30" customFormat="1">
      <c r="A133">
        <f t="shared" si="36"/>
        <v>127</v>
      </c>
      <c r="B133" s="85" t="str">
        <f>' 2024'!B139</f>
        <v>г.Курчатов</v>
      </c>
      <c r="C133" s="92" t="str">
        <f t="shared" si="26"/>
        <v>Код района</v>
      </c>
      <c r="D133" s="66" t="str">
        <f>' 2024'!C140</f>
        <v>г.Курчатов</v>
      </c>
      <c r="E133" s="92" t="str">
        <f t="shared" si="25"/>
        <v>Код сельсовета</v>
      </c>
      <c r="F133" s="89" t="str">
        <f>' 2024'!D140</f>
        <v>АО «Концерн Росэнергоатом»  (филиал «Курская атомная станция»)</v>
      </c>
      <c r="G133" s="91">
        <f>' 2024'!E140</f>
        <v>7721632827</v>
      </c>
      <c r="H133" s="48" t="e">
        <f t="shared" si="27"/>
        <v>#REF!</v>
      </c>
      <c r="I133" s="48" t="e">
        <f t="shared" si="28"/>
        <v>#REF!</v>
      </c>
      <c r="J133" s="48" t="e">
        <f t="shared" si="29"/>
        <v>#REF!</v>
      </c>
      <c r="K133" s="49" t="e">
        <f t="shared" si="30"/>
        <v>#REF!</v>
      </c>
      <c r="L133" s="86" t="e">
        <f>' 2024'!#REF!+' 2024'!#REF!</f>
        <v>#REF!</v>
      </c>
      <c r="M133" s="71" t="e">
        <f>' 2024'!#REF!+' 2024'!#REF!</f>
        <v>#REF!</v>
      </c>
      <c r="N133" s="67" t="e">
        <f t="shared" si="31"/>
        <v>#REF!</v>
      </c>
      <c r="O133" s="68" t="e">
        <f t="shared" si="32"/>
        <v>#REF!</v>
      </c>
      <c r="P133" s="69" t="e">
        <f t="shared" si="33"/>
        <v>#REF!</v>
      </c>
      <c r="Q133" s="70" t="e">
        <f t="shared" si="34"/>
        <v>#REF!</v>
      </c>
      <c r="R133" s="70" t="e">
        <f t="shared" si="35"/>
        <v>#REF!</v>
      </c>
      <c r="S133" s="71" t="e">
        <f>' 2024'!#REF!</f>
        <v>#REF!</v>
      </c>
      <c r="T133" s="71" t="e">
        <f>' 2024'!#REF!</f>
        <v>#REF!</v>
      </c>
      <c r="U133" s="72" t="e">
        <f>' 2024'!#REF!</f>
        <v>#REF!</v>
      </c>
      <c r="V133" s="72" t="e">
        <f>' 2024'!#REF!</f>
        <v>#REF!</v>
      </c>
      <c r="W133" s="73">
        <f>' 2024'!H140</f>
        <v>321.43</v>
      </c>
      <c r="X133" s="74">
        <f>' 2024'!N140</f>
        <v>325.23599999999993</v>
      </c>
      <c r="Y133" s="217">
        <v>0</v>
      </c>
      <c r="Z133" s="217">
        <v>0</v>
      </c>
      <c r="AA133" s="74">
        <f>' 2024'!J140</f>
        <v>321.43</v>
      </c>
      <c r="AB133" s="74">
        <f>' 2024'!P140</f>
        <v>325.23599999999993</v>
      </c>
      <c r="AC133" s="74">
        <f>' 2024'!K140</f>
        <v>321.43</v>
      </c>
      <c r="AD133" s="74">
        <f>' 2024'!Q140</f>
        <v>325.23599999999993</v>
      </c>
    </row>
    <row r="134" spans="1:30" s="1269" customFormat="1">
      <c r="A134">
        <f t="shared" si="36"/>
        <v>128</v>
      </c>
      <c r="B134" s="85" t="str">
        <f>' 2024'!B140</f>
        <v>г.Курчатов</v>
      </c>
      <c r="C134" s="92" t="str">
        <f t="shared" si="26"/>
        <v>Код района</v>
      </c>
      <c r="D134" s="66" t="str">
        <f>' 2024'!C141</f>
        <v>г.Курчатов</v>
      </c>
      <c r="E134" s="92" t="str">
        <f t="shared" si="25"/>
        <v>Код сельсовета</v>
      </c>
      <c r="F134" s="89" t="str">
        <f>' 2024'!D141</f>
        <v>АО"Курская строительная компания "Новый курс"</v>
      </c>
      <c r="G134" s="91">
        <f>' 2024'!E141</f>
        <v>4629043694</v>
      </c>
      <c r="H134" s="48" t="e">
        <f t="shared" si="27"/>
        <v>#REF!</v>
      </c>
      <c r="I134" s="48" t="e">
        <f t="shared" si="28"/>
        <v>#REF!</v>
      </c>
      <c r="J134" s="48" t="e">
        <f t="shared" si="29"/>
        <v>#REF!</v>
      </c>
      <c r="K134" s="49" t="e">
        <f t="shared" si="30"/>
        <v>#REF!</v>
      </c>
      <c r="L134" s="86" t="e">
        <f>' 2024'!#REF!+' 2024'!#REF!</f>
        <v>#REF!</v>
      </c>
      <c r="M134" s="71" t="e">
        <f>' 2024'!#REF!+' 2024'!#REF!</f>
        <v>#REF!</v>
      </c>
      <c r="N134" s="67" t="e">
        <f t="shared" si="31"/>
        <v>#REF!</v>
      </c>
      <c r="O134" s="68" t="e">
        <f t="shared" si="32"/>
        <v>#REF!</v>
      </c>
      <c r="P134" s="69" t="e">
        <f t="shared" si="33"/>
        <v>#REF!</v>
      </c>
      <c r="Q134" s="70" t="e">
        <f t="shared" si="34"/>
        <v>#REF!</v>
      </c>
      <c r="R134" s="70" t="e">
        <f t="shared" si="35"/>
        <v>#REF!</v>
      </c>
      <c r="S134" s="71" t="e">
        <f>' 2024'!#REF!</f>
        <v>#REF!</v>
      </c>
      <c r="T134" s="71" t="e">
        <f>' 2024'!#REF!</f>
        <v>#REF!</v>
      </c>
      <c r="U134" s="72" t="e">
        <f>' 2024'!#REF!</f>
        <v>#REF!</v>
      </c>
      <c r="V134" s="72" t="e">
        <f>' 2024'!#REF!</f>
        <v>#REF!</v>
      </c>
      <c r="W134" s="73">
        <f>' 2024'!H141</f>
        <v>230.24</v>
      </c>
      <c r="X134" s="74">
        <f>' 2024'!N141</f>
        <v>251.952</v>
      </c>
      <c r="Y134" s="217">
        <v>0</v>
      </c>
      <c r="Z134" s="217">
        <v>0</v>
      </c>
      <c r="AA134" s="74">
        <f>' 2024'!J141</f>
        <v>0</v>
      </c>
      <c r="AB134" s="74">
        <f>' 2024'!P141</f>
        <v>0</v>
      </c>
      <c r="AC134" s="74">
        <f>' 2024'!K141</f>
        <v>0</v>
      </c>
      <c r="AD134" s="74">
        <f>' 2024'!Q141</f>
        <v>0</v>
      </c>
    </row>
    <row r="135" spans="1:30" customFormat="1">
      <c r="A135">
        <f t="shared" si="36"/>
        <v>129</v>
      </c>
      <c r="B135" s="85"/>
      <c r="C135" s="92"/>
      <c r="D135" s="66"/>
      <c r="E135" s="92"/>
      <c r="F135" s="89"/>
      <c r="G135" s="91"/>
      <c r="H135" s="48"/>
      <c r="I135" s="48"/>
      <c r="J135" s="48"/>
      <c r="K135" s="49"/>
      <c r="L135" s="86"/>
      <c r="M135" s="71"/>
      <c r="N135" s="67"/>
      <c r="O135" s="68"/>
      <c r="P135" s="69"/>
      <c r="Q135" s="70"/>
      <c r="R135" s="70"/>
      <c r="S135" s="71"/>
      <c r="T135" s="71"/>
      <c r="U135" s="72"/>
      <c r="V135" s="72"/>
      <c r="W135" s="73"/>
      <c r="X135" s="74"/>
      <c r="Y135" s="217"/>
      <c r="Z135" s="217"/>
      <c r="AA135" s="74"/>
      <c r="AB135" s="74"/>
      <c r="AC135" s="74"/>
      <c r="AD135" s="74"/>
    </row>
    <row r="136" spans="1:30" customFormat="1">
      <c r="A136">
        <f t="shared" si="36"/>
        <v>130</v>
      </c>
      <c r="B136" s="85"/>
      <c r="C136" s="92"/>
      <c r="D136" s="66"/>
      <c r="E136" s="92"/>
      <c r="F136" s="89"/>
      <c r="G136" s="91"/>
      <c r="H136" s="48"/>
      <c r="I136" s="48"/>
      <c r="J136" s="48"/>
      <c r="K136" s="49"/>
      <c r="L136" s="86"/>
      <c r="M136" s="71"/>
      <c r="N136" s="67"/>
      <c r="O136" s="68"/>
      <c r="P136" s="69"/>
      <c r="Q136" s="70"/>
      <c r="R136" s="70"/>
      <c r="S136" s="71"/>
      <c r="T136" s="71"/>
      <c r="U136" s="72"/>
      <c r="V136" s="72"/>
      <c r="W136" s="73"/>
      <c r="X136" s="74"/>
      <c r="Y136" s="217"/>
      <c r="Z136" s="217"/>
      <c r="AA136" s="74"/>
      <c r="AB136" s="74"/>
      <c r="AC136" s="74"/>
      <c r="AD136" s="74"/>
    </row>
    <row r="137" spans="1:30" customFormat="1">
      <c r="A137">
        <f t="shared" ref="A137:A138" si="37">A136+1</f>
        <v>131</v>
      </c>
      <c r="B137" s="85"/>
      <c r="C137" s="92"/>
      <c r="D137" s="66"/>
      <c r="E137" s="92"/>
      <c r="F137" s="89"/>
      <c r="G137" s="91"/>
      <c r="H137" s="48"/>
      <c r="I137" s="48"/>
      <c r="J137" s="48"/>
      <c r="K137" s="49"/>
      <c r="L137" s="86"/>
      <c r="M137" s="71"/>
      <c r="N137" s="67"/>
      <c r="O137" s="68"/>
      <c r="P137" s="69"/>
      <c r="Q137" s="70"/>
      <c r="R137" s="70"/>
      <c r="S137" s="71"/>
      <c r="T137" s="71"/>
      <c r="U137" s="72"/>
      <c r="V137" s="72"/>
      <c r="W137" s="73"/>
      <c r="X137" s="74"/>
      <c r="Y137" s="217"/>
      <c r="Z137" s="217"/>
      <c r="AA137" s="74"/>
      <c r="AB137" s="74"/>
      <c r="AC137" s="74"/>
      <c r="AD137" s="74"/>
    </row>
    <row r="138" spans="1:30" customFormat="1">
      <c r="A138">
        <f t="shared" si="37"/>
        <v>132</v>
      </c>
      <c r="B138" s="85"/>
      <c r="C138" s="92"/>
      <c r="D138" s="66"/>
      <c r="E138" s="92"/>
      <c r="F138" s="89"/>
      <c r="G138" s="91"/>
      <c r="H138" s="48"/>
      <c r="I138" s="48"/>
      <c r="J138" s="48"/>
      <c r="K138" s="49"/>
      <c r="L138" s="86"/>
      <c r="M138" s="71"/>
      <c r="N138" s="67"/>
      <c r="O138" s="68"/>
      <c r="P138" s="69"/>
      <c r="Q138" s="70"/>
      <c r="R138" s="70"/>
      <c r="S138" s="71"/>
      <c r="T138" s="71"/>
      <c r="U138" s="72"/>
      <c r="V138" s="72"/>
      <c r="W138" s="73"/>
      <c r="X138" s="74"/>
      <c r="Y138" s="217"/>
      <c r="Z138" s="217"/>
      <c r="AA138" s="74"/>
      <c r="AB138" s="74"/>
      <c r="AC138" s="74"/>
      <c r="AD138" s="74"/>
    </row>
    <row r="139" spans="1:30" customFormat="1">
      <c r="A139">
        <f t="shared" ref="A139" si="38">A138+1</f>
        <v>133</v>
      </c>
      <c r="B139" s="85"/>
      <c r="C139" s="92"/>
      <c r="D139" s="66"/>
      <c r="E139" s="92"/>
      <c r="F139" s="89"/>
      <c r="G139" s="91"/>
      <c r="H139" s="48"/>
      <c r="I139" s="48"/>
      <c r="J139" s="48"/>
      <c r="K139" s="49"/>
      <c r="L139" s="86"/>
      <c r="M139" s="71"/>
      <c r="N139" s="67"/>
      <c r="O139" s="68"/>
      <c r="P139" s="69"/>
      <c r="Q139" s="70"/>
      <c r="R139" s="70"/>
      <c r="S139" s="71"/>
      <c r="T139" s="71"/>
      <c r="U139" s="72"/>
      <c r="V139" s="72"/>
      <c r="W139" s="73"/>
      <c r="X139" s="74"/>
      <c r="Y139" s="217"/>
      <c r="Z139" s="217"/>
      <c r="AA139" s="74"/>
      <c r="AB139" s="74"/>
      <c r="AC139" s="74"/>
      <c r="AD139" s="74"/>
    </row>
    <row r="140" spans="1:30" customFormat="1">
      <c r="A140">
        <f t="shared" ref="A140:A142" si="39">A139+1</f>
        <v>134</v>
      </c>
      <c r="B140" s="85"/>
      <c r="C140" s="92"/>
      <c r="D140" s="66"/>
      <c r="E140" s="92"/>
      <c r="F140" s="89"/>
      <c r="G140" s="91"/>
      <c r="H140" s="48"/>
      <c r="I140" s="48"/>
      <c r="J140" s="48"/>
      <c r="K140" s="49"/>
      <c r="L140" s="86"/>
      <c r="M140" s="71"/>
      <c r="N140" s="67"/>
      <c r="O140" s="68"/>
      <c r="P140" s="69"/>
      <c r="Q140" s="70"/>
      <c r="R140" s="70"/>
      <c r="S140" s="71"/>
      <c r="T140" s="71"/>
      <c r="U140" s="72"/>
      <c r="V140" s="72"/>
      <c r="W140" s="73"/>
      <c r="X140" s="74"/>
      <c r="Y140" s="214"/>
      <c r="Z140" s="214"/>
      <c r="AA140" s="74"/>
      <c r="AB140" s="74"/>
      <c r="AC140" s="74"/>
      <c r="AD140" s="74"/>
    </row>
    <row r="141" spans="1:30" customFormat="1">
      <c r="A141">
        <f t="shared" si="39"/>
        <v>135</v>
      </c>
      <c r="B141" s="85"/>
      <c r="C141" s="92"/>
      <c r="D141" s="66"/>
      <c r="E141" s="92"/>
      <c r="F141" s="89"/>
      <c r="G141" s="91"/>
      <c r="H141" s="48"/>
      <c r="I141" s="48"/>
      <c r="J141" s="48"/>
      <c r="K141" s="49"/>
      <c r="L141" s="86"/>
      <c r="M141" s="71"/>
      <c r="N141" s="67"/>
      <c r="O141" s="68"/>
      <c r="P141" s="69"/>
      <c r="Q141" s="70"/>
      <c r="R141" s="70"/>
      <c r="S141" s="71"/>
      <c r="T141" s="71"/>
      <c r="U141" s="72"/>
      <c r="V141" s="72"/>
      <c r="W141" s="73"/>
      <c r="X141" s="74"/>
      <c r="Y141" s="214"/>
      <c r="Z141" s="214"/>
      <c r="AA141" s="74"/>
      <c r="AB141" s="74"/>
      <c r="AC141" s="74"/>
      <c r="AD141" s="74"/>
    </row>
    <row r="142" spans="1:30" customFormat="1">
      <c r="A142">
        <f t="shared" si="39"/>
        <v>136</v>
      </c>
      <c r="B142" s="85"/>
      <c r="C142" s="92"/>
      <c r="D142" s="66"/>
      <c r="E142" s="92"/>
      <c r="F142" s="89"/>
      <c r="G142" s="91"/>
      <c r="H142" s="48"/>
      <c r="I142" s="48"/>
      <c r="J142" s="48"/>
      <c r="K142" s="49"/>
      <c r="L142" s="86"/>
      <c r="M142" s="71"/>
      <c r="N142" s="67"/>
      <c r="O142" s="68"/>
      <c r="P142" s="69"/>
      <c r="Q142" s="70"/>
      <c r="R142" s="70"/>
      <c r="S142" s="71"/>
      <c r="T142" s="71"/>
      <c r="U142" s="72"/>
      <c r="V142" s="72"/>
      <c r="W142" s="73"/>
      <c r="X142" s="74"/>
      <c r="Y142" s="214"/>
      <c r="Z142" s="214"/>
      <c r="AA142" s="74"/>
      <c r="AB142" s="74"/>
      <c r="AC142" s="74"/>
      <c r="AD142" s="74"/>
    </row>
    <row r="143" spans="1:30" s="197" customFormat="1" ht="15.75">
      <c r="A143" s="197">
        <f>A142+1</f>
        <v>137</v>
      </c>
      <c r="B143" s="198"/>
      <c r="C143" s="199">
        <f>C142</f>
        <v>0</v>
      </c>
      <c r="D143" s="198" t="e">
        <f>' 2024'!#REF!</f>
        <v>#REF!</v>
      </c>
      <c r="E143" s="199">
        <f>E142</f>
        <v>0</v>
      </c>
      <c r="F143" s="200" t="e">
        <f>' 2024'!#REF!</f>
        <v>#REF!</v>
      </c>
      <c r="G143" s="201" t="e">
        <f>' 2024'!#REF!</f>
        <v>#REF!</v>
      </c>
      <c r="H143" s="193" t="e">
        <f>K143+N143</f>
        <v>#REF!</v>
      </c>
      <c r="I143" s="194" t="e">
        <f>L143+Q143</f>
        <v>#REF!</v>
      </c>
      <c r="J143" s="194" t="e">
        <f>M143+R143</f>
        <v>#REF!</v>
      </c>
      <c r="K143" s="194" t="e">
        <f>L143+M143</f>
        <v>#REF!</v>
      </c>
      <c r="L143" s="202" t="e">
        <f>' 2024'!#REF!+' 2024'!#REF!</f>
        <v>#REF!</v>
      </c>
      <c r="M143" s="196" t="e">
        <f>' 2024'!#REF!+' 2024'!#REF!</f>
        <v>#REF!</v>
      </c>
      <c r="N143" s="195" t="e">
        <f>Q143+R143</f>
        <v>#REF!</v>
      </c>
      <c r="O143" s="196" t="e">
        <f>S143+T143</f>
        <v>#REF!</v>
      </c>
      <c r="P143" s="194" t="e">
        <f>U143+V143</f>
        <v>#REF!</v>
      </c>
      <c r="Q143" s="195" t="e">
        <f>S143+U143</f>
        <v>#REF!</v>
      </c>
      <c r="R143" s="195" t="e">
        <f>T143+V143</f>
        <v>#REF!</v>
      </c>
      <c r="S143" s="196" t="e">
        <f>' 2024'!#REF!</f>
        <v>#REF!</v>
      </c>
      <c r="T143" s="196" t="e">
        <f>' 2024'!#REF!</f>
        <v>#REF!</v>
      </c>
      <c r="U143" s="194" t="e">
        <f>' 2024'!#REF!</f>
        <v>#REF!</v>
      </c>
      <c r="V143" s="194" t="e">
        <f>' 2024'!#REF!</f>
        <v>#REF!</v>
      </c>
      <c r="W143" s="203" t="e">
        <f>' 2024'!#REF!</f>
        <v>#REF!</v>
      </c>
      <c r="X143" s="204" t="e">
        <f>' 2024'!#REF!</f>
        <v>#REF!</v>
      </c>
      <c r="Y143" s="215"/>
      <c r="Z143" s="215"/>
      <c r="AA143" s="204" t="e">
        <f>' 2024'!#REF!</f>
        <v>#REF!</v>
      </c>
      <c r="AB143" s="204" t="e">
        <f>' 2024'!#REF!</f>
        <v>#REF!</v>
      </c>
      <c r="AC143" s="204" t="e">
        <f>' 2024'!#REF!</f>
        <v>#REF!</v>
      </c>
      <c r="AD143" s="204" t="e">
        <f>' 2024'!#REF!</f>
        <v>#REF!</v>
      </c>
    </row>
    <row r="144" spans="1:30" customFormat="1">
      <c r="A144">
        <f>A143+1</f>
        <v>138</v>
      </c>
      <c r="B144" s="85"/>
      <c r="C144" s="92"/>
      <c r="D144" s="66"/>
      <c r="E144" s="92"/>
      <c r="F144" s="66"/>
      <c r="G144" s="65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1"/>
      <c r="X144" s="51"/>
      <c r="Y144" s="216"/>
      <c r="Z144" s="216"/>
      <c r="AA144" s="51"/>
      <c r="AB144" s="51"/>
      <c r="AC144" s="51"/>
      <c r="AD144" s="51"/>
    </row>
    <row r="145" spans="1:30" customFormat="1">
      <c r="A145">
        <f>A144+1</f>
        <v>139</v>
      </c>
      <c r="B145" s="85"/>
      <c r="C145" s="92"/>
      <c r="D145" s="66"/>
      <c r="E145" s="92"/>
      <c r="F145" s="66"/>
      <c r="G145" s="65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1"/>
      <c r="X145" s="51"/>
      <c r="Y145" s="216"/>
      <c r="Z145" s="216"/>
      <c r="AA145" s="51"/>
      <c r="AB145" s="51"/>
      <c r="AC145" s="51"/>
      <c r="AD145" s="51"/>
    </row>
    <row r="146" spans="1:30" customForma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1"/>
      <c r="X146" s="51"/>
      <c r="Y146" s="216"/>
      <c r="Z146" s="216"/>
      <c r="AA146" s="51"/>
      <c r="AB146" s="51"/>
      <c r="AC146" s="51"/>
      <c r="AD146" s="51"/>
    </row>
    <row r="147" spans="1:30" customForma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1"/>
      <c r="X147" s="51"/>
      <c r="Y147" s="216"/>
      <c r="Z147" s="216"/>
      <c r="AA147" s="51"/>
      <c r="AB147" s="51"/>
      <c r="AC147" s="51"/>
      <c r="AD147" s="51"/>
    </row>
    <row r="148" spans="1:30" customForma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1"/>
      <c r="X148" s="51"/>
      <c r="Y148" s="216"/>
      <c r="Z148" s="216"/>
      <c r="AA148" s="51"/>
      <c r="AB148" s="51"/>
      <c r="AC148" s="51"/>
      <c r="AD148" s="51"/>
    </row>
    <row r="149" spans="1:30" customForma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1"/>
      <c r="X149" s="51"/>
      <c r="Y149" s="216"/>
      <c r="Z149" s="216"/>
      <c r="AA149" s="51"/>
      <c r="AB149" s="51"/>
      <c r="AC149" s="51"/>
      <c r="AD149" s="51"/>
    </row>
    <row r="150" spans="1:30" customForma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1"/>
      <c r="X150" s="51"/>
      <c r="Y150" s="216"/>
      <c r="Z150" s="216"/>
      <c r="AA150" s="51"/>
      <c r="AB150" s="51"/>
      <c r="AC150" s="51"/>
      <c r="AD150" s="51"/>
    </row>
    <row r="151" spans="1:30" customForma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1"/>
      <c r="X151" s="51"/>
      <c r="Y151" s="216"/>
      <c r="Z151" s="216"/>
      <c r="AA151" s="51"/>
      <c r="AB151" s="51"/>
      <c r="AC151" s="51"/>
      <c r="AD151" s="51"/>
    </row>
    <row r="152" spans="1:30" customForma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1"/>
      <c r="X152" s="51"/>
      <c r="Y152" s="216"/>
      <c r="Z152" s="216"/>
      <c r="AA152" s="51"/>
      <c r="AB152" s="51"/>
      <c r="AC152" s="51"/>
      <c r="AD152" s="51"/>
    </row>
    <row r="153" spans="1:30" customForma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1"/>
      <c r="X153" s="51"/>
      <c r="Y153" s="216"/>
      <c r="Z153" s="216"/>
      <c r="AA153" s="51"/>
      <c r="AB153" s="51"/>
      <c r="AC153" s="51"/>
      <c r="AD153" s="51"/>
    </row>
    <row r="154" spans="1:30" customForma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1"/>
      <c r="X154" s="51"/>
      <c r="Y154" s="216"/>
      <c r="Z154" s="216"/>
      <c r="AA154" s="51"/>
      <c r="AB154" s="51"/>
      <c r="AC154" s="51"/>
      <c r="AD154" s="51"/>
    </row>
    <row r="155" spans="1:30" customForma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1"/>
      <c r="X155" s="51"/>
      <c r="Y155" s="216"/>
      <c r="Z155" s="216"/>
      <c r="AA155" s="51"/>
      <c r="AB155" s="51"/>
      <c r="AC155" s="51"/>
      <c r="AD155" s="51"/>
    </row>
    <row r="156" spans="1:30" customForma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1"/>
      <c r="X156" s="51"/>
      <c r="Y156" s="216"/>
      <c r="Z156" s="216"/>
      <c r="AA156" s="51"/>
      <c r="AB156" s="51"/>
      <c r="AC156" s="51"/>
      <c r="AD156" s="51"/>
    </row>
    <row r="157" spans="1:30" customForma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1"/>
      <c r="X157" s="51"/>
      <c r="Y157" s="216"/>
      <c r="Z157" s="216"/>
      <c r="AA157" s="51"/>
      <c r="AB157" s="51"/>
      <c r="AC157" s="51"/>
      <c r="AD157" s="51"/>
    </row>
    <row r="158" spans="1:30" customForma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1"/>
      <c r="X158" s="51"/>
      <c r="Y158" s="216"/>
      <c r="Z158" s="216"/>
      <c r="AA158" s="51"/>
      <c r="AB158" s="51"/>
      <c r="AC158" s="51"/>
      <c r="AD158" s="51"/>
    </row>
    <row r="159" spans="1:30" customForma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1"/>
      <c r="X159" s="51"/>
      <c r="Y159" s="216"/>
      <c r="Z159" s="216"/>
      <c r="AA159" s="51"/>
      <c r="AB159" s="51"/>
      <c r="AC159" s="51"/>
      <c r="AD159" s="51"/>
    </row>
    <row r="160" spans="1:30" customForma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1"/>
      <c r="X160" s="51"/>
      <c r="Y160" s="216"/>
      <c r="Z160" s="216"/>
      <c r="AA160" s="51"/>
      <c r="AB160" s="51"/>
      <c r="AC160" s="51"/>
      <c r="AD160" s="51"/>
    </row>
    <row r="161" spans="1:30" customForma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1"/>
      <c r="X161" s="51"/>
      <c r="Y161" s="216"/>
      <c r="Z161" s="216"/>
      <c r="AA161" s="51"/>
      <c r="AB161" s="51"/>
      <c r="AC161" s="51"/>
      <c r="AD161" s="51"/>
    </row>
    <row r="162" spans="1:30" customForma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1"/>
      <c r="X162" s="51"/>
      <c r="Y162" s="216"/>
      <c r="Z162" s="216"/>
      <c r="AA162" s="51"/>
      <c r="AB162" s="51"/>
      <c r="AC162" s="51"/>
      <c r="AD162" s="51"/>
    </row>
    <row r="163" spans="1:30" customForma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1"/>
      <c r="X163" s="51"/>
      <c r="Y163" s="216"/>
      <c r="Z163" s="216"/>
      <c r="AA163" s="51"/>
      <c r="AB163" s="51"/>
      <c r="AC163" s="51"/>
      <c r="AD163" s="51"/>
    </row>
    <row r="164" spans="1:30" customForma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1"/>
      <c r="X164" s="51"/>
      <c r="Y164" s="216"/>
      <c r="Z164" s="216"/>
      <c r="AA164" s="51"/>
      <c r="AB164" s="51"/>
      <c r="AC164" s="51"/>
      <c r="AD164" s="51"/>
    </row>
    <row r="165" spans="1:30" customForma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1"/>
      <c r="X165" s="51"/>
      <c r="Y165" s="216"/>
      <c r="Z165" s="216"/>
      <c r="AA165" s="51"/>
      <c r="AB165" s="51"/>
      <c r="AC165" s="51"/>
      <c r="AD165" s="51"/>
    </row>
    <row r="166" spans="1:30" customForma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1"/>
      <c r="X166" s="51"/>
      <c r="Y166" s="216"/>
      <c r="Z166" s="216"/>
      <c r="AA166" s="51"/>
      <c r="AB166" s="51"/>
      <c r="AC166" s="51"/>
      <c r="AD166" s="51"/>
    </row>
    <row r="167" spans="1:30" customForma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1"/>
      <c r="X167" s="51"/>
      <c r="Y167" s="216"/>
      <c r="Z167" s="216"/>
      <c r="AA167" s="51"/>
      <c r="AB167" s="51"/>
      <c r="AC167" s="51"/>
      <c r="AD167" s="51"/>
    </row>
    <row r="168" spans="1:30" customForma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1"/>
      <c r="X168" s="51"/>
      <c r="Y168" s="216"/>
      <c r="Z168" s="216"/>
      <c r="AA168" s="51"/>
      <c r="AB168" s="51"/>
      <c r="AC168" s="51"/>
      <c r="AD168" s="51"/>
    </row>
    <row r="169" spans="1:30" customForma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1"/>
      <c r="X169" s="51"/>
      <c r="Y169" s="216"/>
      <c r="Z169" s="216"/>
      <c r="AA169" s="51"/>
      <c r="AB169" s="51"/>
      <c r="AC169" s="51"/>
      <c r="AD169" s="51"/>
    </row>
    <row r="170" spans="1:30" customForma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1"/>
      <c r="X170" s="51"/>
      <c r="Y170" s="216"/>
      <c r="Z170" s="216"/>
      <c r="AA170" s="51"/>
      <c r="AB170" s="51"/>
      <c r="AC170" s="51"/>
      <c r="AD170" s="51"/>
    </row>
    <row r="171" spans="1:30" customForma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1"/>
      <c r="X171" s="51"/>
      <c r="Y171" s="216"/>
      <c r="Z171" s="216"/>
      <c r="AA171" s="51"/>
      <c r="AB171" s="51"/>
      <c r="AC171" s="51"/>
      <c r="AD171" s="51"/>
    </row>
    <row r="172" spans="1:30" customForma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1"/>
      <c r="X172" s="51"/>
      <c r="Y172" s="216"/>
      <c r="Z172" s="216"/>
      <c r="AA172" s="51"/>
      <c r="AB172" s="51"/>
      <c r="AC172" s="51"/>
      <c r="AD172" s="51"/>
    </row>
    <row r="173" spans="1:30" customForma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1"/>
      <c r="X173" s="51"/>
      <c r="Y173" s="216"/>
      <c r="Z173" s="216"/>
      <c r="AA173" s="51"/>
      <c r="AB173" s="51"/>
      <c r="AC173" s="51"/>
      <c r="AD173" s="51"/>
    </row>
    <row r="174" spans="1:30" customForma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1"/>
      <c r="X174" s="51"/>
      <c r="Y174" s="216"/>
      <c r="Z174" s="216"/>
      <c r="AA174" s="51"/>
      <c r="AB174" s="51"/>
      <c r="AC174" s="51"/>
      <c r="AD174" s="51"/>
    </row>
    <row r="175" spans="1:30" customForma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1"/>
      <c r="X175" s="51"/>
      <c r="Y175" s="216"/>
      <c r="Z175" s="216"/>
      <c r="AA175" s="51"/>
      <c r="AB175" s="51"/>
      <c r="AC175" s="51"/>
      <c r="AD175" s="51"/>
    </row>
    <row r="176" spans="1:30" customForma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1"/>
      <c r="X176" s="51"/>
      <c r="Y176" s="216"/>
      <c r="Z176" s="216"/>
      <c r="AA176" s="51"/>
      <c r="AB176" s="51"/>
      <c r="AC176" s="51"/>
      <c r="AD176" s="51"/>
    </row>
    <row r="177" spans="1:30" customForma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1"/>
      <c r="X177" s="51"/>
      <c r="Y177" s="216"/>
      <c r="Z177" s="216"/>
      <c r="AA177" s="51"/>
      <c r="AB177" s="51"/>
      <c r="AC177" s="51"/>
      <c r="AD177" s="51"/>
    </row>
    <row r="178" spans="1:30" customForma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1"/>
      <c r="X178" s="51"/>
      <c r="Y178" s="216"/>
      <c r="Z178" s="216"/>
      <c r="AA178" s="51"/>
      <c r="AB178" s="51"/>
      <c r="AC178" s="51"/>
      <c r="AD178" s="51"/>
    </row>
    <row r="179" spans="1:30" customForma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1"/>
      <c r="X179" s="51"/>
      <c r="Y179" s="216"/>
      <c r="Z179" s="216"/>
      <c r="AA179" s="51"/>
      <c r="AB179" s="51"/>
      <c r="AC179" s="51"/>
      <c r="AD179" s="51"/>
    </row>
    <row r="180" spans="1:30" customForma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1"/>
      <c r="X180" s="51"/>
      <c r="Y180" s="216"/>
      <c r="Z180" s="216"/>
      <c r="AA180" s="51"/>
      <c r="AB180" s="51"/>
      <c r="AC180" s="51"/>
      <c r="AD180" s="51"/>
    </row>
    <row r="181" spans="1:30" customForma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1"/>
      <c r="X181" s="51"/>
      <c r="Y181" s="216"/>
      <c r="Z181" s="216"/>
      <c r="AA181" s="51"/>
      <c r="AB181" s="51"/>
      <c r="AC181" s="51"/>
      <c r="AD181" s="51"/>
    </row>
    <row r="182" spans="1:30" customForma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1"/>
      <c r="X182" s="51"/>
      <c r="Y182" s="216"/>
      <c r="Z182" s="216"/>
      <c r="AA182" s="51"/>
      <c r="AB182" s="51"/>
      <c r="AC182" s="51"/>
      <c r="AD182" s="51"/>
    </row>
    <row r="183" spans="1:30" customForma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1"/>
      <c r="X183" s="51"/>
      <c r="Y183" s="216"/>
      <c r="Z183" s="216"/>
      <c r="AA183" s="51"/>
      <c r="AB183" s="51"/>
      <c r="AC183" s="51"/>
      <c r="AD183" s="51"/>
    </row>
    <row r="184" spans="1:30" customForma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1"/>
      <c r="X184" s="51"/>
      <c r="Y184" s="216"/>
      <c r="Z184" s="216"/>
      <c r="AA184" s="51"/>
      <c r="AB184" s="51"/>
      <c r="AC184" s="51"/>
      <c r="AD184" s="51"/>
    </row>
    <row r="185" spans="1:30" customForma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1"/>
      <c r="X185" s="51"/>
      <c r="Y185" s="216"/>
      <c r="Z185" s="216"/>
      <c r="AA185" s="51"/>
      <c r="AB185" s="51"/>
      <c r="AC185" s="51"/>
      <c r="AD185" s="51"/>
    </row>
    <row r="186" spans="1:30" customForma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1"/>
      <c r="X186" s="51"/>
      <c r="Y186" s="216"/>
      <c r="Z186" s="216"/>
      <c r="AA186" s="51"/>
      <c r="AB186" s="51"/>
      <c r="AC186" s="51"/>
      <c r="AD186" s="51"/>
    </row>
    <row r="187" spans="1:30" customForma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1"/>
      <c r="X187" s="51"/>
      <c r="Y187" s="216"/>
      <c r="Z187" s="216"/>
      <c r="AA187" s="51"/>
      <c r="AB187" s="51"/>
      <c r="AC187" s="51"/>
      <c r="AD187" s="51"/>
    </row>
    <row r="188" spans="1:30" customForma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1"/>
      <c r="X188" s="51"/>
      <c r="Y188" s="216"/>
      <c r="Z188" s="216"/>
      <c r="AA188" s="51"/>
      <c r="AB188" s="51"/>
      <c r="AC188" s="51"/>
      <c r="AD188" s="51"/>
    </row>
    <row r="189" spans="1:30" customForma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1"/>
      <c r="X189" s="51"/>
      <c r="Y189" s="216"/>
      <c r="Z189" s="216"/>
      <c r="AA189" s="51"/>
      <c r="AB189" s="51"/>
      <c r="AC189" s="51"/>
      <c r="AD189" s="51"/>
    </row>
    <row r="190" spans="1:30" customForma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1"/>
      <c r="X190" s="51"/>
      <c r="Y190" s="216"/>
      <c r="Z190" s="216"/>
      <c r="AA190" s="51"/>
      <c r="AB190" s="51"/>
      <c r="AC190" s="51"/>
      <c r="AD190" s="51"/>
    </row>
    <row r="191" spans="1:30" customForma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1"/>
      <c r="X191" s="51"/>
      <c r="Y191" s="216"/>
      <c r="Z191" s="216"/>
      <c r="AA191" s="51"/>
      <c r="AB191" s="51"/>
      <c r="AC191" s="51"/>
      <c r="AD191" s="51"/>
    </row>
    <row r="192" spans="1:30" customForma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1"/>
      <c r="X192" s="51"/>
      <c r="Y192" s="216"/>
      <c r="Z192" s="216"/>
      <c r="AA192" s="51"/>
      <c r="AB192" s="51"/>
      <c r="AC192" s="51"/>
      <c r="AD192" s="51"/>
    </row>
    <row r="193" spans="1:30" customForma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1"/>
      <c r="X193" s="51"/>
      <c r="Y193" s="216"/>
      <c r="Z193" s="216"/>
      <c r="AA193" s="51"/>
      <c r="AB193" s="51"/>
      <c r="AC193" s="51"/>
      <c r="AD193" s="51"/>
    </row>
    <row r="194" spans="1:30" customForma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1"/>
      <c r="X194" s="51"/>
      <c r="Y194" s="216"/>
      <c r="Z194" s="216"/>
      <c r="AA194" s="51"/>
      <c r="AB194" s="51"/>
      <c r="AC194" s="51"/>
      <c r="AD194" s="51"/>
    </row>
    <row r="195" spans="1:30" customForma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1"/>
      <c r="X195" s="51"/>
      <c r="Y195" s="216"/>
      <c r="Z195" s="216"/>
      <c r="AA195" s="51"/>
      <c r="AB195" s="51"/>
      <c r="AC195" s="51"/>
      <c r="AD195" s="51"/>
    </row>
    <row r="196" spans="1:30" customForma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1"/>
      <c r="X196" s="51"/>
      <c r="Y196" s="216"/>
      <c r="Z196" s="216"/>
      <c r="AA196" s="51"/>
      <c r="AB196" s="51"/>
      <c r="AC196" s="51"/>
      <c r="AD196" s="51"/>
    </row>
    <row r="197" spans="1:30" customForma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1"/>
      <c r="X197" s="51"/>
      <c r="Y197" s="216"/>
      <c r="Z197" s="216"/>
      <c r="AA197" s="51"/>
      <c r="AB197" s="51"/>
      <c r="AC197" s="51"/>
      <c r="AD197" s="51"/>
    </row>
    <row r="198" spans="1:30" customForma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1"/>
      <c r="X198" s="51"/>
      <c r="Y198" s="216"/>
      <c r="Z198" s="216"/>
      <c r="AA198" s="51"/>
      <c r="AB198" s="51"/>
      <c r="AC198" s="51"/>
      <c r="AD198" s="51"/>
    </row>
    <row r="199" spans="1:30" customForma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1"/>
      <c r="X199" s="51"/>
      <c r="Y199" s="216"/>
      <c r="Z199" s="216"/>
      <c r="AA199" s="51"/>
      <c r="AB199" s="51"/>
      <c r="AC199" s="51"/>
      <c r="AD199" s="51"/>
    </row>
    <row r="200" spans="1:30" customForma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1"/>
      <c r="X200" s="51"/>
      <c r="Y200" s="216"/>
      <c r="Z200" s="216"/>
      <c r="AA200" s="51"/>
      <c r="AB200" s="51"/>
      <c r="AC200" s="51"/>
      <c r="AD200" s="51"/>
    </row>
    <row r="201" spans="1:30" customForma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1"/>
      <c r="X201" s="51"/>
      <c r="Y201" s="216"/>
      <c r="Z201" s="216"/>
      <c r="AA201" s="51"/>
      <c r="AB201" s="51"/>
      <c r="AC201" s="51"/>
      <c r="AD201" s="51"/>
    </row>
    <row r="202" spans="1:30" customForma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1"/>
      <c r="X202" s="51"/>
      <c r="Y202" s="216"/>
      <c r="Z202" s="216"/>
      <c r="AA202" s="51"/>
      <c r="AB202" s="51"/>
      <c r="AC202" s="51"/>
      <c r="AD202" s="51"/>
    </row>
    <row r="203" spans="1:30" customForma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1"/>
      <c r="X203" s="51"/>
      <c r="Y203" s="216"/>
      <c r="Z203" s="216"/>
      <c r="AA203" s="51"/>
      <c r="AB203" s="51"/>
      <c r="AC203" s="51"/>
      <c r="AD203" s="51"/>
    </row>
    <row r="204" spans="1:30" customForma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1"/>
      <c r="X204" s="51"/>
      <c r="Y204" s="216"/>
      <c r="Z204" s="216"/>
      <c r="AA204" s="51"/>
      <c r="AB204" s="51"/>
      <c r="AC204" s="51"/>
      <c r="AD204" s="51"/>
    </row>
    <row r="205" spans="1:30" customForma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1"/>
      <c r="X205" s="51"/>
      <c r="Y205" s="216"/>
      <c r="Z205" s="216"/>
      <c r="AA205" s="51"/>
      <c r="AB205" s="51"/>
      <c r="AC205" s="51"/>
      <c r="AD205" s="51"/>
    </row>
    <row r="206" spans="1:30" customForma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1"/>
      <c r="X206" s="51"/>
      <c r="Y206" s="216"/>
      <c r="Z206" s="216"/>
      <c r="AA206" s="51"/>
      <c r="AB206" s="51"/>
      <c r="AC206" s="51"/>
      <c r="AD206" s="51"/>
    </row>
    <row r="207" spans="1:30" customForma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1"/>
      <c r="X207" s="51"/>
      <c r="Y207" s="216"/>
      <c r="Z207" s="216"/>
      <c r="AA207" s="51"/>
      <c r="AB207" s="51"/>
      <c r="AC207" s="51"/>
      <c r="AD207" s="51"/>
    </row>
    <row r="208" spans="1:30" customForma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1"/>
      <c r="X208" s="51"/>
      <c r="Y208" s="216"/>
      <c r="Z208" s="216"/>
      <c r="AA208" s="51"/>
      <c r="AB208" s="51"/>
      <c r="AC208" s="51"/>
      <c r="AD208" s="51"/>
    </row>
    <row r="209" spans="1:30" customForma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1"/>
      <c r="X209" s="51"/>
      <c r="Y209" s="216"/>
      <c r="Z209" s="216"/>
      <c r="AA209" s="51"/>
      <c r="AB209" s="51"/>
      <c r="AC209" s="51"/>
      <c r="AD209" s="51"/>
    </row>
    <row r="210" spans="1:30" customForma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1"/>
      <c r="X210" s="51"/>
      <c r="Y210" s="216"/>
      <c r="Z210" s="216"/>
      <c r="AA210" s="51"/>
      <c r="AB210" s="51"/>
      <c r="AC210" s="51"/>
      <c r="AD210" s="51"/>
    </row>
    <row r="211" spans="1:30" customForma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1"/>
      <c r="X211" s="51"/>
      <c r="Y211" s="216"/>
      <c r="Z211" s="216"/>
      <c r="AA211" s="51"/>
      <c r="AB211" s="51"/>
      <c r="AC211" s="51"/>
      <c r="AD211" s="51"/>
    </row>
    <row r="212" spans="1:30" customForma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1"/>
      <c r="X212" s="51"/>
      <c r="Y212" s="216"/>
      <c r="Z212" s="216"/>
      <c r="AA212" s="51"/>
      <c r="AB212" s="51"/>
      <c r="AC212" s="51"/>
      <c r="AD212" s="51"/>
    </row>
    <row r="213" spans="1:30" customForma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1"/>
      <c r="X213" s="51"/>
      <c r="Y213" s="216"/>
      <c r="Z213" s="216"/>
      <c r="AA213" s="51"/>
      <c r="AB213" s="51"/>
      <c r="AC213" s="51"/>
      <c r="AD213" s="51"/>
    </row>
    <row r="214" spans="1:30" customForma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1"/>
      <c r="X214" s="51"/>
      <c r="Y214" s="216"/>
      <c r="Z214" s="216"/>
      <c r="AA214" s="51"/>
      <c r="AB214" s="51"/>
      <c r="AC214" s="51"/>
      <c r="AD214" s="51"/>
    </row>
    <row r="215" spans="1:30" customForma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1"/>
      <c r="X215" s="51"/>
      <c r="Y215" s="216"/>
      <c r="Z215" s="216"/>
      <c r="AA215" s="51"/>
      <c r="AB215" s="51"/>
      <c r="AC215" s="51"/>
      <c r="AD215" s="51"/>
    </row>
    <row r="216" spans="1:30" customForma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1"/>
      <c r="X216" s="51"/>
      <c r="Y216" s="216"/>
      <c r="Z216" s="216"/>
      <c r="AA216" s="51"/>
      <c r="AB216" s="51"/>
      <c r="AC216" s="51"/>
      <c r="AD216" s="51"/>
    </row>
    <row r="217" spans="1:30" customForma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1"/>
      <c r="X217" s="51"/>
      <c r="Y217" s="216"/>
      <c r="Z217" s="216"/>
      <c r="AA217" s="51"/>
      <c r="AB217" s="51"/>
      <c r="AC217" s="51"/>
      <c r="AD217" s="51"/>
    </row>
    <row r="218" spans="1:30" customForma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1"/>
      <c r="X218" s="51"/>
      <c r="Y218" s="216"/>
      <c r="Z218" s="216"/>
      <c r="AA218" s="51"/>
      <c r="AB218" s="51"/>
      <c r="AC218" s="51"/>
      <c r="AD218" s="51"/>
    </row>
    <row r="219" spans="1:30" customForma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1"/>
      <c r="X219" s="51"/>
      <c r="Y219" s="216"/>
      <c r="Z219" s="216"/>
      <c r="AA219" s="51"/>
      <c r="AB219" s="51"/>
      <c r="AC219" s="51"/>
      <c r="AD219" s="51"/>
    </row>
    <row r="220" spans="1:30" customForma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1"/>
      <c r="X220" s="51"/>
      <c r="Y220" s="216"/>
      <c r="Z220" s="216"/>
      <c r="AA220" s="51"/>
      <c r="AB220" s="51"/>
      <c r="AC220" s="51"/>
      <c r="AD220" s="51"/>
    </row>
    <row r="221" spans="1:30" customForma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1"/>
      <c r="X221" s="51"/>
      <c r="Y221" s="216"/>
      <c r="Z221" s="216"/>
      <c r="AA221" s="51"/>
      <c r="AB221" s="51"/>
      <c r="AC221" s="51"/>
      <c r="AD221" s="51"/>
    </row>
    <row r="222" spans="1:30" customForma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1"/>
      <c r="X222" s="51"/>
      <c r="Y222" s="216"/>
      <c r="Z222" s="216"/>
      <c r="AA222" s="51"/>
      <c r="AB222" s="51"/>
      <c r="AC222" s="51"/>
      <c r="AD222" s="51"/>
    </row>
    <row r="223" spans="1:30" customForma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1"/>
      <c r="X223" s="51"/>
      <c r="Y223" s="216"/>
      <c r="Z223" s="216"/>
      <c r="AA223" s="51"/>
      <c r="AB223" s="51"/>
      <c r="AC223" s="51"/>
      <c r="AD223" s="51"/>
    </row>
    <row r="224" spans="1:30" customForma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1"/>
      <c r="X224" s="51"/>
      <c r="Y224" s="216"/>
      <c r="Z224" s="216"/>
      <c r="AA224" s="51"/>
      <c r="AB224" s="51"/>
      <c r="AC224" s="51"/>
      <c r="AD224" s="51"/>
    </row>
    <row r="225" spans="1:30" customForma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1"/>
      <c r="X225" s="51"/>
      <c r="Y225" s="216"/>
      <c r="Z225" s="216"/>
      <c r="AA225" s="51"/>
      <c r="AB225" s="51"/>
      <c r="AC225" s="51"/>
      <c r="AD225" s="51"/>
    </row>
    <row r="226" spans="1:30" customForma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1"/>
      <c r="X226" s="51"/>
      <c r="Y226" s="216"/>
      <c r="Z226" s="216"/>
      <c r="AA226" s="51"/>
      <c r="AB226" s="51"/>
      <c r="AC226" s="51"/>
      <c r="AD226" s="51"/>
    </row>
    <row r="227" spans="1:30" customForma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1"/>
      <c r="X227" s="51"/>
      <c r="Y227" s="216"/>
      <c r="Z227" s="216"/>
      <c r="AA227" s="51"/>
      <c r="AB227" s="51"/>
      <c r="AC227" s="51"/>
      <c r="AD227" s="51"/>
    </row>
    <row r="228" spans="1:30" customForma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1"/>
      <c r="X228" s="51"/>
      <c r="Y228" s="216"/>
      <c r="Z228" s="216"/>
      <c r="AA228" s="51"/>
      <c r="AB228" s="51"/>
      <c r="AC228" s="51"/>
      <c r="AD228" s="51"/>
    </row>
    <row r="229" spans="1:30" customForma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1"/>
      <c r="X229" s="51"/>
      <c r="Y229" s="216"/>
      <c r="Z229" s="216"/>
      <c r="AA229" s="51"/>
      <c r="AB229" s="51"/>
      <c r="AC229" s="51"/>
      <c r="AD229" s="51"/>
    </row>
    <row r="230" spans="1:30" customForma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1"/>
      <c r="X230" s="51"/>
      <c r="Y230" s="216"/>
      <c r="Z230" s="216"/>
      <c r="AA230" s="51"/>
      <c r="AB230" s="51"/>
      <c r="AC230" s="51"/>
      <c r="AD230" s="51"/>
    </row>
    <row r="231" spans="1:30" customForma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1"/>
      <c r="X231" s="51"/>
      <c r="Y231" s="216"/>
      <c r="Z231" s="216"/>
      <c r="AA231" s="51"/>
      <c r="AB231" s="51"/>
      <c r="AC231" s="51"/>
      <c r="AD231" s="51"/>
    </row>
    <row r="232" spans="1:30" customForma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1"/>
      <c r="X232" s="51"/>
      <c r="Y232" s="216"/>
      <c r="Z232" s="216"/>
      <c r="AA232" s="51"/>
      <c r="AB232" s="51"/>
      <c r="AC232" s="51"/>
      <c r="AD232" s="51"/>
    </row>
    <row r="233" spans="1:30" customForma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1"/>
      <c r="X233" s="51"/>
      <c r="Y233" s="216"/>
      <c r="Z233" s="216"/>
      <c r="AA233" s="51"/>
      <c r="AB233" s="51"/>
      <c r="AC233" s="51"/>
      <c r="AD233" s="51"/>
    </row>
    <row r="234" spans="1:30" customForma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1"/>
      <c r="X234" s="51"/>
      <c r="Y234" s="216"/>
      <c r="Z234" s="216"/>
      <c r="AA234" s="51"/>
      <c r="AB234" s="51"/>
      <c r="AC234" s="51"/>
      <c r="AD234" s="51"/>
    </row>
    <row r="235" spans="1:30" customForma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1"/>
      <c r="X235" s="51"/>
      <c r="Y235" s="216"/>
      <c r="Z235" s="216"/>
      <c r="AA235" s="51"/>
      <c r="AB235" s="51"/>
      <c r="AC235" s="51"/>
      <c r="AD235" s="51"/>
    </row>
    <row r="236" spans="1:30" customForma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1"/>
      <c r="X236" s="51"/>
      <c r="Y236" s="216"/>
      <c r="Z236" s="216"/>
      <c r="AA236" s="51"/>
      <c r="AB236" s="51"/>
      <c r="AC236" s="51"/>
      <c r="AD236" s="51"/>
    </row>
    <row r="237" spans="1:30" customForma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1"/>
      <c r="X237" s="51"/>
      <c r="Y237" s="216"/>
      <c r="Z237" s="216"/>
      <c r="AA237" s="51"/>
      <c r="AB237" s="51"/>
      <c r="AC237" s="51"/>
      <c r="AD237" s="51"/>
    </row>
    <row r="238" spans="1:30" customForma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1"/>
      <c r="X238" s="51"/>
      <c r="Y238" s="216"/>
      <c r="Z238" s="216"/>
      <c r="AA238" s="51"/>
      <c r="AB238" s="51"/>
      <c r="AC238" s="51"/>
      <c r="AD238" s="51"/>
    </row>
    <row r="239" spans="1:30" customForma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1"/>
      <c r="X239" s="51"/>
      <c r="Y239" s="216"/>
      <c r="Z239" s="216"/>
      <c r="AA239" s="51"/>
      <c r="AB239" s="51"/>
      <c r="AC239" s="51"/>
      <c r="AD239" s="51"/>
    </row>
    <row r="240" spans="1:30" customForma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1"/>
      <c r="X240" s="51"/>
      <c r="Y240" s="216"/>
      <c r="Z240" s="216"/>
      <c r="AA240" s="51"/>
      <c r="AB240" s="51"/>
      <c r="AC240" s="51"/>
      <c r="AD240" s="51"/>
    </row>
    <row r="241" spans="1:30" customForma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1"/>
      <c r="X241" s="51"/>
      <c r="Y241" s="216"/>
      <c r="Z241" s="216"/>
      <c r="AA241" s="51"/>
      <c r="AB241" s="51"/>
      <c r="AC241" s="51"/>
      <c r="AD241" s="51"/>
    </row>
    <row r="242" spans="1:30" customForma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1"/>
      <c r="X242" s="51"/>
      <c r="Y242" s="216"/>
      <c r="Z242" s="216"/>
      <c r="AA242" s="51"/>
      <c r="AB242" s="51"/>
      <c r="AC242" s="51"/>
      <c r="AD242" s="51"/>
    </row>
    <row r="243" spans="1:30" customForma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1"/>
      <c r="X243" s="51"/>
      <c r="Y243" s="216"/>
      <c r="Z243" s="216"/>
      <c r="AA243" s="51"/>
      <c r="AB243" s="51"/>
      <c r="AC243" s="51"/>
      <c r="AD243" s="51"/>
    </row>
    <row r="244" spans="1:30" customForma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1"/>
      <c r="X244" s="51"/>
      <c r="Y244" s="216"/>
      <c r="Z244" s="216"/>
      <c r="AA244" s="51"/>
      <c r="AB244" s="51"/>
      <c r="AC244" s="51"/>
      <c r="AD244" s="51"/>
    </row>
    <row r="245" spans="1:30" customForma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1"/>
      <c r="X245" s="51"/>
      <c r="Y245" s="216"/>
      <c r="Z245" s="216"/>
      <c r="AA245" s="51"/>
      <c r="AB245" s="51"/>
      <c r="AC245" s="51"/>
      <c r="AD245" s="51"/>
    </row>
    <row r="246" spans="1:30" customFormat="1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1"/>
      <c r="X246" s="51"/>
      <c r="Y246" s="216"/>
      <c r="Z246" s="216"/>
      <c r="AA246" s="51"/>
      <c r="AB246" s="51"/>
      <c r="AC246" s="51"/>
      <c r="AD246" s="51"/>
    </row>
    <row r="247" spans="1:30" customFormat="1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1"/>
      <c r="X247" s="51"/>
      <c r="Y247" s="216"/>
      <c r="Z247" s="216"/>
      <c r="AA247" s="51"/>
      <c r="AB247" s="51"/>
      <c r="AC247" s="51"/>
      <c r="AD247" s="51"/>
    </row>
    <row r="248" spans="1:30" customFormat="1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1"/>
      <c r="X248" s="51"/>
      <c r="Y248" s="216"/>
      <c r="Z248" s="216"/>
      <c r="AA248" s="51"/>
      <c r="AB248" s="51"/>
      <c r="AC248" s="51"/>
      <c r="AD248" s="51"/>
    </row>
    <row r="249" spans="1:30" customFormat="1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1"/>
      <c r="X249" s="51"/>
      <c r="Y249" s="216"/>
      <c r="Z249" s="216"/>
      <c r="AA249" s="51"/>
      <c r="AB249" s="51"/>
      <c r="AC249" s="51"/>
      <c r="AD249" s="51"/>
    </row>
    <row r="250" spans="1:30" customFormat="1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1"/>
      <c r="X250" s="51"/>
      <c r="Y250" s="216"/>
      <c r="Z250" s="216"/>
      <c r="AA250" s="51"/>
      <c r="AB250" s="51"/>
      <c r="AC250" s="51"/>
      <c r="AD250" s="51"/>
    </row>
    <row r="251" spans="1:30" customFormat="1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1"/>
      <c r="X251" s="51"/>
      <c r="Y251" s="216"/>
      <c r="Z251" s="216"/>
      <c r="AA251" s="51"/>
      <c r="AB251" s="51"/>
      <c r="AC251" s="51"/>
      <c r="AD251" s="51"/>
    </row>
    <row r="252" spans="1:30" customFormat="1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1"/>
      <c r="X252" s="51"/>
      <c r="Y252" s="216"/>
      <c r="Z252" s="216"/>
      <c r="AA252" s="51"/>
      <c r="AB252" s="51"/>
      <c r="AC252" s="51"/>
      <c r="AD252" s="51"/>
    </row>
    <row r="253" spans="1:30" customFormat="1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1"/>
      <c r="X253" s="51"/>
      <c r="Y253" s="216"/>
      <c r="Z253" s="216"/>
      <c r="AA253" s="51"/>
      <c r="AB253" s="51"/>
      <c r="AC253" s="51"/>
      <c r="AD253" s="51"/>
    </row>
    <row r="254" spans="1:30" customFormat="1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1"/>
      <c r="X254" s="51"/>
      <c r="Y254" s="216"/>
      <c r="Z254" s="216"/>
      <c r="AA254" s="51"/>
      <c r="AB254" s="51"/>
      <c r="AC254" s="51"/>
      <c r="AD254" s="51"/>
    </row>
    <row r="255" spans="1:30" customForma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1"/>
      <c r="X255" s="51"/>
      <c r="Y255" s="216"/>
      <c r="Z255" s="216"/>
      <c r="AA255" s="51"/>
      <c r="AB255" s="51"/>
      <c r="AC255" s="51"/>
      <c r="AD255" s="51"/>
    </row>
    <row r="256" spans="1:30" customForma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1"/>
      <c r="X256" s="51"/>
      <c r="Y256" s="216"/>
      <c r="Z256" s="216"/>
      <c r="AA256" s="51"/>
      <c r="AB256" s="51"/>
      <c r="AC256" s="51"/>
      <c r="AD256" s="51"/>
    </row>
    <row r="257" spans="1:30" customFormat="1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1"/>
      <c r="X257" s="51"/>
      <c r="Y257" s="216"/>
      <c r="Z257" s="216"/>
      <c r="AA257" s="51"/>
      <c r="AB257" s="51"/>
      <c r="AC257" s="51"/>
      <c r="AD257" s="51"/>
    </row>
    <row r="258" spans="1:30" customFormat="1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1"/>
      <c r="X258" s="51"/>
      <c r="Y258" s="216"/>
      <c r="Z258" s="216"/>
      <c r="AA258" s="51"/>
      <c r="AB258" s="51"/>
      <c r="AC258" s="51"/>
      <c r="AD258" s="51"/>
    </row>
    <row r="259" spans="1:30" customFormat="1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1"/>
      <c r="X259" s="51"/>
      <c r="Y259" s="216"/>
      <c r="Z259" s="216"/>
      <c r="AA259" s="51"/>
      <c r="AB259" s="51"/>
      <c r="AC259" s="51"/>
      <c r="AD259" s="51"/>
    </row>
    <row r="260" spans="1:30" customFormat="1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1"/>
      <c r="X260" s="51"/>
      <c r="Y260" s="216"/>
      <c r="Z260" s="216"/>
      <c r="AA260" s="51"/>
      <c r="AB260" s="51"/>
      <c r="AC260" s="51"/>
      <c r="AD260" s="51"/>
    </row>
    <row r="261" spans="1:30" customFormat="1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1"/>
      <c r="X261" s="51"/>
      <c r="Y261" s="216"/>
      <c r="Z261" s="216"/>
      <c r="AA261" s="51"/>
      <c r="AB261" s="51"/>
      <c r="AC261" s="51"/>
      <c r="AD261" s="51"/>
    </row>
    <row r="262" spans="1:30" customFormat="1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1"/>
      <c r="X262" s="51"/>
      <c r="Y262" s="216"/>
      <c r="Z262" s="216"/>
      <c r="AA262" s="51"/>
      <c r="AB262" s="51"/>
      <c r="AC262" s="51"/>
      <c r="AD262" s="51"/>
    </row>
    <row r="263" spans="1:30" customFormat="1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1"/>
      <c r="X263" s="51"/>
      <c r="Y263" s="216"/>
      <c r="Z263" s="216"/>
      <c r="AA263" s="51"/>
      <c r="AB263" s="51"/>
      <c r="AC263" s="51"/>
      <c r="AD263" s="51"/>
    </row>
    <row r="264" spans="1:30" customForma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1"/>
      <c r="X264" s="51"/>
      <c r="Y264" s="216"/>
      <c r="Z264" s="216"/>
      <c r="AA264" s="51"/>
      <c r="AB264" s="51"/>
      <c r="AC264" s="51"/>
      <c r="AD264" s="51"/>
    </row>
    <row r="265" spans="1:30" customForma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1"/>
      <c r="X265" s="51"/>
      <c r="Y265" s="216"/>
      <c r="Z265" s="216"/>
      <c r="AA265" s="51"/>
      <c r="AB265" s="51"/>
      <c r="AC265" s="51"/>
      <c r="AD265" s="51"/>
    </row>
    <row r="266" spans="1:30" customForma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1"/>
      <c r="X266" s="51"/>
      <c r="Y266" s="216"/>
      <c r="Z266" s="216"/>
      <c r="AA266" s="51"/>
      <c r="AB266" s="51"/>
      <c r="AC266" s="51"/>
      <c r="AD266" s="51"/>
    </row>
    <row r="267" spans="1:30" customForma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1"/>
      <c r="X267" s="51"/>
      <c r="Y267" s="216"/>
      <c r="Z267" s="216"/>
      <c r="AA267" s="51"/>
      <c r="AB267" s="51"/>
      <c r="AC267" s="51"/>
      <c r="AD267" s="51"/>
    </row>
    <row r="268" spans="1:30" customForma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1"/>
      <c r="X268" s="51"/>
      <c r="Y268" s="216"/>
      <c r="Z268" s="216"/>
      <c r="AA268" s="51"/>
      <c r="AB268" s="51"/>
      <c r="AC268" s="51"/>
      <c r="AD268" s="51"/>
    </row>
    <row r="269" spans="1:30" customForma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1"/>
      <c r="X269" s="51"/>
      <c r="Y269" s="216"/>
      <c r="Z269" s="216"/>
      <c r="AA269" s="51"/>
      <c r="AB269" s="51"/>
      <c r="AC269" s="51"/>
      <c r="AD269" s="51"/>
    </row>
    <row r="270" spans="1:30" customForma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1"/>
      <c r="X270" s="51"/>
      <c r="Y270" s="216"/>
      <c r="Z270" s="216"/>
      <c r="AA270" s="51"/>
      <c r="AB270" s="51"/>
      <c r="AC270" s="51"/>
      <c r="AD270" s="51"/>
    </row>
    <row r="271" spans="1:30" customForma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1"/>
      <c r="X271" s="51"/>
      <c r="Y271" s="216"/>
      <c r="Z271" s="216"/>
      <c r="AA271" s="51"/>
      <c r="AB271" s="51"/>
      <c r="AC271" s="51"/>
      <c r="AD271" s="51"/>
    </row>
    <row r="272" spans="1:30" customFormat="1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1"/>
      <c r="X272" s="51"/>
      <c r="Y272" s="216"/>
      <c r="Z272" s="216"/>
      <c r="AA272" s="51"/>
      <c r="AB272" s="51"/>
      <c r="AC272" s="51"/>
      <c r="AD272" s="51"/>
    </row>
    <row r="273" spans="1:30" customFormat="1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1"/>
      <c r="X273" s="51"/>
      <c r="Y273" s="216"/>
      <c r="Z273" s="216"/>
      <c r="AA273" s="51"/>
      <c r="AB273" s="51"/>
      <c r="AC273" s="51"/>
      <c r="AD273" s="51"/>
    </row>
    <row r="274" spans="1:30" customFormat="1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1"/>
      <c r="X274" s="51"/>
      <c r="Y274" s="216"/>
      <c r="Z274" s="216"/>
      <c r="AA274" s="51"/>
      <c r="AB274" s="51"/>
      <c r="AC274" s="51"/>
      <c r="AD274" s="51"/>
    </row>
    <row r="275" spans="1:30" customFormat="1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1"/>
      <c r="X275" s="51"/>
      <c r="Y275" s="216"/>
      <c r="Z275" s="216"/>
      <c r="AA275" s="51"/>
      <c r="AB275" s="51"/>
      <c r="AC275" s="51"/>
      <c r="AD275" s="51"/>
    </row>
    <row r="276" spans="1:30" customFormat="1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1"/>
      <c r="X276" s="51"/>
      <c r="Y276" s="216"/>
      <c r="Z276" s="216"/>
      <c r="AA276" s="51"/>
      <c r="AB276" s="51"/>
      <c r="AC276" s="51"/>
      <c r="AD276" s="51"/>
    </row>
    <row r="277" spans="1:30" customFormat="1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1"/>
      <c r="X277" s="51"/>
      <c r="Y277" s="216"/>
      <c r="Z277" s="216"/>
      <c r="AA277" s="51"/>
      <c r="AB277" s="51"/>
      <c r="AC277" s="51"/>
      <c r="AD277" s="51"/>
    </row>
    <row r="278" spans="1:30" customFormat="1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1"/>
      <c r="X278" s="51"/>
      <c r="Y278" s="216"/>
      <c r="Z278" s="216"/>
      <c r="AA278" s="51"/>
      <c r="AB278" s="51"/>
      <c r="AC278" s="51"/>
      <c r="AD278" s="51"/>
    </row>
    <row r="279" spans="1:30" customFormat="1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1"/>
      <c r="X279" s="51"/>
      <c r="Y279" s="216"/>
      <c r="Z279" s="216"/>
      <c r="AA279" s="51"/>
      <c r="AB279" s="51"/>
      <c r="AC279" s="51"/>
      <c r="AD279" s="51"/>
    </row>
    <row r="280" spans="1:30" customFormat="1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1"/>
      <c r="X280" s="51"/>
      <c r="Y280" s="216"/>
      <c r="Z280" s="216"/>
      <c r="AA280" s="51"/>
      <c r="AB280" s="51"/>
      <c r="AC280" s="51"/>
      <c r="AD280" s="51"/>
    </row>
    <row r="281" spans="1:30" customFormat="1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1"/>
      <c r="X281" s="51"/>
      <c r="Y281" s="216"/>
      <c r="Z281" s="216"/>
      <c r="AA281" s="51"/>
      <c r="AB281" s="51"/>
      <c r="AC281" s="51"/>
      <c r="AD281" s="51"/>
    </row>
    <row r="282" spans="1:30" customFormat="1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1"/>
      <c r="X282" s="51"/>
      <c r="Y282" s="216"/>
      <c r="Z282" s="216"/>
      <c r="AA282" s="51"/>
      <c r="AB282" s="51"/>
      <c r="AC282" s="51"/>
      <c r="AD282" s="51"/>
    </row>
    <row r="283" spans="1:30" customFormat="1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1"/>
      <c r="X283" s="51"/>
      <c r="Y283" s="216"/>
      <c r="Z283" s="216"/>
      <c r="AA283" s="51"/>
      <c r="AB283" s="51"/>
      <c r="AC283" s="51"/>
      <c r="AD283" s="51"/>
    </row>
    <row r="284" spans="1:30" customFormat="1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1"/>
      <c r="X284" s="51"/>
      <c r="Y284" s="216"/>
      <c r="Z284" s="216"/>
      <c r="AA284" s="51"/>
      <c r="AB284" s="51"/>
      <c r="AC284" s="51"/>
      <c r="AD284" s="51"/>
    </row>
    <row r="285" spans="1:30" customFormat="1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1"/>
      <c r="X285" s="51"/>
      <c r="Y285" s="216"/>
      <c r="Z285" s="216"/>
      <c r="AA285" s="51"/>
      <c r="AB285" s="51"/>
      <c r="AC285" s="51"/>
      <c r="AD285" s="51"/>
    </row>
    <row r="286" spans="1:30" customFormat="1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1"/>
      <c r="X286" s="51"/>
      <c r="Y286" s="216"/>
      <c r="Z286" s="216"/>
      <c r="AA286" s="51"/>
      <c r="AB286" s="51"/>
      <c r="AC286" s="51"/>
      <c r="AD286" s="51"/>
    </row>
    <row r="287" spans="1:30" customFormat="1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1"/>
      <c r="X287" s="51"/>
      <c r="Y287" s="216"/>
      <c r="Z287" s="216"/>
      <c r="AA287" s="51"/>
      <c r="AB287" s="51"/>
      <c r="AC287" s="51"/>
      <c r="AD287" s="51"/>
    </row>
    <row r="288" spans="1:30" customFormat="1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1"/>
      <c r="X288" s="51"/>
      <c r="Y288" s="216"/>
      <c r="Z288" s="216"/>
      <c r="AA288" s="51"/>
      <c r="AB288" s="51"/>
      <c r="AC288" s="51"/>
      <c r="AD288" s="51"/>
    </row>
    <row r="289" spans="1:30" customFormat="1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1"/>
      <c r="X289" s="51"/>
      <c r="Y289" s="216"/>
      <c r="Z289" s="216"/>
      <c r="AA289" s="51"/>
      <c r="AB289" s="51"/>
      <c r="AC289" s="51"/>
      <c r="AD289" s="51"/>
    </row>
    <row r="290" spans="1:30" customFormat="1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1"/>
      <c r="X290" s="51"/>
      <c r="Y290" s="216"/>
      <c r="Z290" s="216"/>
      <c r="AA290" s="51"/>
      <c r="AB290" s="51"/>
      <c r="AC290" s="51"/>
      <c r="AD290" s="51"/>
    </row>
    <row r="291" spans="1:30" customFormat="1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1"/>
      <c r="X291" s="51"/>
      <c r="Y291" s="216"/>
      <c r="Z291" s="216"/>
      <c r="AA291" s="51"/>
      <c r="AB291" s="51"/>
      <c r="AC291" s="51"/>
      <c r="AD291" s="51"/>
    </row>
    <row r="292" spans="1:30" customFormat="1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1"/>
      <c r="X292" s="51"/>
      <c r="Y292" s="216"/>
      <c r="Z292" s="216"/>
      <c r="AA292" s="51"/>
      <c r="AB292" s="51"/>
      <c r="AC292" s="51"/>
      <c r="AD292" s="51"/>
    </row>
    <row r="293" spans="1:30" customFormat="1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1"/>
      <c r="X293" s="51"/>
      <c r="Y293" s="216"/>
      <c r="Z293" s="216"/>
      <c r="AA293" s="51"/>
      <c r="AB293" s="51"/>
      <c r="AC293" s="51"/>
      <c r="AD293" s="51"/>
    </row>
    <row r="294" spans="1:30" customFormat="1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1"/>
      <c r="X294" s="51"/>
      <c r="Y294" s="216"/>
      <c r="Z294" s="216"/>
      <c r="AA294" s="51"/>
      <c r="AB294" s="51"/>
      <c r="AC294" s="51"/>
      <c r="AD294" s="51"/>
    </row>
    <row r="295" spans="1:30" customForma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1"/>
      <c r="X295" s="51"/>
      <c r="Y295" s="216"/>
      <c r="Z295" s="216"/>
      <c r="AA295" s="51"/>
      <c r="AB295" s="51"/>
      <c r="AC295" s="51"/>
      <c r="AD295" s="51"/>
    </row>
    <row r="296" spans="1:30" customFormat="1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1"/>
      <c r="X296" s="51"/>
      <c r="Y296" s="216"/>
      <c r="Z296" s="216"/>
      <c r="AA296" s="51"/>
      <c r="AB296" s="51"/>
      <c r="AC296" s="51"/>
      <c r="AD296" s="51"/>
    </row>
    <row r="297" spans="1:30" customForma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1"/>
      <c r="X297" s="51"/>
      <c r="Y297" s="216"/>
      <c r="Z297" s="216"/>
      <c r="AA297" s="51"/>
      <c r="AB297" s="51"/>
      <c r="AC297" s="51"/>
      <c r="AD297" s="51"/>
    </row>
    <row r="298" spans="1:30" customForma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1"/>
      <c r="X298" s="51"/>
      <c r="Y298" s="216"/>
      <c r="Z298" s="216"/>
      <c r="AA298" s="51"/>
      <c r="AB298" s="51"/>
      <c r="AC298" s="51"/>
      <c r="AD298" s="51"/>
    </row>
    <row r="299" spans="1:30" customForma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1"/>
      <c r="X299" s="51"/>
      <c r="Y299" s="216"/>
      <c r="Z299" s="216"/>
      <c r="AA299" s="51"/>
      <c r="AB299" s="51"/>
      <c r="AC299" s="51"/>
      <c r="AD299" s="51"/>
    </row>
    <row r="300" spans="1:30" customFormat="1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1"/>
      <c r="X300" s="51"/>
      <c r="Y300" s="216"/>
      <c r="Z300" s="216"/>
      <c r="AA300" s="51"/>
      <c r="AB300" s="51"/>
      <c r="AC300" s="51"/>
      <c r="AD300" s="51"/>
    </row>
    <row r="301" spans="1:30" customFormat="1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1"/>
      <c r="X301" s="51"/>
      <c r="Y301" s="216"/>
      <c r="Z301" s="216"/>
      <c r="AA301" s="51"/>
      <c r="AB301" s="51"/>
      <c r="AC301" s="51"/>
      <c r="AD301" s="51"/>
    </row>
    <row r="302" spans="1:30" customFormat="1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1"/>
      <c r="X302" s="51"/>
      <c r="Y302" s="216"/>
      <c r="Z302" s="216"/>
      <c r="AA302" s="51"/>
      <c r="AB302" s="51"/>
      <c r="AC302" s="51"/>
      <c r="AD302" s="51"/>
    </row>
    <row r="303" spans="1:30" customFormat="1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1"/>
      <c r="X303" s="51"/>
      <c r="Y303" s="216"/>
      <c r="Z303" s="216"/>
      <c r="AA303" s="51"/>
      <c r="AB303" s="51"/>
      <c r="AC303" s="51"/>
      <c r="AD303" s="51"/>
    </row>
    <row r="304" spans="1:30" customFormat="1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1"/>
      <c r="X304" s="51"/>
      <c r="Y304" s="216"/>
      <c r="Z304" s="216"/>
      <c r="AA304" s="51"/>
      <c r="AB304" s="51"/>
      <c r="AC304" s="51"/>
      <c r="AD304" s="51"/>
    </row>
    <row r="305" spans="1:30" customFormat="1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1"/>
      <c r="X305" s="51"/>
      <c r="Y305" s="216"/>
      <c r="Z305" s="216"/>
      <c r="AA305" s="51"/>
      <c r="AB305" s="51"/>
      <c r="AC305" s="51"/>
      <c r="AD305" s="51"/>
    </row>
    <row r="306" spans="1:30" customFormat="1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1"/>
      <c r="X306" s="51"/>
      <c r="Y306" s="216"/>
      <c r="Z306" s="216"/>
      <c r="AA306" s="51"/>
      <c r="AB306" s="51"/>
      <c r="AC306" s="51"/>
      <c r="AD306" s="51"/>
    </row>
    <row r="307" spans="1:30" customFormat="1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1"/>
      <c r="X307" s="51"/>
      <c r="Y307" s="216"/>
      <c r="Z307" s="216"/>
      <c r="AA307" s="51"/>
      <c r="AB307" s="51"/>
      <c r="AC307" s="51"/>
      <c r="AD307" s="51"/>
    </row>
    <row r="308" spans="1:30" customFormat="1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1"/>
      <c r="X308" s="51"/>
      <c r="Y308" s="216"/>
      <c r="Z308" s="216"/>
      <c r="AA308" s="51"/>
      <c r="AB308" s="51"/>
      <c r="AC308" s="51"/>
      <c r="AD308" s="51"/>
    </row>
    <row r="309" spans="1:30" customFormat="1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1"/>
      <c r="X309" s="51"/>
      <c r="Y309" s="216"/>
      <c r="Z309" s="216"/>
      <c r="AA309" s="51"/>
      <c r="AB309" s="51"/>
      <c r="AC309" s="51"/>
      <c r="AD309" s="51"/>
    </row>
    <row r="310" spans="1:30" customFormat="1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1"/>
      <c r="X310" s="51"/>
      <c r="Y310" s="216"/>
      <c r="Z310" s="216"/>
      <c r="AA310" s="51"/>
      <c r="AB310" s="51"/>
      <c r="AC310" s="51"/>
      <c r="AD310" s="51"/>
    </row>
    <row r="311" spans="1:30" customFormat="1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1"/>
      <c r="X311" s="51"/>
      <c r="Y311" s="216"/>
      <c r="Z311" s="216"/>
      <c r="AA311" s="51"/>
      <c r="AB311" s="51"/>
      <c r="AC311" s="51"/>
      <c r="AD311" s="51"/>
    </row>
    <row r="312" spans="1:30" customFormat="1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1"/>
      <c r="X312" s="51"/>
      <c r="Y312" s="216"/>
      <c r="Z312" s="216"/>
      <c r="AA312" s="51"/>
      <c r="AB312" s="51"/>
      <c r="AC312" s="51"/>
      <c r="AD312" s="51"/>
    </row>
    <row r="313" spans="1:30" customFormat="1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1"/>
      <c r="X313" s="51"/>
      <c r="Y313" s="216"/>
      <c r="Z313" s="216"/>
      <c r="AA313" s="51"/>
      <c r="AB313" s="51"/>
      <c r="AC313" s="51"/>
      <c r="AD313" s="51"/>
    </row>
    <row r="314" spans="1:30" customFormat="1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1"/>
      <c r="X314" s="51"/>
      <c r="Y314" s="216"/>
      <c r="Z314" s="216"/>
      <c r="AA314" s="51"/>
      <c r="AB314" s="51"/>
      <c r="AC314" s="51"/>
      <c r="AD314" s="51"/>
    </row>
    <row r="315" spans="1:30" customFormat="1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1"/>
      <c r="X315" s="51"/>
      <c r="Y315" s="216"/>
      <c r="Z315" s="216"/>
      <c r="AA315" s="51"/>
      <c r="AB315" s="51"/>
      <c r="AC315" s="51"/>
      <c r="AD315" s="51"/>
    </row>
    <row r="316" spans="1:30" customFormat="1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1"/>
      <c r="X316" s="51"/>
      <c r="Y316" s="216"/>
      <c r="Z316" s="216"/>
      <c r="AA316" s="51"/>
      <c r="AB316" s="51"/>
      <c r="AC316" s="51"/>
      <c r="AD316" s="51"/>
    </row>
    <row r="317" spans="1:30" customFormat="1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1"/>
      <c r="X317" s="51"/>
      <c r="Y317" s="216"/>
      <c r="Z317" s="216"/>
      <c r="AA317" s="51"/>
      <c r="AB317" s="51"/>
      <c r="AC317" s="51"/>
      <c r="AD317" s="51"/>
    </row>
    <row r="318" spans="1:30" customFormat="1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1"/>
      <c r="X318" s="51"/>
      <c r="Y318" s="216"/>
      <c r="Z318" s="216"/>
      <c r="AA318" s="51"/>
      <c r="AB318" s="51"/>
      <c r="AC318" s="51"/>
      <c r="AD318" s="51"/>
    </row>
    <row r="319" spans="1:30" customFormat="1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1"/>
      <c r="X319" s="51"/>
      <c r="Y319" s="216"/>
      <c r="Z319" s="216"/>
      <c r="AA319" s="51"/>
      <c r="AB319" s="51"/>
      <c r="AC319" s="51"/>
      <c r="AD319" s="51"/>
    </row>
    <row r="320" spans="1:30" customFormat="1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1"/>
      <c r="X320" s="51"/>
      <c r="Y320" s="216"/>
      <c r="Z320" s="216"/>
      <c r="AA320" s="51"/>
      <c r="AB320" s="51"/>
      <c r="AC320" s="51"/>
      <c r="AD320" s="51"/>
    </row>
    <row r="321" spans="1:30" customFormat="1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1"/>
      <c r="X321" s="51"/>
      <c r="Y321" s="216"/>
      <c r="Z321" s="216"/>
      <c r="AA321" s="51"/>
      <c r="AB321" s="51"/>
      <c r="AC321" s="51"/>
      <c r="AD321" s="51"/>
    </row>
    <row r="322" spans="1:30" customFormat="1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1"/>
      <c r="X322" s="51"/>
      <c r="Y322" s="216"/>
      <c r="Z322" s="216"/>
      <c r="AA322" s="51"/>
      <c r="AB322" s="51"/>
      <c r="AC322" s="51"/>
      <c r="AD322" s="51"/>
    </row>
    <row r="323" spans="1:30" customFormat="1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1"/>
      <c r="X323" s="51"/>
      <c r="Y323" s="216"/>
      <c r="Z323" s="216"/>
      <c r="AA323" s="51"/>
      <c r="AB323" s="51"/>
      <c r="AC323" s="51"/>
      <c r="AD323" s="51"/>
    </row>
    <row r="324" spans="1:30" customFormat="1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1"/>
      <c r="X324" s="51"/>
      <c r="Y324" s="216"/>
      <c r="Z324" s="216"/>
      <c r="AA324" s="51"/>
      <c r="AB324" s="51"/>
      <c r="AC324" s="51"/>
      <c r="AD324" s="51"/>
    </row>
    <row r="325" spans="1:30" customFormat="1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1"/>
      <c r="X325" s="51"/>
      <c r="Y325" s="216"/>
      <c r="Z325" s="216"/>
      <c r="AA325" s="51"/>
      <c r="AB325" s="51"/>
      <c r="AC325" s="51"/>
      <c r="AD325" s="51"/>
    </row>
    <row r="326" spans="1:30" customFormat="1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1"/>
      <c r="X326" s="51"/>
      <c r="Y326" s="216"/>
      <c r="Z326" s="216"/>
      <c r="AA326" s="51"/>
      <c r="AB326" s="51"/>
      <c r="AC326" s="51"/>
      <c r="AD326" s="51"/>
    </row>
    <row r="327" spans="1:30" customFormat="1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1"/>
      <c r="X327" s="51"/>
      <c r="Y327" s="216"/>
      <c r="Z327" s="216"/>
      <c r="AA327" s="51"/>
      <c r="AB327" s="51"/>
      <c r="AC327" s="51"/>
      <c r="AD327" s="51"/>
    </row>
    <row r="328" spans="1:30" customFormat="1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1"/>
      <c r="X328" s="51"/>
      <c r="Y328" s="216"/>
      <c r="Z328" s="216"/>
      <c r="AA328" s="51"/>
      <c r="AB328" s="51"/>
      <c r="AC328" s="51"/>
      <c r="AD328" s="51"/>
    </row>
    <row r="329" spans="1:30" customFormat="1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1"/>
      <c r="X329" s="51"/>
      <c r="Y329" s="216"/>
      <c r="Z329" s="216"/>
      <c r="AA329" s="51"/>
      <c r="AB329" s="51"/>
      <c r="AC329" s="51"/>
      <c r="AD329" s="51"/>
    </row>
    <row r="330" spans="1:30" customFormat="1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1"/>
      <c r="X330" s="51"/>
      <c r="Y330" s="216"/>
      <c r="Z330" s="216"/>
      <c r="AA330" s="51"/>
      <c r="AB330" s="51"/>
      <c r="AC330" s="51"/>
      <c r="AD330" s="51"/>
    </row>
    <row r="331" spans="1:30" customFormat="1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1"/>
      <c r="X331" s="51"/>
      <c r="Y331" s="216"/>
      <c r="Z331" s="216"/>
      <c r="AA331" s="51"/>
      <c r="AB331" s="51"/>
      <c r="AC331" s="51"/>
      <c r="AD331" s="51"/>
    </row>
    <row r="332" spans="1:30" customFormat="1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1"/>
      <c r="X332" s="51"/>
      <c r="Y332" s="216"/>
      <c r="Z332" s="216"/>
      <c r="AA332" s="51"/>
      <c r="AB332" s="51"/>
      <c r="AC332" s="51"/>
      <c r="AD332" s="51"/>
    </row>
    <row r="333" spans="1:30" customFormat="1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1"/>
      <c r="X333" s="51"/>
      <c r="Y333" s="216"/>
      <c r="Z333" s="216"/>
      <c r="AA333" s="51"/>
      <c r="AB333" s="51"/>
      <c r="AC333" s="51"/>
      <c r="AD333" s="51"/>
    </row>
    <row r="334" spans="1:30" customFormat="1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1"/>
      <c r="X334" s="51"/>
      <c r="Y334" s="216"/>
      <c r="Z334" s="216"/>
      <c r="AA334" s="51"/>
      <c r="AB334" s="51"/>
      <c r="AC334" s="51"/>
      <c r="AD334" s="51"/>
    </row>
    <row r="335" spans="1:30" customFormat="1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1"/>
      <c r="X335" s="51"/>
      <c r="Y335" s="216"/>
      <c r="Z335" s="216"/>
      <c r="AA335" s="51"/>
      <c r="AB335" s="51"/>
      <c r="AC335" s="51"/>
      <c r="AD335" s="51"/>
    </row>
    <row r="336" spans="1:30" customFormat="1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1"/>
      <c r="X336" s="51"/>
      <c r="Y336" s="216"/>
      <c r="Z336" s="216"/>
      <c r="AA336" s="51"/>
      <c r="AB336" s="51"/>
      <c r="AC336" s="51"/>
      <c r="AD336" s="51"/>
    </row>
    <row r="337" spans="1:30" customFormat="1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1"/>
      <c r="X337" s="51"/>
      <c r="Y337" s="216"/>
      <c r="Z337" s="216"/>
      <c r="AA337" s="51"/>
      <c r="AB337" s="51"/>
      <c r="AC337" s="51"/>
      <c r="AD337" s="51"/>
    </row>
    <row r="338" spans="1:30" customFormat="1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1"/>
      <c r="X338" s="51"/>
      <c r="Y338" s="216"/>
      <c r="Z338" s="216"/>
      <c r="AA338" s="51"/>
      <c r="AB338" s="51"/>
      <c r="AC338" s="51"/>
      <c r="AD338" s="51"/>
    </row>
    <row r="339" spans="1:30" customFormat="1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1"/>
      <c r="X339" s="51"/>
      <c r="Y339" s="216"/>
      <c r="Z339" s="216"/>
      <c r="AA339" s="51"/>
      <c r="AB339" s="51"/>
      <c r="AC339" s="51"/>
      <c r="AD339" s="51"/>
    </row>
    <row r="340" spans="1:30" customFormat="1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1"/>
      <c r="X340" s="51"/>
      <c r="Y340" s="216"/>
      <c r="Z340" s="216"/>
      <c r="AA340" s="51"/>
      <c r="AB340" s="51"/>
      <c r="AC340" s="51"/>
      <c r="AD340" s="51"/>
    </row>
    <row r="341" spans="1:30" customFormat="1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1"/>
      <c r="X341" s="51"/>
      <c r="Y341" s="216"/>
      <c r="Z341" s="216"/>
      <c r="AA341" s="51"/>
      <c r="AB341" s="51"/>
      <c r="AC341" s="51"/>
      <c r="AD341" s="51"/>
    </row>
    <row r="342" spans="1:30" customFormat="1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1"/>
      <c r="X342" s="51"/>
      <c r="Y342" s="216"/>
      <c r="Z342" s="216"/>
      <c r="AA342" s="51"/>
      <c r="AB342" s="51"/>
      <c r="AC342" s="51"/>
      <c r="AD342" s="51"/>
    </row>
    <row r="343" spans="1:30" customFormat="1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1"/>
      <c r="X343" s="51"/>
      <c r="Y343" s="216"/>
      <c r="Z343" s="216"/>
      <c r="AA343" s="51"/>
      <c r="AB343" s="51"/>
      <c r="AC343" s="51"/>
      <c r="AD343" s="51"/>
    </row>
    <row r="344" spans="1:30" customFormat="1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1"/>
      <c r="X344" s="51"/>
      <c r="Y344" s="216"/>
      <c r="Z344" s="216"/>
      <c r="AA344" s="51"/>
      <c r="AB344" s="51"/>
      <c r="AC344" s="51"/>
      <c r="AD344" s="51"/>
    </row>
    <row r="345" spans="1:30" customFormat="1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1"/>
      <c r="X345" s="51"/>
      <c r="Y345" s="216"/>
      <c r="Z345" s="216"/>
      <c r="AA345" s="51"/>
      <c r="AB345" s="51"/>
      <c r="AC345" s="51"/>
      <c r="AD345" s="51"/>
    </row>
    <row r="346" spans="1:30" customFormat="1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1"/>
      <c r="X346" s="51"/>
      <c r="Y346" s="216"/>
      <c r="Z346" s="216"/>
      <c r="AA346" s="51"/>
      <c r="AB346" s="51"/>
      <c r="AC346" s="51"/>
      <c r="AD346" s="51"/>
    </row>
    <row r="347" spans="1:30" customFormat="1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1"/>
      <c r="X347" s="51"/>
      <c r="Y347" s="216"/>
      <c r="Z347" s="216"/>
      <c r="AA347" s="51"/>
      <c r="AB347" s="51"/>
      <c r="AC347" s="51"/>
      <c r="AD347" s="51"/>
    </row>
    <row r="348" spans="1:30" customFormat="1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1"/>
      <c r="X348" s="51"/>
      <c r="Y348" s="216"/>
      <c r="Z348" s="216"/>
      <c r="AA348" s="51"/>
      <c r="AB348" s="51"/>
      <c r="AC348" s="51"/>
      <c r="AD348" s="51"/>
    </row>
    <row r="349" spans="1:30" customFormat="1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1"/>
      <c r="X349" s="51"/>
      <c r="Y349" s="216"/>
      <c r="Z349" s="216"/>
      <c r="AA349" s="51"/>
      <c r="AB349" s="51"/>
      <c r="AC349" s="51"/>
      <c r="AD349" s="51"/>
    </row>
    <row r="350" spans="1:30" customFormat="1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1"/>
      <c r="X350" s="51"/>
      <c r="Y350" s="216"/>
      <c r="Z350" s="216"/>
      <c r="AA350" s="51"/>
      <c r="AB350" s="51"/>
      <c r="AC350" s="51"/>
      <c r="AD350" s="51"/>
    </row>
    <row r="351" spans="1:30" customFormat="1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1"/>
      <c r="X351" s="51"/>
      <c r="Y351" s="216"/>
      <c r="Z351" s="216"/>
      <c r="AA351" s="51"/>
      <c r="AB351" s="51"/>
      <c r="AC351" s="51"/>
      <c r="AD351" s="51"/>
    </row>
    <row r="352" spans="1:30" customFormat="1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1"/>
      <c r="X352" s="51"/>
      <c r="Y352" s="216"/>
      <c r="Z352" s="216"/>
      <c r="AA352" s="51"/>
      <c r="AB352" s="51"/>
      <c r="AC352" s="51"/>
      <c r="AD352" s="51"/>
    </row>
    <row r="353" spans="1:30" customFormat="1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1"/>
      <c r="X353" s="51"/>
      <c r="Y353" s="216"/>
      <c r="Z353" s="216"/>
      <c r="AA353" s="51"/>
      <c r="AB353" s="51"/>
      <c r="AC353" s="51"/>
      <c r="AD353" s="51"/>
    </row>
    <row r="354" spans="1:30" customFormat="1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1"/>
      <c r="X354" s="51"/>
      <c r="Y354" s="216"/>
      <c r="Z354" s="216"/>
      <c r="AA354" s="51"/>
      <c r="AB354" s="51"/>
      <c r="AC354" s="51"/>
      <c r="AD354" s="51"/>
    </row>
    <row r="355" spans="1:30" customFormat="1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1"/>
      <c r="X355" s="51"/>
      <c r="Y355" s="216"/>
      <c r="Z355" s="216"/>
      <c r="AA355" s="51"/>
      <c r="AB355" s="51"/>
      <c r="AC355" s="51"/>
      <c r="AD355" s="51"/>
    </row>
    <row r="356" spans="1:30" customFormat="1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1"/>
      <c r="X356" s="51"/>
      <c r="Y356" s="216"/>
      <c r="Z356" s="216"/>
      <c r="AA356" s="51"/>
      <c r="AB356" s="51"/>
      <c r="AC356" s="51"/>
      <c r="AD356" s="51"/>
    </row>
    <row r="357" spans="1:30" customFormat="1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1"/>
      <c r="X357" s="51"/>
      <c r="Y357" s="216"/>
      <c r="Z357" s="216"/>
      <c r="AA357" s="51"/>
      <c r="AB357" s="51"/>
      <c r="AC357" s="51"/>
      <c r="AD357" s="51"/>
    </row>
    <row r="358" spans="1:30" customFormat="1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1"/>
      <c r="X358" s="51"/>
      <c r="Y358" s="216"/>
      <c r="Z358" s="216"/>
      <c r="AA358" s="51"/>
      <c r="AB358" s="51"/>
      <c r="AC358" s="51"/>
      <c r="AD358" s="51"/>
    </row>
    <row r="359" spans="1:30" customFormat="1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1"/>
      <c r="X359" s="51"/>
      <c r="Y359" s="216"/>
      <c r="Z359" s="216"/>
      <c r="AA359" s="51"/>
      <c r="AB359" s="51"/>
      <c r="AC359" s="51"/>
      <c r="AD359" s="51"/>
    </row>
    <row r="360" spans="1:30" customFormat="1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1"/>
      <c r="X360" s="51"/>
      <c r="Y360" s="216"/>
      <c r="Z360" s="216"/>
      <c r="AA360" s="51"/>
      <c r="AB360" s="51"/>
      <c r="AC360" s="51"/>
      <c r="AD360" s="51"/>
    </row>
    <row r="361" spans="1:30" customFormat="1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1"/>
      <c r="X361" s="51"/>
      <c r="Y361" s="216"/>
      <c r="Z361" s="216"/>
      <c r="AA361" s="51"/>
      <c r="AB361" s="51"/>
      <c r="AC361" s="51"/>
      <c r="AD361" s="51"/>
    </row>
    <row r="362" spans="1:30" customFormat="1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1"/>
      <c r="X362" s="51"/>
      <c r="Y362" s="216"/>
      <c r="Z362" s="216"/>
      <c r="AA362" s="51"/>
      <c r="AB362" s="51"/>
      <c r="AC362" s="51"/>
      <c r="AD362" s="51"/>
    </row>
    <row r="363" spans="1:30" customFormat="1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1"/>
      <c r="X363" s="51"/>
      <c r="Y363" s="216"/>
      <c r="Z363" s="216"/>
      <c r="AA363" s="51"/>
      <c r="AB363" s="51"/>
      <c r="AC363" s="51"/>
      <c r="AD363" s="51"/>
    </row>
    <row r="364" spans="1:30" customFormat="1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1"/>
      <c r="X364" s="51"/>
      <c r="Y364" s="216"/>
      <c r="Z364" s="216"/>
      <c r="AA364" s="51"/>
      <c r="AB364" s="51"/>
      <c r="AC364" s="51"/>
      <c r="AD364" s="51"/>
    </row>
    <row r="365" spans="1:30" customFormat="1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1"/>
      <c r="X365" s="51"/>
      <c r="Y365" s="216"/>
      <c r="Z365" s="216"/>
      <c r="AA365" s="51"/>
      <c r="AB365" s="51"/>
      <c r="AC365" s="51"/>
      <c r="AD365" s="51"/>
    </row>
    <row r="366" spans="1:30" customFormat="1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1"/>
      <c r="X366" s="51"/>
      <c r="Y366" s="216"/>
      <c r="Z366" s="216"/>
      <c r="AA366" s="51"/>
      <c r="AB366" s="51"/>
      <c r="AC366" s="51"/>
      <c r="AD366" s="51"/>
    </row>
    <row r="367" spans="1:30" customFormat="1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1"/>
      <c r="X367" s="51"/>
      <c r="Y367" s="216"/>
      <c r="Z367" s="216"/>
      <c r="AA367" s="51"/>
      <c r="AB367" s="51"/>
      <c r="AC367" s="51"/>
      <c r="AD367" s="51"/>
    </row>
    <row r="368" spans="1:30" customFormat="1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1"/>
      <c r="X368" s="51"/>
      <c r="Y368" s="216"/>
      <c r="Z368" s="216"/>
      <c r="AA368" s="51"/>
      <c r="AB368" s="51"/>
      <c r="AC368" s="51"/>
      <c r="AD368" s="51"/>
    </row>
    <row r="369" spans="1:30" customFormat="1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1"/>
      <c r="X369" s="51"/>
      <c r="Y369" s="216"/>
      <c r="Z369" s="216"/>
      <c r="AA369" s="51"/>
      <c r="AB369" s="51"/>
      <c r="AC369" s="51"/>
      <c r="AD369" s="51"/>
    </row>
    <row r="370" spans="1:30" customFormat="1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1"/>
      <c r="X370" s="51"/>
      <c r="Y370" s="216"/>
      <c r="Z370" s="216"/>
      <c r="AA370" s="51"/>
      <c r="AB370" s="51"/>
      <c r="AC370" s="51"/>
      <c r="AD370" s="51"/>
    </row>
    <row r="371" spans="1:30" customFormat="1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1"/>
      <c r="X371" s="51"/>
      <c r="Y371" s="216"/>
      <c r="Z371" s="216"/>
      <c r="AA371" s="51"/>
      <c r="AB371" s="51"/>
      <c r="AC371" s="51"/>
      <c r="AD371" s="51"/>
    </row>
    <row r="372" spans="1:30" customFormat="1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1"/>
      <c r="X372" s="51"/>
      <c r="Y372" s="216"/>
      <c r="Z372" s="216"/>
      <c r="AA372" s="51"/>
      <c r="AB372" s="51"/>
      <c r="AC372" s="51"/>
      <c r="AD372" s="51"/>
    </row>
    <row r="373" spans="1:30" customFormat="1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1"/>
      <c r="X373" s="51"/>
      <c r="Y373" s="216"/>
      <c r="Z373" s="216"/>
      <c r="AA373" s="51"/>
      <c r="AB373" s="51"/>
      <c r="AC373" s="51"/>
      <c r="AD373" s="51"/>
    </row>
    <row r="374" spans="1:30" customFormat="1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1"/>
      <c r="X374" s="51"/>
      <c r="Y374" s="216"/>
      <c r="Z374" s="216"/>
      <c r="AA374" s="51"/>
      <c r="AB374" s="51"/>
      <c r="AC374" s="51"/>
      <c r="AD374" s="51"/>
    </row>
    <row r="375" spans="1:30" customFormat="1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1"/>
      <c r="X375" s="51"/>
      <c r="Y375" s="216"/>
      <c r="Z375" s="216"/>
      <c r="AA375" s="51"/>
      <c r="AB375" s="51"/>
      <c r="AC375" s="51"/>
      <c r="AD375" s="51"/>
    </row>
    <row r="376" spans="1:30" customFormat="1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1"/>
      <c r="X376" s="51"/>
      <c r="Y376" s="216"/>
      <c r="Z376" s="216"/>
      <c r="AA376" s="51"/>
      <c r="AB376" s="51"/>
      <c r="AC376" s="51"/>
      <c r="AD376" s="51"/>
    </row>
    <row r="377" spans="1:30" customFormat="1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1"/>
      <c r="X377" s="51"/>
      <c r="Y377" s="216"/>
      <c r="Z377" s="216"/>
      <c r="AA377" s="51"/>
      <c r="AB377" s="51"/>
      <c r="AC377" s="51"/>
      <c r="AD377" s="51"/>
    </row>
    <row r="378" spans="1:30" customFormat="1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1"/>
      <c r="X378" s="51"/>
      <c r="Y378" s="216"/>
      <c r="Z378" s="216"/>
      <c r="AA378" s="51"/>
      <c r="AB378" s="51"/>
      <c r="AC378" s="51"/>
      <c r="AD378" s="51"/>
    </row>
    <row r="379" spans="1:30" customFormat="1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1"/>
      <c r="X379" s="51"/>
      <c r="Y379" s="216"/>
      <c r="Z379" s="216"/>
      <c r="AA379" s="51"/>
      <c r="AB379" s="51"/>
      <c r="AC379" s="51"/>
      <c r="AD379" s="51"/>
    </row>
    <row r="380" spans="1:30" customFormat="1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1"/>
      <c r="X380" s="51"/>
      <c r="Y380" s="216"/>
      <c r="Z380" s="216"/>
      <c r="AA380" s="51"/>
      <c r="AB380" s="51"/>
      <c r="AC380" s="51"/>
      <c r="AD380" s="51"/>
    </row>
    <row r="381" spans="1:30" customFormat="1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1"/>
      <c r="X381" s="51"/>
      <c r="Y381" s="216"/>
      <c r="Z381" s="216"/>
      <c r="AA381" s="51"/>
      <c r="AB381" s="51"/>
      <c r="AC381" s="51"/>
      <c r="AD381" s="51"/>
    </row>
    <row r="382" spans="1:30" customFormat="1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1"/>
      <c r="X382" s="51"/>
      <c r="Y382" s="216"/>
      <c r="Z382" s="216"/>
      <c r="AA382" s="51"/>
      <c r="AB382" s="51"/>
      <c r="AC382" s="51"/>
      <c r="AD382" s="51"/>
    </row>
    <row r="383" spans="1:30" customFormat="1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1"/>
      <c r="X383" s="51"/>
      <c r="Y383" s="216"/>
      <c r="Z383" s="216"/>
      <c r="AA383" s="51"/>
      <c r="AB383" s="51"/>
      <c r="AC383" s="51"/>
      <c r="AD383" s="51"/>
    </row>
    <row r="384" spans="1:30" customFormat="1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1"/>
      <c r="X384" s="51"/>
      <c r="Y384" s="216"/>
      <c r="Z384" s="216"/>
      <c r="AA384" s="51"/>
      <c r="AB384" s="51"/>
      <c r="AC384" s="51"/>
      <c r="AD384" s="51"/>
    </row>
    <row r="385" spans="1:30" customFormat="1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1"/>
      <c r="X385" s="51"/>
      <c r="Y385" s="216"/>
      <c r="Z385" s="216"/>
      <c r="AA385" s="51"/>
      <c r="AB385" s="51"/>
      <c r="AC385" s="51"/>
      <c r="AD385" s="51"/>
    </row>
    <row r="386" spans="1:30" customFormat="1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1"/>
      <c r="X386" s="51"/>
      <c r="Y386" s="216"/>
      <c r="Z386" s="216"/>
      <c r="AA386" s="51"/>
      <c r="AB386" s="51"/>
      <c r="AC386" s="51"/>
      <c r="AD386" s="51"/>
    </row>
    <row r="387" spans="1:30" customFormat="1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1"/>
      <c r="X387" s="51"/>
      <c r="Y387" s="216"/>
      <c r="Z387" s="216"/>
      <c r="AA387" s="51"/>
      <c r="AB387" s="51"/>
      <c r="AC387" s="51"/>
      <c r="AD387" s="51"/>
    </row>
    <row r="388" spans="1:30" customFormat="1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1"/>
      <c r="X388" s="51"/>
      <c r="Y388" s="216"/>
      <c r="Z388" s="216"/>
      <c r="AA388" s="51"/>
      <c r="AB388" s="51"/>
      <c r="AC388" s="51"/>
      <c r="AD388" s="51"/>
    </row>
    <row r="389" spans="1:30" customFormat="1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1"/>
      <c r="X389" s="51"/>
      <c r="Y389" s="216"/>
      <c r="Z389" s="216"/>
      <c r="AA389" s="51"/>
      <c r="AB389" s="51"/>
      <c r="AC389" s="51"/>
      <c r="AD389" s="51"/>
    </row>
    <row r="390" spans="1:30" customFormat="1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1"/>
      <c r="X390" s="51"/>
      <c r="Y390" s="216"/>
      <c r="Z390" s="216"/>
      <c r="AA390" s="51"/>
      <c r="AB390" s="51"/>
      <c r="AC390" s="51"/>
      <c r="AD390" s="51"/>
    </row>
    <row r="391" spans="1:30" customFormat="1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1"/>
      <c r="X391" s="51"/>
      <c r="Y391" s="216"/>
      <c r="Z391" s="216"/>
      <c r="AA391" s="51"/>
      <c r="AB391" s="51"/>
      <c r="AC391" s="51"/>
      <c r="AD391" s="51"/>
    </row>
    <row r="392" spans="1:30" customFormat="1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1"/>
      <c r="X392" s="51"/>
      <c r="Y392" s="216"/>
      <c r="Z392" s="216"/>
      <c r="AA392" s="51"/>
      <c r="AB392" s="51"/>
      <c r="AC392" s="51"/>
      <c r="AD392" s="51"/>
    </row>
    <row r="393" spans="1:30" customFormat="1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1"/>
      <c r="X393" s="51"/>
      <c r="Y393" s="216"/>
      <c r="Z393" s="216"/>
      <c r="AA393" s="51"/>
      <c r="AB393" s="51"/>
      <c r="AC393" s="51"/>
      <c r="AD393" s="51"/>
    </row>
    <row r="394" spans="1:30" customFormat="1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1"/>
      <c r="X394" s="51"/>
      <c r="Y394" s="216"/>
      <c r="Z394" s="216"/>
      <c r="AA394" s="51"/>
      <c r="AB394" s="51"/>
      <c r="AC394" s="51"/>
      <c r="AD394" s="51"/>
    </row>
    <row r="395" spans="1:30" customFormat="1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1"/>
      <c r="X395" s="51"/>
      <c r="Y395" s="216"/>
      <c r="Z395" s="216"/>
      <c r="AA395" s="51"/>
      <c r="AB395" s="51"/>
      <c r="AC395" s="51"/>
      <c r="AD395" s="51"/>
    </row>
    <row r="396" spans="1:30" customFormat="1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1"/>
      <c r="X396" s="51"/>
      <c r="Y396" s="216"/>
      <c r="Z396" s="216"/>
      <c r="AA396" s="51"/>
      <c r="AB396" s="51"/>
      <c r="AC396" s="51"/>
      <c r="AD396" s="51"/>
    </row>
    <row r="397" spans="1:30" customFormat="1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1"/>
      <c r="X397" s="51"/>
      <c r="Y397" s="216"/>
      <c r="Z397" s="216"/>
      <c r="AA397" s="51"/>
      <c r="AB397" s="51"/>
      <c r="AC397" s="51"/>
      <c r="AD397" s="51"/>
    </row>
    <row r="398" spans="1:30" customFormat="1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1"/>
      <c r="X398" s="51"/>
      <c r="Y398" s="216"/>
      <c r="Z398" s="216"/>
      <c r="AA398" s="51"/>
      <c r="AB398" s="51"/>
      <c r="AC398" s="51"/>
      <c r="AD398" s="51"/>
    </row>
    <row r="399" spans="1:30" customFormat="1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1"/>
      <c r="X399" s="51"/>
      <c r="Y399" s="216"/>
      <c r="Z399" s="216"/>
      <c r="AA399" s="51"/>
      <c r="AB399" s="51"/>
      <c r="AC399" s="51"/>
      <c r="AD399" s="51"/>
    </row>
    <row r="400" spans="1:30" customFormat="1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1"/>
      <c r="X400" s="51"/>
      <c r="Y400" s="216"/>
      <c r="Z400" s="216"/>
      <c r="AA400" s="51"/>
      <c r="AB400" s="51"/>
      <c r="AC400" s="51"/>
      <c r="AD400" s="51"/>
    </row>
    <row r="401" spans="1:30" customFormat="1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1"/>
      <c r="X401" s="51"/>
      <c r="Y401" s="216"/>
      <c r="Z401" s="216"/>
      <c r="AA401" s="51"/>
      <c r="AB401" s="51"/>
      <c r="AC401" s="51"/>
      <c r="AD401" s="51"/>
    </row>
    <row r="402" spans="1:30" customFormat="1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1"/>
      <c r="X402" s="51"/>
      <c r="Y402" s="216"/>
      <c r="Z402" s="216"/>
      <c r="AA402" s="51"/>
      <c r="AB402" s="51"/>
      <c r="AC402" s="51"/>
      <c r="AD402" s="51"/>
    </row>
    <row r="403" spans="1:30" customFormat="1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1"/>
      <c r="X403" s="51"/>
      <c r="Y403" s="216"/>
      <c r="Z403" s="216"/>
      <c r="AA403" s="51"/>
      <c r="AB403" s="51"/>
      <c r="AC403" s="51"/>
      <c r="AD403" s="51"/>
    </row>
    <row r="404" spans="1:30" customFormat="1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1"/>
      <c r="X404" s="51"/>
      <c r="Y404" s="216"/>
      <c r="Z404" s="216"/>
      <c r="AA404" s="51"/>
      <c r="AB404" s="51"/>
      <c r="AC404" s="51"/>
      <c r="AD404" s="51"/>
    </row>
    <row r="405" spans="1:30" customFormat="1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1"/>
      <c r="X405" s="51"/>
      <c r="Y405" s="216"/>
      <c r="Z405" s="216"/>
      <c r="AA405" s="51"/>
      <c r="AB405" s="51"/>
      <c r="AC405" s="51"/>
      <c r="AD405" s="51"/>
    </row>
    <row r="406" spans="1:30" customFormat="1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1"/>
      <c r="X406" s="51"/>
      <c r="Y406" s="216"/>
      <c r="Z406" s="216"/>
      <c r="AA406" s="51"/>
      <c r="AB406" s="51"/>
      <c r="AC406" s="51"/>
      <c r="AD406" s="51"/>
    </row>
    <row r="407" spans="1:30" customFormat="1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1"/>
      <c r="X407" s="51"/>
      <c r="Y407" s="216"/>
      <c r="Z407" s="216"/>
      <c r="AA407" s="51"/>
      <c r="AB407" s="51"/>
      <c r="AC407" s="51"/>
      <c r="AD407" s="51"/>
    </row>
    <row r="408" spans="1:30" customFormat="1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1"/>
      <c r="X408" s="51"/>
      <c r="Y408" s="216"/>
      <c r="Z408" s="216"/>
      <c r="AA408" s="51"/>
      <c r="AB408" s="51"/>
      <c r="AC408" s="51"/>
      <c r="AD408" s="51"/>
    </row>
    <row r="409" spans="1:30" customFormat="1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1"/>
      <c r="X409" s="51"/>
      <c r="Y409" s="216"/>
      <c r="Z409" s="216"/>
      <c r="AA409" s="51"/>
      <c r="AB409" s="51"/>
      <c r="AC409" s="51"/>
      <c r="AD409" s="51"/>
    </row>
    <row r="410" spans="1:30" customFormat="1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1"/>
      <c r="X410" s="51"/>
      <c r="Y410" s="216"/>
      <c r="Z410" s="216"/>
      <c r="AA410" s="51"/>
      <c r="AB410" s="51"/>
      <c r="AC410" s="51"/>
      <c r="AD410" s="51"/>
    </row>
    <row r="411" spans="1:30" customFormat="1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1"/>
      <c r="X411" s="51"/>
      <c r="Y411" s="216"/>
      <c r="Z411" s="216"/>
      <c r="AA411" s="51"/>
      <c r="AB411" s="51"/>
      <c r="AC411" s="51"/>
      <c r="AD411" s="51"/>
    </row>
    <row r="412" spans="1:30" customFormat="1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1"/>
      <c r="X412" s="51"/>
      <c r="Y412" s="216"/>
      <c r="Z412" s="216"/>
      <c r="AA412" s="51"/>
      <c r="AB412" s="51"/>
      <c r="AC412" s="51"/>
      <c r="AD412" s="51"/>
    </row>
    <row r="413" spans="1:30" customFormat="1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1"/>
      <c r="X413" s="51"/>
      <c r="Y413" s="216"/>
      <c r="Z413" s="216"/>
      <c r="AA413" s="51"/>
      <c r="AB413" s="51"/>
      <c r="AC413" s="51"/>
      <c r="AD413" s="51"/>
    </row>
    <row r="414" spans="1:30" customFormat="1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1"/>
      <c r="X414" s="51"/>
      <c r="Y414" s="216"/>
      <c r="Z414" s="216"/>
      <c r="AA414" s="51"/>
      <c r="AB414" s="51"/>
      <c r="AC414" s="51"/>
      <c r="AD414" s="51"/>
    </row>
    <row r="415" spans="1:30" customFormat="1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1"/>
      <c r="X415" s="51"/>
      <c r="Y415" s="216"/>
      <c r="Z415" s="216"/>
      <c r="AA415" s="51"/>
      <c r="AB415" s="51"/>
      <c r="AC415" s="51"/>
      <c r="AD415" s="51"/>
    </row>
    <row r="416" spans="1:30" customFormat="1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1"/>
      <c r="X416" s="51"/>
      <c r="Y416" s="216"/>
      <c r="Z416" s="216"/>
      <c r="AA416" s="51"/>
      <c r="AB416" s="51"/>
      <c r="AC416" s="51"/>
      <c r="AD416" s="51"/>
    </row>
    <row r="417" spans="1:30" customFormat="1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1"/>
      <c r="X417" s="51"/>
      <c r="Y417" s="216"/>
      <c r="Z417" s="216"/>
      <c r="AA417" s="51"/>
      <c r="AB417" s="51"/>
      <c r="AC417" s="51"/>
      <c r="AD417" s="51"/>
    </row>
    <row r="418" spans="1:30" customFormat="1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1"/>
      <c r="X418" s="51"/>
      <c r="Y418" s="216"/>
      <c r="Z418" s="216"/>
      <c r="AA418" s="51"/>
      <c r="AB418" s="51"/>
      <c r="AC418" s="51"/>
      <c r="AD418" s="51"/>
    </row>
    <row r="419" spans="1:30" customFormat="1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1"/>
      <c r="X419" s="51"/>
      <c r="Y419" s="216"/>
      <c r="Z419" s="216"/>
      <c r="AA419" s="51"/>
      <c r="AB419" s="51"/>
      <c r="AC419" s="51"/>
      <c r="AD419" s="51"/>
    </row>
    <row r="420" spans="1:30" customFormat="1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1"/>
      <c r="X420" s="51"/>
      <c r="Y420" s="216"/>
      <c r="Z420" s="216"/>
      <c r="AA420" s="51"/>
      <c r="AB420" s="51"/>
      <c r="AC420" s="51"/>
      <c r="AD420" s="51"/>
    </row>
    <row r="421" spans="1:30" customFormat="1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1"/>
      <c r="X421" s="51"/>
      <c r="Y421" s="216"/>
      <c r="Z421" s="216"/>
      <c r="AA421" s="51"/>
      <c r="AB421" s="51"/>
      <c r="AC421" s="51"/>
      <c r="AD421" s="51"/>
    </row>
    <row r="422" spans="1:30" customFormat="1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1"/>
      <c r="X422" s="51"/>
      <c r="Y422" s="216"/>
      <c r="Z422" s="216"/>
      <c r="AA422" s="51"/>
      <c r="AB422" s="51"/>
      <c r="AC422" s="51"/>
      <c r="AD422" s="51"/>
    </row>
    <row r="423" spans="1:30" customFormat="1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1"/>
      <c r="X423" s="51"/>
      <c r="Y423" s="216"/>
      <c r="Z423" s="216"/>
      <c r="AA423" s="51"/>
      <c r="AB423" s="51"/>
      <c r="AC423" s="51"/>
      <c r="AD423" s="51"/>
    </row>
    <row r="424" spans="1:30" customFormat="1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1"/>
      <c r="X424" s="51"/>
      <c r="Y424" s="216"/>
      <c r="Z424" s="216"/>
      <c r="AA424" s="51"/>
      <c r="AB424" s="51"/>
      <c r="AC424" s="51"/>
      <c r="AD424" s="51"/>
    </row>
    <row r="425" spans="1:30" customFormat="1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1"/>
      <c r="X425" s="51"/>
      <c r="Y425" s="216"/>
      <c r="Z425" s="216"/>
      <c r="AA425" s="51"/>
      <c r="AB425" s="51"/>
      <c r="AC425" s="51"/>
      <c r="AD425" s="51"/>
    </row>
    <row r="426" spans="1:30" customFormat="1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1"/>
      <c r="X426" s="51"/>
      <c r="Y426" s="216"/>
      <c r="Z426" s="216"/>
      <c r="AA426" s="51"/>
      <c r="AB426" s="51"/>
      <c r="AC426" s="51"/>
      <c r="AD426" s="51"/>
    </row>
    <row r="427" spans="1:30" customFormat="1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1"/>
      <c r="X427" s="51"/>
      <c r="Y427" s="216"/>
      <c r="Z427" s="216"/>
      <c r="AA427" s="51"/>
      <c r="AB427" s="51"/>
      <c r="AC427" s="51"/>
      <c r="AD427" s="51"/>
    </row>
    <row r="428" spans="1:30" customFormat="1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1"/>
      <c r="X428" s="51"/>
      <c r="Y428" s="216"/>
      <c r="Z428" s="216"/>
      <c r="AA428" s="51"/>
      <c r="AB428" s="51"/>
      <c r="AC428" s="51"/>
      <c r="AD428" s="51"/>
    </row>
    <row r="429" spans="1:30" customFormat="1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1"/>
      <c r="X429" s="51"/>
      <c r="Y429" s="216"/>
      <c r="Z429" s="216"/>
      <c r="AA429" s="51"/>
      <c r="AB429" s="51"/>
      <c r="AC429" s="51"/>
      <c r="AD429" s="51"/>
    </row>
    <row r="430" spans="1:30" customFormat="1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1"/>
      <c r="X430" s="51"/>
      <c r="Y430" s="216"/>
      <c r="Z430" s="216"/>
      <c r="AA430" s="51"/>
      <c r="AB430" s="51"/>
      <c r="AC430" s="51"/>
      <c r="AD430" s="51"/>
    </row>
    <row r="431" spans="1:30" customFormat="1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1"/>
      <c r="X431" s="51"/>
      <c r="Y431" s="216"/>
      <c r="Z431" s="216"/>
      <c r="AA431" s="51"/>
      <c r="AB431" s="51"/>
      <c r="AC431" s="51"/>
      <c r="AD431" s="51"/>
    </row>
    <row r="432" spans="1:30" customFormat="1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1"/>
      <c r="X432" s="51"/>
      <c r="Y432" s="216"/>
      <c r="Z432" s="216"/>
      <c r="AA432" s="51"/>
      <c r="AB432" s="51"/>
      <c r="AC432" s="51"/>
      <c r="AD432" s="51"/>
    </row>
    <row r="433" spans="1:30" customFormat="1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1"/>
      <c r="X433" s="51"/>
      <c r="Y433" s="216"/>
      <c r="Z433" s="216"/>
      <c r="AA433" s="51"/>
      <c r="AB433" s="51"/>
      <c r="AC433" s="51"/>
      <c r="AD433" s="51"/>
    </row>
    <row r="434" spans="1:30" customFormat="1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1"/>
      <c r="X434" s="51"/>
      <c r="Y434" s="216"/>
      <c r="Z434" s="216"/>
      <c r="AA434" s="51"/>
      <c r="AB434" s="51"/>
      <c r="AC434" s="51"/>
      <c r="AD434" s="51"/>
    </row>
    <row r="435" spans="1:30" customFormat="1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1"/>
      <c r="X435" s="51"/>
      <c r="Y435" s="216"/>
      <c r="Z435" s="216"/>
      <c r="AA435" s="51"/>
      <c r="AB435" s="51"/>
      <c r="AC435" s="51"/>
      <c r="AD435" s="51"/>
    </row>
    <row r="436" spans="1:30" customFormat="1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1"/>
      <c r="X436" s="51"/>
      <c r="Y436" s="216"/>
      <c r="Z436" s="216"/>
      <c r="AA436" s="51"/>
      <c r="AB436" s="51"/>
      <c r="AC436" s="51"/>
      <c r="AD436" s="51"/>
    </row>
    <row r="437" spans="1:30" customFormat="1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1"/>
      <c r="X437" s="51"/>
      <c r="Y437" s="216"/>
      <c r="Z437" s="216"/>
      <c r="AA437" s="51"/>
      <c r="AB437" s="51"/>
      <c r="AC437" s="51"/>
      <c r="AD437" s="51"/>
    </row>
    <row r="438" spans="1:30" customFormat="1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1"/>
      <c r="X438" s="51"/>
      <c r="Y438" s="216"/>
      <c r="Z438" s="216"/>
      <c r="AA438" s="51"/>
      <c r="AB438" s="51"/>
      <c r="AC438" s="51"/>
      <c r="AD438" s="51"/>
    </row>
    <row r="439" spans="1:30" customFormat="1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1"/>
      <c r="X439" s="51"/>
      <c r="Y439" s="216"/>
      <c r="Z439" s="216"/>
      <c r="AA439" s="51"/>
      <c r="AB439" s="51"/>
      <c r="AC439" s="51"/>
      <c r="AD439" s="51"/>
    </row>
    <row r="440" spans="1:30" customFormat="1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1"/>
      <c r="X440" s="51"/>
      <c r="Y440" s="216"/>
      <c r="Z440" s="216"/>
      <c r="AA440" s="51"/>
      <c r="AB440" s="51"/>
      <c r="AC440" s="51"/>
      <c r="AD440" s="51"/>
    </row>
    <row r="441" spans="1:30" customFormat="1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1"/>
      <c r="X441" s="51"/>
      <c r="Y441" s="216"/>
      <c r="Z441" s="216"/>
      <c r="AA441" s="51"/>
      <c r="AB441" s="51"/>
      <c r="AC441" s="51"/>
      <c r="AD441" s="51"/>
    </row>
    <row r="442" spans="1:30" customFormat="1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1"/>
      <c r="X442" s="51"/>
      <c r="Y442" s="216"/>
      <c r="Z442" s="216"/>
      <c r="AA442" s="51"/>
      <c r="AB442" s="51"/>
      <c r="AC442" s="51"/>
      <c r="AD442" s="51"/>
    </row>
    <row r="443" spans="1:30" customFormat="1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1"/>
      <c r="X443" s="51"/>
      <c r="Y443" s="216"/>
      <c r="Z443" s="216"/>
      <c r="AA443" s="51"/>
      <c r="AB443" s="51"/>
      <c r="AC443" s="51"/>
      <c r="AD443" s="51"/>
    </row>
    <row r="444" spans="1:30" customFormat="1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1"/>
      <c r="X444" s="51"/>
      <c r="Y444" s="216"/>
      <c r="Z444" s="216"/>
      <c r="AA444" s="51"/>
      <c r="AB444" s="51"/>
      <c r="AC444" s="51"/>
      <c r="AD444" s="51"/>
    </row>
    <row r="445" spans="1:30" customFormat="1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1"/>
      <c r="X445" s="51"/>
      <c r="Y445" s="216"/>
      <c r="Z445" s="216"/>
      <c r="AA445" s="51"/>
      <c r="AB445" s="51"/>
      <c r="AC445" s="51"/>
      <c r="AD445" s="51"/>
    </row>
    <row r="446" spans="1:30" customFormat="1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1"/>
      <c r="X446" s="51"/>
      <c r="Y446" s="216"/>
      <c r="Z446" s="216"/>
      <c r="AA446" s="51"/>
      <c r="AB446" s="51"/>
      <c r="AC446" s="51"/>
      <c r="AD446" s="51"/>
    </row>
    <row r="447" spans="1:30" customFormat="1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1"/>
      <c r="X447" s="51"/>
      <c r="Y447" s="216"/>
      <c r="Z447" s="216"/>
      <c r="AA447" s="51"/>
      <c r="AB447" s="51"/>
      <c r="AC447" s="51"/>
      <c r="AD447" s="51"/>
    </row>
    <row r="448" spans="1:30" customFormat="1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1"/>
      <c r="X448" s="51"/>
      <c r="Y448" s="216"/>
      <c r="Z448" s="216"/>
      <c r="AA448" s="51"/>
      <c r="AB448" s="51"/>
      <c r="AC448" s="51"/>
      <c r="AD448" s="51"/>
    </row>
    <row r="449" spans="1:30" customFormat="1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1"/>
      <c r="X449" s="51"/>
      <c r="Y449" s="216"/>
      <c r="Z449" s="216"/>
      <c r="AA449" s="51"/>
      <c r="AB449" s="51"/>
      <c r="AC449" s="51"/>
      <c r="AD449" s="51"/>
    </row>
    <row r="450" spans="1:30" customFormat="1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1"/>
      <c r="X450" s="51"/>
      <c r="Y450" s="216"/>
      <c r="Z450" s="216"/>
      <c r="AA450" s="51"/>
      <c r="AB450" s="51"/>
      <c r="AC450" s="51"/>
      <c r="AD450" s="51"/>
    </row>
    <row r="451" spans="1:30" customFormat="1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1"/>
      <c r="X451" s="51"/>
      <c r="Y451" s="216"/>
      <c r="Z451" s="216"/>
      <c r="AA451" s="51"/>
      <c r="AB451" s="51"/>
      <c r="AC451" s="51"/>
      <c r="AD451" s="51"/>
    </row>
    <row r="452" spans="1:30" customFormat="1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1"/>
      <c r="X452" s="51"/>
      <c r="Y452" s="216"/>
      <c r="Z452" s="216"/>
      <c r="AA452" s="51"/>
      <c r="AB452" s="51"/>
      <c r="AC452" s="51"/>
      <c r="AD452" s="51"/>
    </row>
    <row r="453" spans="1:30" customFormat="1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1"/>
      <c r="X453" s="51"/>
      <c r="Y453" s="216"/>
      <c r="Z453" s="216"/>
      <c r="AA453" s="51"/>
      <c r="AB453" s="51"/>
      <c r="AC453" s="51"/>
      <c r="AD453" s="51"/>
    </row>
    <row r="454" spans="1:30" customFormat="1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1"/>
      <c r="X454" s="51"/>
      <c r="Y454" s="216"/>
      <c r="Z454" s="216"/>
      <c r="AA454" s="51"/>
      <c r="AB454" s="51"/>
      <c r="AC454" s="51"/>
      <c r="AD454" s="51"/>
    </row>
    <row r="455" spans="1:30" customFormat="1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1"/>
      <c r="X455" s="51"/>
      <c r="Y455" s="216"/>
      <c r="Z455" s="216"/>
      <c r="AA455" s="51"/>
      <c r="AB455" s="51"/>
      <c r="AC455" s="51"/>
      <c r="AD455" s="51"/>
    </row>
    <row r="456" spans="1:30" customFormat="1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1"/>
      <c r="X456" s="51"/>
      <c r="Y456" s="216"/>
      <c r="Z456" s="216"/>
      <c r="AA456" s="51"/>
      <c r="AB456" s="51"/>
      <c r="AC456" s="51"/>
      <c r="AD456" s="51"/>
    </row>
    <row r="457" spans="1:30" customFormat="1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1"/>
      <c r="X457" s="51"/>
      <c r="Y457" s="216"/>
      <c r="Z457" s="216"/>
      <c r="AA457" s="51"/>
      <c r="AB457" s="51"/>
      <c r="AC457" s="51"/>
      <c r="AD457" s="51"/>
    </row>
    <row r="458" spans="1:30" customFormat="1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1"/>
      <c r="X458" s="51"/>
      <c r="Y458" s="216"/>
      <c r="Z458" s="216"/>
      <c r="AA458" s="51"/>
      <c r="AB458" s="51"/>
      <c r="AC458" s="51"/>
      <c r="AD458" s="51"/>
    </row>
    <row r="459" spans="1:30">
      <c r="A459" s="81"/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2"/>
      <c r="X459" s="82"/>
      <c r="Y459" s="216"/>
      <c r="Z459" s="216"/>
      <c r="AA459" s="82"/>
      <c r="AB459" s="82"/>
      <c r="AC459" s="82"/>
      <c r="AD459" s="82"/>
    </row>
    <row r="460" spans="1:30"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2"/>
      <c r="X460" s="82"/>
      <c r="Y460" s="216"/>
      <c r="Z460" s="216"/>
      <c r="AA460" s="82"/>
      <c r="AB460" s="82"/>
      <c r="AC460" s="82"/>
      <c r="AD460" s="82"/>
    </row>
    <row r="461" spans="1:30"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2"/>
      <c r="X461" s="82"/>
      <c r="Y461" s="216"/>
      <c r="Z461" s="216"/>
      <c r="AA461" s="82"/>
      <c r="AB461" s="82"/>
      <c r="AC461" s="82"/>
      <c r="AD461" s="82"/>
    </row>
    <row r="462" spans="1:30"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2"/>
      <c r="X462" s="82"/>
      <c r="Y462" s="216"/>
      <c r="Z462" s="216"/>
      <c r="AA462" s="82"/>
      <c r="AB462" s="82"/>
      <c r="AC462" s="82"/>
      <c r="AD462" s="82"/>
    </row>
    <row r="463" spans="1:30"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2"/>
      <c r="X463" s="82"/>
      <c r="Y463" s="216"/>
      <c r="Z463" s="216"/>
      <c r="AA463" s="82"/>
      <c r="AB463" s="82"/>
      <c r="AC463" s="82"/>
      <c r="AD463" s="82"/>
    </row>
    <row r="464" spans="1:30"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2"/>
      <c r="X464" s="82"/>
      <c r="Y464" s="216"/>
      <c r="Z464" s="216"/>
      <c r="AA464" s="82"/>
      <c r="AB464" s="82"/>
      <c r="AC464" s="82"/>
      <c r="AD464" s="82"/>
    </row>
    <row r="465" spans="8:30"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2"/>
      <c r="X465" s="82"/>
      <c r="Y465" s="216"/>
      <c r="Z465" s="216"/>
      <c r="AA465" s="82"/>
      <c r="AB465" s="82"/>
      <c r="AC465" s="82"/>
      <c r="AD465" s="82"/>
    </row>
    <row r="466" spans="8:30"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2"/>
      <c r="X466" s="82"/>
      <c r="Y466" s="216"/>
      <c r="Z466" s="216"/>
      <c r="AA466" s="82"/>
      <c r="AB466" s="82"/>
      <c r="AC466" s="82"/>
      <c r="AD466" s="82"/>
    </row>
    <row r="467" spans="8:30"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2"/>
      <c r="X467" s="82"/>
      <c r="Y467" s="216"/>
      <c r="Z467" s="216"/>
      <c r="AA467" s="82"/>
      <c r="AB467" s="82"/>
      <c r="AC467" s="82"/>
      <c r="AD467" s="82"/>
    </row>
    <row r="468" spans="8:30"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2"/>
      <c r="X468" s="82"/>
      <c r="Y468" s="216"/>
      <c r="Z468" s="216"/>
      <c r="AA468" s="82"/>
      <c r="AB468" s="82"/>
      <c r="AC468" s="82"/>
      <c r="AD468" s="82"/>
    </row>
    <row r="469" spans="8:30"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2"/>
      <c r="X469" s="82"/>
      <c r="Y469" s="216"/>
      <c r="Z469" s="216"/>
      <c r="AA469" s="82"/>
      <c r="AB469" s="82"/>
      <c r="AC469" s="82"/>
      <c r="AD469" s="82"/>
    </row>
    <row r="470" spans="8:30"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2"/>
      <c r="X470" s="82"/>
      <c r="Y470" s="216"/>
      <c r="Z470" s="216"/>
      <c r="AA470" s="82"/>
      <c r="AB470" s="82"/>
      <c r="AC470" s="82"/>
      <c r="AD470" s="82"/>
    </row>
    <row r="471" spans="8:30"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2"/>
      <c r="X471" s="82"/>
      <c r="Y471" s="216"/>
      <c r="Z471" s="216"/>
      <c r="AA471" s="82"/>
      <c r="AB471" s="82"/>
      <c r="AC471" s="82"/>
      <c r="AD471" s="82"/>
    </row>
    <row r="472" spans="8:30"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2"/>
      <c r="X472" s="82"/>
      <c r="Y472" s="216"/>
      <c r="Z472" s="216"/>
      <c r="AA472" s="82"/>
      <c r="AB472" s="82"/>
      <c r="AC472" s="82"/>
      <c r="AD472" s="82"/>
    </row>
    <row r="473" spans="8:30"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2"/>
      <c r="X473" s="82"/>
      <c r="Y473" s="216"/>
      <c r="Z473" s="216"/>
      <c r="AA473" s="82"/>
      <c r="AB473" s="82"/>
      <c r="AC473" s="82"/>
      <c r="AD473" s="82"/>
    </row>
    <row r="474" spans="8:30"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2"/>
      <c r="X474" s="82"/>
      <c r="Y474" s="216"/>
      <c r="Z474" s="216"/>
      <c r="AA474" s="82"/>
      <c r="AB474" s="82"/>
      <c r="AC474" s="82"/>
      <c r="AD474" s="82"/>
    </row>
    <row r="475" spans="8:30"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2"/>
      <c r="X475" s="82"/>
      <c r="Y475" s="216"/>
      <c r="Z475" s="216"/>
      <c r="AA475" s="82"/>
      <c r="AB475" s="82"/>
      <c r="AC475" s="82"/>
      <c r="AD475" s="82"/>
    </row>
    <row r="476" spans="8:30"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2"/>
      <c r="X476" s="82"/>
      <c r="Y476" s="216"/>
      <c r="Z476" s="216"/>
      <c r="AA476" s="82"/>
      <c r="AB476" s="82"/>
      <c r="AC476" s="82"/>
      <c r="AD476" s="82"/>
    </row>
    <row r="477" spans="8:30"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2"/>
      <c r="X477" s="82"/>
      <c r="Y477" s="216"/>
      <c r="Z477" s="216"/>
      <c r="AA477" s="82"/>
      <c r="AB477" s="82"/>
      <c r="AC477" s="82"/>
      <c r="AD477" s="82"/>
    </row>
    <row r="478" spans="8:30"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2"/>
      <c r="X478" s="82"/>
      <c r="Y478" s="216"/>
      <c r="Z478" s="216"/>
      <c r="AA478" s="82"/>
      <c r="AB478" s="82"/>
      <c r="AC478" s="82"/>
      <c r="AD478" s="82"/>
    </row>
    <row r="479" spans="8:30"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2"/>
      <c r="X479" s="82"/>
      <c r="Y479" s="216"/>
      <c r="Z479" s="216"/>
      <c r="AA479" s="82"/>
      <c r="AB479" s="82"/>
      <c r="AC479" s="82"/>
      <c r="AD479" s="82"/>
    </row>
    <row r="480" spans="8:30"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2"/>
      <c r="X480" s="82"/>
      <c r="Y480" s="216"/>
      <c r="Z480" s="216"/>
      <c r="AA480" s="82"/>
      <c r="AB480" s="82"/>
      <c r="AC480" s="82"/>
      <c r="AD480" s="82"/>
    </row>
    <row r="481" spans="8:30"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2"/>
      <c r="X481" s="82"/>
      <c r="Y481" s="216"/>
      <c r="Z481" s="216"/>
      <c r="AA481" s="82"/>
      <c r="AB481" s="82"/>
      <c r="AC481" s="82"/>
      <c r="AD481" s="82"/>
    </row>
    <row r="482" spans="8:30"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2"/>
      <c r="X482" s="82"/>
      <c r="Y482" s="216"/>
      <c r="Z482" s="216"/>
      <c r="AA482" s="82"/>
      <c r="AB482" s="82"/>
      <c r="AC482" s="82"/>
      <c r="AD482" s="82"/>
    </row>
    <row r="483" spans="8:30"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2"/>
      <c r="X483" s="82"/>
      <c r="Y483" s="216"/>
      <c r="Z483" s="216"/>
      <c r="AA483" s="82"/>
      <c r="AB483" s="82"/>
      <c r="AC483" s="82"/>
      <c r="AD483" s="82"/>
    </row>
    <row r="484" spans="8:30"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2"/>
      <c r="X484" s="82"/>
      <c r="Y484" s="216"/>
      <c r="Z484" s="216"/>
      <c r="AA484" s="82"/>
      <c r="AB484" s="82"/>
      <c r="AC484" s="82"/>
      <c r="AD484" s="82"/>
    </row>
    <row r="485" spans="8:30"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2"/>
      <c r="X485" s="82"/>
      <c r="Y485" s="216"/>
      <c r="Z485" s="216"/>
      <c r="AA485" s="82"/>
      <c r="AB485" s="82"/>
      <c r="AC485" s="82"/>
      <c r="AD485" s="82"/>
    </row>
    <row r="486" spans="8:30"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2"/>
      <c r="X486" s="82"/>
      <c r="Y486" s="216"/>
      <c r="Z486" s="216"/>
      <c r="AA486" s="82"/>
      <c r="AB486" s="82"/>
      <c r="AC486" s="82"/>
      <c r="AD486" s="82"/>
    </row>
    <row r="487" spans="8:30"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2"/>
      <c r="X487" s="82"/>
      <c r="Y487" s="216"/>
      <c r="Z487" s="216"/>
      <c r="AA487" s="82"/>
      <c r="AB487" s="82"/>
      <c r="AC487" s="82"/>
      <c r="AD487" s="82"/>
    </row>
    <row r="488" spans="8:30"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2"/>
      <c r="X488" s="82"/>
      <c r="Y488" s="216"/>
      <c r="Z488" s="216"/>
      <c r="AA488" s="82"/>
      <c r="AB488" s="82"/>
      <c r="AC488" s="82"/>
      <c r="AD488" s="82"/>
    </row>
    <row r="489" spans="8:30"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2"/>
      <c r="X489" s="82"/>
      <c r="Y489" s="216"/>
      <c r="Z489" s="216"/>
      <c r="AA489" s="82"/>
      <c r="AB489" s="82"/>
      <c r="AC489" s="82"/>
      <c r="AD489" s="82"/>
    </row>
    <row r="490" spans="8:30"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2"/>
      <c r="X490" s="82"/>
      <c r="Y490" s="216"/>
      <c r="Z490" s="216"/>
      <c r="AA490" s="82"/>
      <c r="AB490" s="82"/>
      <c r="AC490" s="82"/>
      <c r="AD490" s="82"/>
    </row>
    <row r="491" spans="8:30"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2"/>
      <c r="X491" s="82"/>
      <c r="Y491" s="216"/>
      <c r="Z491" s="216"/>
      <c r="AA491" s="82"/>
      <c r="AB491" s="82"/>
      <c r="AC491" s="82"/>
      <c r="AD491" s="82"/>
    </row>
    <row r="492" spans="8:30"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2"/>
      <c r="X492" s="82"/>
      <c r="Y492" s="216"/>
      <c r="Z492" s="216"/>
      <c r="AA492" s="82"/>
      <c r="AB492" s="82"/>
      <c r="AC492" s="82"/>
      <c r="AD492" s="82"/>
    </row>
    <row r="493" spans="8:30"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2"/>
      <c r="X493" s="82"/>
      <c r="Y493" s="216"/>
      <c r="Z493" s="216"/>
      <c r="AA493" s="82"/>
      <c r="AB493" s="82"/>
      <c r="AC493" s="82"/>
      <c r="AD493" s="82"/>
    </row>
    <row r="494" spans="8:30"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2"/>
      <c r="X494" s="82"/>
      <c r="Y494" s="216"/>
      <c r="Z494" s="216"/>
      <c r="AA494" s="82"/>
      <c r="AB494" s="82"/>
      <c r="AC494" s="82"/>
      <c r="AD494" s="82"/>
    </row>
    <row r="495" spans="8:30"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2"/>
      <c r="X495" s="82"/>
      <c r="Y495" s="216"/>
      <c r="Z495" s="216"/>
      <c r="AA495" s="82"/>
      <c r="AB495" s="82"/>
      <c r="AC495" s="82"/>
      <c r="AD495" s="82"/>
    </row>
    <row r="496" spans="8:30"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2"/>
      <c r="X496" s="82"/>
      <c r="Y496" s="216"/>
      <c r="Z496" s="216"/>
      <c r="AA496" s="82"/>
      <c r="AB496" s="82"/>
      <c r="AC496" s="82"/>
      <c r="AD496" s="82"/>
    </row>
    <row r="497" spans="8:30"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2"/>
      <c r="X497" s="82"/>
      <c r="Y497" s="216"/>
      <c r="Z497" s="216"/>
      <c r="AA497" s="82"/>
      <c r="AB497" s="82"/>
      <c r="AC497" s="82"/>
      <c r="AD497" s="82"/>
    </row>
    <row r="498" spans="8:30"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2"/>
      <c r="X498" s="82"/>
      <c r="Y498" s="216"/>
      <c r="Z498" s="216"/>
      <c r="AA498" s="82"/>
      <c r="AB498" s="82"/>
      <c r="AC498" s="82"/>
      <c r="AD498" s="82"/>
    </row>
    <row r="499" spans="8:30"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2"/>
      <c r="X499" s="82"/>
      <c r="Y499" s="216"/>
      <c r="Z499" s="216"/>
      <c r="AA499" s="82"/>
      <c r="AB499" s="82"/>
      <c r="AC499" s="82"/>
      <c r="AD499" s="82"/>
    </row>
    <row r="500" spans="8:30"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2"/>
      <c r="X500" s="82"/>
      <c r="Y500" s="216"/>
      <c r="Z500" s="216"/>
      <c r="AA500" s="82"/>
      <c r="AB500" s="82"/>
      <c r="AC500" s="82"/>
      <c r="AD500" s="82"/>
    </row>
    <row r="501" spans="8:30"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2"/>
      <c r="X501" s="82"/>
      <c r="Y501" s="216"/>
      <c r="Z501" s="216"/>
      <c r="AA501" s="82"/>
      <c r="AB501" s="82"/>
      <c r="AC501" s="82"/>
      <c r="AD501" s="82"/>
    </row>
    <row r="502" spans="8:30"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2"/>
      <c r="X502" s="82"/>
      <c r="Y502" s="216"/>
      <c r="Z502" s="216"/>
      <c r="AA502" s="82"/>
      <c r="AB502" s="82"/>
      <c r="AC502" s="82"/>
      <c r="AD502" s="82"/>
    </row>
    <row r="503" spans="8:30"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2"/>
      <c r="X503" s="82"/>
      <c r="Y503" s="216"/>
      <c r="Z503" s="216"/>
      <c r="AA503" s="82"/>
      <c r="AB503" s="82"/>
      <c r="AC503" s="82"/>
      <c r="AD503" s="82"/>
    </row>
    <row r="504" spans="8:30"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2"/>
      <c r="X504" s="82"/>
      <c r="Y504" s="216"/>
      <c r="Z504" s="216"/>
      <c r="AA504" s="82"/>
      <c r="AB504" s="82"/>
      <c r="AC504" s="82"/>
      <c r="AD504" s="82"/>
    </row>
    <row r="505" spans="8:30"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2"/>
      <c r="X505" s="82"/>
      <c r="Y505" s="216"/>
      <c r="Z505" s="216"/>
      <c r="AA505" s="82"/>
      <c r="AB505" s="82"/>
      <c r="AC505" s="82"/>
      <c r="AD505" s="82"/>
    </row>
    <row r="506" spans="8:30"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2"/>
      <c r="X506" s="82"/>
      <c r="Y506" s="216"/>
      <c r="Z506" s="216"/>
      <c r="AA506" s="82"/>
      <c r="AB506" s="82"/>
      <c r="AC506" s="82"/>
      <c r="AD506" s="82"/>
    </row>
    <row r="507" spans="8:30"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2"/>
      <c r="X507" s="82"/>
      <c r="Y507" s="216"/>
      <c r="Z507" s="216"/>
      <c r="AA507" s="82"/>
      <c r="AB507" s="82"/>
      <c r="AC507" s="82"/>
      <c r="AD507" s="82"/>
    </row>
    <row r="508" spans="8:30"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2"/>
      <c r="X508" s="82"/>
      <c r="Y508" s="216"/>
      <c r="Z508" s="216"/>
      <c r="AA508" s="82"/>
      <c r="AB508" s="82"/>
      <c r="AC508" s="82"/>
      <c r="AD508" s="82"/>
    </row>
    <row r="509" spans="8:30"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2"/>
      <c r="X509" s="82"/>
      <c r="Y509" s="216"/>
      <c r="Z509" s="216"/>
      <c r="AA509" s="82"/>
      <c r="AB509" s="82"/>
      <c r="AC509" s="82"/>
      <c r="AD509" s="82"/>
    </row>
    <row r="510" spans="8:30"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2"/>
      <c r="X510" s="82"/>
      <c r="Y510" s="216"/>
      <c r="Z510" s="216"/>
      <c r="AA510" s="82"/>
      <c r="AB510" s="82"/>
      <c r="AC510" s="82"/>
      <c r="AD510" s="82"/>
    </row>
    <row r="511" spans="8:30"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2"/>
      <c r="X511" s="82"/>
      <c r="Y511" s="216"/>
      <c r="Z511" s="216"/>
      <c r="AA511" s="82"/>
      <c r="AB511" s="82"/>
      <c r="AC511" s="82"/>
      <c r="AD511" s="82"/>
    </row>
    <row r="512" spans="8:30"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2"/>
      <c r="X512" s="82"/>
      <c r="Y512" s="216"/>
      <c r="Z512" s="216"/>
      <c r="AA512" s="82"/>
      <c r="AB512" s="82"/>
      <c r="AC512" s="82"/>
      <c r="AD512" s="82"/>
    </row>
    <row r="513" spans="8:30"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2"/>
      <c r="X513" s="82"/>
      <c r="Y513" s="216"/>
      <c r="Z513" s="216"/>
      <c r="AA513" s="82"/>
      <c r="AB513" s="82"/>
      <c r="AC513" s="82"/>
      <c r="AD513" s="82"/>
    </row>
    <row r="514" spans="8:30"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2"/>
      <c r="X514" s="82"/>
      <c r="Y514" s="216"/>
      <c r="Z514" s="216"/>
      <c r="AA514" s="82"/>
      <c r="AB514" s="82"/>
      <c r="AC514" s="82"/>
      <c r="AD514" s="82"/>
    </row>
    <row r="515" spans="8:30"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2"/>
      <c r="X515" s="82"/>
      <c r="Y515" s="216"/>
      <c r="Z515" s="216"/>
      <c r="AA515" s="82"/>
      <c r="AB515" s="82"/>
      <c r="AC515" s="82"/>
      <c r="AD515" s="82"/>
    </row>
    <row r="516" spans="8:30"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2"/>
      <c r="X516" s="82"/>
      <c r="Y516" s="216"/>
      <c r="Z516" s="216"/>
      <c r="AA516" s="82"/>
      <c r="AB516" s="82"/>
      <c r="AC516" s="82"/>
      <c r="AD516" s="82"/>
    </row>
    <row r="517" spans="8:30"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2"/>
      <c r="X517" s="82"/>
      <c r="Y517" s="216"/>
      <c r="Z517" s="216"/>
      <c r="AA517" s="82"/>
      <c r="AB517" s="82"/>
      <c r="AC517" s="82"/>
      <c r="AD517" s="82"/>
    </row>
    <row r="518" spans="8:30"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2"/>
      <c r="X518" s="82"/>
      <c r="Y518" s="216"/>
      <c r="Z518" s="216"/>
      <c r="AA518" s="82"/>
      <c r="AB518" s="82"/>
      <c r="AC518" s="82"/>
      <c r="AD518" s="82"/>
    </row>
    <row r="519" spans="8:30"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2"/>
      <c r="X519" s="82"/>
      <c r="Y519" s="216"/>
      <c r="Z519" s="216"/>
      <c r="AA519" s="82"/>
      <c r="AB519" s="82"/>
      <c r="AC519" s="82"/>
      <c r="AD519" s="82"/>
    </row>
    <row r="520" spans="8:30"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2"/>
      <c r="X520" s="82"/>
      <c r="Y520" s="216"/>
      <c r="Z520" s="216"/>
      <c r="AA520" s="82"/>
      <c r="AB520" s="82"/>
      <c r="AC520" s="82"/>
      <c r="AD520" s="82"/>
    </row>
    <row r="521" spans="8:30"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2"/>
      <c r="X521" s="82"/>
      <c r="Y521" s="216"/>
      <c r="Z521" s="216"/>
      <c r="AA521" s="82"/>
      <c r="AB521" s="82"/>
      <c r="AC521" s="82"/>
      <c r="AD521" s="82"/>
    </row>
    <row r="522" spans="8:30"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2"/>
      <c r="X522" s="82"/>
      <c r="Y522" s="216"/>
      <c r="Z522" s="216"/>
      <c r="AA522" s="82"/>
      <c r="AB522" s="82"/>
      <c r="AC522" s="82"/>
      <c r="AD522" s="82"/>
    </row>
    <row r="523" spans="8:30"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2"/>
      <c r="X523" s="82"/>
      <c r="Y523" s="216"/>
      <c r="Z523" s="216"/>
      <c r="AA523" s="82"/>
      <c r="AB523" s="82"/>
      <c r="AC523" s="82"/>
      <c r="AD523" s="82"/>
    </row>
    <row r="524" spans="8:30"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2"/>
      <c r="X524" s="82"/>
      <c r="Y524" s="216"/>
      <c r="Z524" s="216"/>
      <c r="AA524" s="82"/>
      <c r="AB524" s="82"/>
      <c r="AC524" s="82"/>
      <c r="AD524" s="82"/>
    </row>
    <row r="525" spans="8:30"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2"/>
      <c r="X525" s="82"/>
      <c r="Y525" s="216"/>
      <c r="Z525" s="216"/>
      <c r="AA525" s="82"/>
      <c r="AB525" s="82"/>
      <c r="AC525" s="82"/>
      <c r="AD525" s="82"/>
    </row>
    <row r="526" spans="8:30"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2"/>
      <c r="X526" s="82"/>
      <c r="Y526" s="216"/>
      <c r="Z526" s="216"/>
      <c r="AA526" s="82"/>
      <c r="AB526" s="82"/>
      <c r="AC526" s="82"/>
      <c r="AD526" s="82"/>
    </row>
    <row r="527" spans="8:30"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2"/>
      <c r="X527" s="82"/>
      <c r="Y527" s="216"/>
      <c r="Z527" s="216"/>
      <c r="AA527" s="82"/>
      <c r="AB527" s="82"/>
      <c r="AC527" s="82"/>
      <c r="AD527" s="82"/>
    </row>
    <row r="528" spans="8:30"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2"/>
      <c r="X528" s="82"/>
      <c r="Y528" s="216"/>
      <c r="Z528" s="216"/>
      <c r="AA528" s="82"/>
      <c r="AB528" s="82"/>
      <c r="AC528" s="82"/>
      <c r="AD528" s="82"/>
    </row>
    <row r="529" spans="8:30"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2"/>
      <c r="X529" s="82"/>
      <c r="Y529" s="216"/>
      <c r="Z529" s="216"/>
      <c r="AA529" s="82"/>
      <c r="AB529" s="82"/>
      <c r="AC529" s="82"/>
      <c r="AD529" s="82"/>
    </row>
    <row r="530" spans="8:30"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2"/>
      <c r="X530" s="82"/>
      <c r="Y530" s="216"/>
      <c r="Z530" s="216"/>
      <c r="AA530" s="82"/>
      <c r="AB530" s="82"/>
      <c r="AC530" s="82"/>
      <c r="AD530" s="82"/>
    </row>
    <row r="531" spans="8:30"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2"/>
      <c r="X531" s="82"/>
      <c r="Y531" s="216"/>
      <c r="Z531" s="216"/>
      <c r="AA531" s="82"/>
      <c r="AB531" s="82"/>
      <c r="AC531" s="82"/>
      <c r="AD531" s="82"/>
    </row>
    <row r="532" spans="8:30"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2"/>
      <c r="X532" s="82"/>
      <c r="Y532" s="216"/>
      <c r="Z532" s="216"/>
      <c r="AA532" s="82"/>
      <c r="AB532" s="82"/>
      <c r="AC532" s="82"/>
      <c r="AD532" s="82"/>
    </row>
    <row r="533" spans="8:30"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2"/>
      <c r="X533" s="82"/>
      <c r="Y533" s="216"/>
      <c r="Z533" s="216"/>
      <c r="AA533" s="82"/>
      <c r="AB533" s="82"/>
      <c r="AC533" s="82"/>
      <c r="AD533" s="82"/>
    </row>
    <row r="534" spans="8:30"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2"/>
      <c r="X534" s="82"/>
      <c r="Y534" s="216"/>
      <c r="Z534" s="216"/>
      <c r="AA534" s="82"/>
      <c r="AB534" s="82"/>
      <c r="AC534" s="82"/>
      <c r="AD534" s="82"/>
    </row>
    <row r="535" spans="8:30"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2"/>
      <c r="X535" s="82"/>
      <c r="Y535" s="216"/>
      <c r="Z535" s="216"/>
      <c r="AA535" s="82"/>
      <c r="AB535" s="82"/>
      <c r="AC535" s="82"/>
      <c r="AD535" s="82"/>
    </row>
    <row r="536" spans="8:30"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2"/>
      <c r="X536" s="82"/>
      <c r="Y536" s="216"/>
      <c r="Z536" s="216"/>
      <c r="AA536" s="82"/>
      <c r="AB536" s="82"/>
      <c r="AC536" s="82"/>
      <c r="AD536" s="82"/>
    </row>
    <row r="537" spans="8:30"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2"/>
      <c r="X537" s="82"/>
      <c r="Y537" s="216"/>
      <c r="Z537" s="216"/>
      <c r="AA537" s="82"/>
      <c r="AB537" s="82"/>
      <c r="AC537" s="82"/>
      <c r="AD537" s="82"/>
    </row>
    <row r="538" spans="8:30"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2"/>
      <c r="X538" s="82"/>
      <c r="Y538" s="216"/>
      <c r="Z538" s="216"/>
      <c r="AA538" s="82"/>
      <c r="AB538" s="82"/>
      <c r="AC538" s="82"/>
      <c r="AD538" s="82"/>
    </row>
    <row r="539" spans="8:30"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2"/>
      <c r="X539" s="82"/>
      <c r="Y539" s="216"/>
      <c r="Z539" s="216"/>
      <c r="AA539" s="82"/>
      <c r="AB539" s="82"/>
      <c r="AC539" s="82"/>
      <c r="AD539" s="82"/>
    </row>
    <row r="540" spans="8:30"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2"/>
      <c r="X540" s="82"/>
      <c r="Y540" s="216"/>
      <c r="Z540" s="216"/>
      <c r="AA540" s="82"/>
      <c r="AB540" s="82"/>
      <c r="AC540" s="82"/>
      <c r="AD540" s="82"/>
    </row>
    <row r="541" spans="8:30"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2"/>
      <c r="X541" s="82"/>
      <c r="Y541" s="216"/>
      <c r="Z541" s="216"/>
      <c r="AA541" s="82"/>
      <c r="AB541" s="82"/>
      <c r="AC541" s="82"/>
      <c r="AD541" s="82"/>
    </row>
    <row r="542" spans="8:30"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2"/>
      <c r="X542" s="82"/>
      <c r="Y542" s="216"/>
      <c r="Z542" s="216"/>
      <c r="AA542" s="82"/>
      <c r="AB542" s="82"/>
      <c r="AC542" s="82"/>
      <c r="AD542" s="82"/>
    </row>
    <row r="543" spans="8:30"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2"/>
      <c r="X543" s="82"/>
      <c r="Y543" s="216"/>
      <c r="Z543" s="216"/>
      <c r="AA543" s="82"/>
      <c r="AB543" s="82"/>
      <c r="AC543" s="82"/>
      <c r="AD543" s="82"/>
    </row>
    <row r="544" spans="8:30"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2"/>
      <c r="X544" s="82"/>
      <c r="Y544" s="216"/>
      <c r="Z544" s="216"/>
      <c r="AA544" s="82"/>
      <c r="AB544" s="82"/>
      <c r="AC544" s="82"/>
      <c r="AD544" s="82"/>
    </row>
    <row r="545" spans="8:30"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2"/>
      <c r="X545" s="82"/>
      <c r="Y545" s="216"/>
      <c r="Z545" s="216"/>
      <c r="AA545" s="82"/>
      <c r="AB545" s="82"/>
      <c r="AC545" s="82"/>
      <c r="AD545" s="82"/>
    </row>
    <row r="546" spans="8:30"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2"/>
      <c r="X546" s="82"/>
      <c r="Y546" s="216"/>
      <c r="Z546" s="216"/>
      <c r="AA546" s="82"/>
      <c r="AB546" s="82"/>
      <c r="AC546" s="82"/>
      <c r="AD546" s="82"/>
    </row>
    <row r="547" spans="8:30"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2"/>
      <c r="X547" s="82"/>
      <c r="Y547" s="216"/>
      <c r="Z547" s="216"/>
      <c r="AA547" s="82"/>
      <c r="AB547" s="82"/>
      <c r="AC547" s="82"/>
      <c r="AD547" s="82"/>
    </row>
    <row r="548" spans="8:30"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2"/>
      <c r="X548" s="82"/>
      <c r="Y548" s="216"/>
      <c r="Z548" s="216"/>
      <c r="AA548" s="82"/>
      <c r="AB548" s="82"/>
      <c r="AC548" s="82"/>
      <c r="AD548" s="82"/>
    </row>
    <row r="549" spans="8:30"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2"/>
      <c r="X549" s="82"/>
      <c r="Y549" s="216"/>
      <c r="Z549" s="216"/>
      <c r="AA549" s="82"/>
      <c r="AB549" s="82"/>
      <c r="AC549" s="82"/>
      <c r="AD549" s="82"/>
    </row>
    <row r="550" spans="8:30"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2"/>
      <c r="X550" s="82"/>
      <c r="Y550" s="216"/>
      <c r="Z550" s="216"/>
      <c r="AA550" s="82"/>
      <c r="AB550" s="82"/>
      <c r="AC550" s="82"/>
      <c r="AD550" s="82"/>
    </row>
    <row r="551" spans="8:30"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2"/>
      <c r="X551" s="82"/>
      <c r="Y551" s="216"/>
      <c r="Z551" s="216"/>
      <c r="AA551" s="82"/>
      <c r="AB551" s="82"/>
      <c r="AC551" s="82"/>
      <c r="AD551" s="82"/>
    </row>
    <row r="552" spans="8:30"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2"/>
      <c r="X552" s="82"/>
      <c r="Y552" s="216"/>
      <c r="Z552" s="216"/>
      <c r="AA552" s="82"/>
      <c r="AB552" s="82"/>
      <c r="AC552" s="82"/>
      <c r="AD552" s="82"/>
    </row>
    <row r="553" spans="8:30"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2"/>
      <c r="X553" s="82"/>
      <c r="Y553" s="216"/>
      <c r="Z553" s="216"/>
      <c r="AA553" s="82"/>
      <c r="AB553" s="82"/>
      <c r="AC553" s="82"/>
      <c r="AD553" s="82"/>
    </row>
    <row r="554" spans="8:30"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2"/>
      <c r="X554" s="82"/>
      <c r="Y554" s="216"/>
      <c r="Z554" s="216"/>
      <c r="AA554" s="82"/>
      <c r="AB554" s="82"/>
      <c r="AC554" s="82"/>
      <c r="AD554" s="82"/>
    </row>
    <row r="555" spans="8:30"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2"/>
      <c r="X555" s="82"/>
      <c r="Y555" s="216"/>
      <c r="Z555" s="216"/>
      <c r="AA555" s="82"/>
      <c r="AB555" s="82"/>
      <c r="AC555" s="82"/>
      <c r="AD555" s="82"/>
    </row>
    <row r="556" spans="8:30"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2"/>
      <c r="X556" s="82"/>
      <c r="Y556" s="216"/>
      <c r="Z556" s="216"/>
      <c r="AA556" s="82"/>
      <c r="AB556" s="82"/>
      <c r="AC556" s="82"/>
      <c r="AD556" s="82"/>
    </row>
    <row r="557" spans="8:30"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2"/>
      <c r="X557" s="82"/>
      <c r="Y557" s="216"/>
      <c r="Z557" s="216"/>
      <c r="AA557" s="82"/>
      <c r="AB557" s="82"/>
      <c r="AC557" s="82"/>
      <c r="AD557" s="82"/>
    </row>
    <row r="558" spans="8:30"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2"/>
      <c r="X558" s="82"/>
      <c r="Y558" s="216"/>
      <c r="Z558" s="216"/>
      <c r="AA558" s="82"/>
      <c r="AB558" s="82"/>
      <c r="AC558" s="82"/>
      <c r="AD558" s="82"/>
    </row>
    <row r="559" spans="8:30"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2"/>
      <c r="X559" s="82"/>
      <c r="Y559" s="216"/>
      <c r="Z559" s="216"/>
      <c r="AA559" s="82"/>
      <c r="AB559" s="82"/>
      <c r="AC559" s="82"/>
      <c r="AD559" s="82"/>
    </row>
    <row r="560" spans="8:30"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2"/>
      <c r="X560" s="82"/>
      <c r="Y560" s="216"/>
      <c r="Z560" s="216"/>
      <c r="AA560" s="82"/>
      <c r="AB560" s="82"/>
      <c r="AC560" s="82"/>
      <c r="AD560" s="82"/>
    </row>
    <row r="561" spans="8:30"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2"/>
      <c r="X561" s="82"/>
      <c r="Y561" s="216"/>
      <c r="Z561" s="216"/>
      <c r="AA561" s="82"/>
      <c r="AB561" s="82"/>
      <c r="AC561" s="82"/>
      <c r="AD561" s="82"/>
    </row>
    <row r="562" spans="8:30"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2"/>
      <c r="X562" s="82"/>
      <c r="Y562" s="216"/>
      <c r="Z562" s="216"/>
      <c r="AA562" s="82"/>
      <c r="AB562" s="82"/>
      <c r="AC562" s="82"/>
      <c r="AD562" s="82"/>
    </row>
    <row r="563" spans="8:30"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2"/>
      <c r="X563" s="82"/>
      <c r="Y563" s="216"/>
      <c r="Z563" s="216"/>
      <c r="AA563" s="82"/>
      <c r="AB563" s="82"/>
      <c r="AC563" s="82"/>
      <c r="AD563" s="82"/>
    </row>
    <row r="564" spans="8:30"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2"/>
      <c r="X564" s="82"/>
      <c r="Y564" s="216"/>
      <c r="Z564" s="216"/>
      <c r="AA564" s="82"/>
      <c r="AB564" s="82"/>
      <c r="AC564" s="82"/>
      <c r="AD564" s="82"/>
    </row>
    <row r="565" spans="8:30"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2"/>
      <c r="X565" s="82"/>
      <c r="Y565" s="216"/>
      <c r="Z565" s="216"/>
      <c r="AA565" s="82"/>
      <c r="AB565" s="82"/>
      <c r="AC565" s="82"/>
      <c r="AD565" s="82"/>
    </row>
    <row r="566" spans="8:30"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2"/>
      <c r="X566" s="82"/>
      <c r="Y566" s="216"/>
      <c r="Z566" s="216"/>
      <c r="AA566" s="82"/>
      <c r="AB566" s="82"/>
      <c r="AC566" s="82"/>
      <c r="AD566" s="82"/>
    </row>
    <row r="567" spans="8:30"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2"/>
      <c r="X567" s="82"/>
      <c r="Y567" s="216"/>
      <c r="Z567" s="216"/>
      <c r="AA567" s="82"/>
      <c r="AB567" s="82"/>
      <c r="AC567" s="82"/>
      <c r="AD567" s="82"/>
    </row>
    <row r="568" spans="8:30"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2"/>
      <c r="X568" s="82"/>
      <c r="Y568" s="216"/>
      <c r="Z568" s="216"/>
      <c r="AA568" s="82"/>
      <c r="AB568" s="82"/>
      <c r="AC568" s="82"/>
      <c r="AD568" s="82"/>
    </row>
    <row r="569" spans="8:30"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2"/>
      <c r="X569" s="82"/>
      <c r="Y569" s="216"/>
      <c r="Z569" s="216"/>
      <c r="AA569" s="82"/>
      <c r="AB569" s="82"/>
      <c r="AC569" s="82"/>
      <c r="AD569" s="82"/>
    </row>
    <row r="570" spans="8:30"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2"/>
      <c r="X570" s="82"/>
      <c r="Y570" s="216"/>
      <c r="Z570" s="216"/>
      <c r="AA570" s="82"/>
      <c r="AB570" s="82"/>
      <c r="AC570" s="82"/>
      <c r="AD570" s="82"/>
    </row>
    <row r="571" spans="8:30"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2"/>
      <c r="X571" s="82"/>
      <c r="Y571" s="216"/>
      <c r="Z571" s="216"/>
      <c r="AA571" s="82"/>
      <c r="AB571" s="82"/>
      <c r="AC571" s="82"/>
      <c r="AD571" s="82"/>
    </row>
    <row r="572" spans="8:30"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2"/>
      <c r="X572" s="82"/>
      <c r="Y572" s="216"/>
      <c r="Z572" s="216"/>
      <c r="AA572" s="82"/>
      <c r="AB572" s="82"/>
      <c r="AC572" s="82"/>
      <c r="AD572" s="82"/>
    </row>
    <row r="573" spans="8:30"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2"/>
      <c r="X573" s="82"/>
      <c r="Y573" s="216"/>
      <c r="Z573" s="216"/>
      <c r="AA573" s="82"/>
      <c r="AB573" s="82"/>
      <c r="AC573" s="82"/>
      <c r="AD573" s="82"/>
    </row>
    <row r="574" spans="8:30"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2"/>
      <c r="X574" s="82"/>
      <c r="Y574" s="216"/>
      <c r="Z574" s="216"/>
      <c r="AA574" s="82"/>
      <c r="AB574" s="82"/>
      <c r="AC574" s="82"/>
      <c r="AD574" s="82"/>
    </row>
    <row r="575" spans="8:30"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2"/>
      <c r="X575" s="82"/>
      <c r="Y575" s="216"/>
      <c r="Z575" s="216"/>
      <c r="AA575" s="82"/>
      <c r="AB575" s="82"/>
      <c r="AC575" s="82"/>
      <c r="AD575" s="82"/>
    </row>
    <row r="576" spans="8:30"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2"/>
      <c r="X576" s="82"/>
      <c r="Y576" s="216"/>
      <c r="Z576" s="216"/>
      <c r="AA576" s="82"/>
      <c r="AB576" s="82"/>
      <c r="AC576" s="82"/>
      <c r="AD576" s="82"/>
    </row>
    <row r="577" spans="8:30"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2"/>
      <c r="X577" s="82"/>
      <c r="Y577" s="216"/>
      <c r="Z577" s="216"/>
      <c r="AA577" s="82"/>
      <c r="AB577" s="82"/>
      <c r="AC577" s="82"/>
      <c r="AD577" s="82"/>
    </row>
    <row r="578" spans="8:30"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2"/>
      <c r="X578" s="82"/>
      <c r="Y578" s="216"/>
      <c r="Z578" s="216"/>
      <c r="AA578" s="82"/>
      <c r="AB578" s="82"/>
      <c r="AC578" s="82"/>
      <c r="AD578" s="82"/>
    </row>
    <row r="579" spans="8:30"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2"/>
      <c r="X579" s="82"/>
      <c r="Y579" s="216"/>
      <c r="Z579" s="216"/>
      <c r="AA579" s="82"/>
      <c r="AB579" s="82"/>
      <c r="AC579" s="82"/>
      <c r="AD579" s="82"/>
    </row>
    <row r="580" spans="8:30"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2"/>
      <c r="X580" s="82"/>
      <c r="Y580" s="216"/>
      <c r="Z580" s="216"/>
      <c r="AA580" s="82"/>
      <c r="AB580" s="82"/>
      <c r="AC580" s="82"/>
      <c r="AD580" s="82"/>
    </row>
    <row r="581" spans="8:30"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2"/>
      <c r="X581" s="82"/>
      <c r="Y581" s="216"/>
      <c r="Z581" s="216"/>
      <c r="AA581" s="82"/>
      <c r="AB581" s="82"/>
      <c r="AC581" s="82"/>
      <c r="AD581" s="82"/>
    </row>
    <row r="582" spans="8:30"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2"/>
      <c r="X582" s="82"/>
      <c r="Y582" s="216"/>
      <c r="Z582" s="216"/>
      <c r="AA582" s="82"/>
      <c r="AB582" s="82"/>
      <c r="AC582" s="82"/>
      <c r="AD582" s="82"/>
    </row>
    <row r="583" spans="8:30"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2"/>
      <c r="X583" s="82"/>
      <c r="Y583" s="216"/>
      <c r="Z583" s="216"/>
      <c r="AA583" s="82"/>
      <c r="AB583" s="82"/>
      <c r="AC583" s="82"/>
      <c r="AD583" s="82"/>
    </row>
    <row r="584" spans="8:30"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2"/>
      <c r="X584" s="82"/>
      <c r="Y584" s="216"/>
      <c r="Z584" s="216"/>
      <c r="AA584" s="82"/>
      <c r="AB584" s="82"/>
      <c r="AC584" s="82"/>
      <c r="AD584" s="82"/>
    </row>
    <row r="585" spans="8:30"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2"/>
      <c r="X585" s="82"/>
      <c r="Y585" s="216"/>
      <c r="Z585" s="216"/>
      <c r="AA585" s="82"/>
      <c r="AB585" s="82"/>
      <c r="AC585" s="82"/>
      <c r="AD585" s="82"/>
    </row>
    <row r="586" spans="8:30"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2"/>
      <c r="X586" s="82"/>
      <c r="Y586" s="216"/>
      <c r="Z586" s="216"/>
      <c r="AA586" s="82"/>
      <c r="AB586" s="82"/>
      <c r="AC586" s="82"/>
      <c r="AD586" s="82"/>
    </row>
    <row r="587" spans="8:30"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2"/>
      <c r="X587" s="82"/>
      <c r="Y587" s="216"/>
      <c r="Z587" s="216"/>
      <c r="AA587" s="82"/>
      <c r="AB587" s="82"/>
      <c r="AC587" s="82"/>
      <c r="AD587" s="82"/>
    </row>
    <row r="588" spans="8:30"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2"/>
      <c r="X588" s="82"/>
      <c r="Y588" s="216"/>
      <c r="Z588" s="216"/>
      <c r="AA588" s="82"/>
      <c r="AB588" s="82"/>
      <c r="AC588" s="82"/>
      <c r="AD588" s="82"/>
    </row>
    <row r="589" spans="8:30"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2"/>
      <c r="X589" s="82"/>
      <c r="Y589" s="216"/>
      <c r="Z589" s="216"/>
      <c r="AA589" s="82"/>
      <c r="AB589" s="82"/>
      <c r="AC589" s="82"/>
      <c r="AD589" s="82"/>
    </row>
    <row r="590" spans="8:30"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2"/>
      <c r="X590" s="82"/>
      <c r="Y590" s="216"/>
      <c r="Z590" s="216"/>
      <c r="AA590" s="82"/>
      <c r="AB590" s="82"/>
      <c r="AC590" s="82"/>
      <c r="AD590" s="82"/>
    </row>
    <row r="591" spans="8:30"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2"/>
      <c r="X591" s="82"/>
      <c r="Y591" s="216"/>
      <c r="Z591" s="216"/>
      <c r="AA591" s="82"/>
      <c r="AB591" s="82"/>
      <c r="AC591" s="82"/>
      <c r="AD591" s="82"/>
    </row>
    <row r="592" spans="8:30"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2"/>
      <c r="X592" s="82"/>
      <c r="Y592" s="216"/>
      <c r="Z592" s="216"/>
      <c r="AA592" s="82"/>
      <c r="AB592" s="82"/>
      <c r="AC592" s="82"/>
      <c r="AD592" s="82"/>
    </row>
    <row r="593" spans="8:30"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2"/>
      <c r="X593" s="82"/>
      <c r="Y593" s="216"/>
      <c r="Z593" s="216"/>
      <c r="AA593" s="82"/>
      <c r="AB593" s="82"/>
      <c r="AC593" s="82"/>
      <c r="AD593" s="82"/>
    </row>
    <row r="594" spans="8:30">
      <c r="H594" s="81"/>
      <c r="I594" s="81"/>
      <c r="J594" s="81"/>
      <c r="K594" s="81"/>
      <c r="L594" s="81"/>
      <c r="M594" s="81"/>
      <c r="N594" s="81"/>
      <c r="O594" s="81"/>
      <c r="P594" s="81"/>
      <c r="Q594" s="81"/>
      <c r="R594" s="81"/>
      <c r="S594" s="81"/>
      <c r="T594" s="81"/>
      <c r="U594" s="81"/>
      <c r="V594" s="81"/>
      <c r="W594" s="82"/>
      <c r="X594" s="82"/>
      <c r="Y594" s="216"/>
      <c r="Z594" s="216"/>
      <c r="AA594" s="82"/>
      <c r="AB594" s="82"/>
      <c r="AC594" s="82"/>
      <c r="AD594" s="82"/>
    </row>
    <row r="595" spans="8:30">
      <c r="H595" s="81"/>
      <c r="I595" s="81"/>
      <c r="J595" s="81"/>
      <c r="K595" s="81"/>
      <c r="L595" s="81"/>
      <c r="M595" s="81"/>
      <c r="N595" s="81"/>
      <c r="O595" s="81"/>
      <c r="P595" s="81"/>
      <c r="Q595" s="81"/>
      <c r="R595" s="81"/>
      <c r="S595" s="81"/>
      <c r="T595" s="81"/>
      <c r="U595" s="81"/>
      <c r="V595" s="81"/>
      <c r="W595" s="82"/>
      <c r="X595" s="82"/>
      <c r="Y595" s="216"/>
      <c r="Z595" s="216"/>
      <c r="AA595" s="82"/>
      <c r="AB595" s="82"/>
      <c r="AC595" s="82"/>
      <c r="AD595" s="82"/>
    </row>
    <row r="596" spans="8:30">
      <c r="H596" s="81"/>
      <c r="I596" s="81"/>
      <c r="J596" s="81"/>
      <c r="K596" s="81"/>
      <c r="L596" s="81"/>
      <c r="M596" s="81"/>
      <c r="N596" s="81"/>
      <c r="O596" s="81"/>
      <c r="P596" s="81"/>
      <c r="Q596" s="81"/>
      <c r="R596" s="81"/>
      <c r="S596" s="81"/>
      <c r="T596" s="81"/>
      <c r="U596" s="81"/>
      <c r="V596" s="81"/>
      <c r="W596" s="82"/>
      <c r="X596" s="82"/>
      <c r="Y596" s="216"/>
      <c r="Z596" s="216"/>
      <c r="AA596" s="82"/>
      <c r="AB596" s="82"/>
      <c r="AC596" s="82"/>
      <c r="AD596" s="82"/>
    </row>
    <row r="597" spans="8:30">
      <c r="H597" s="81"/>
      <c r="I597" s="81"/>
      <c r="J597" s="81"/>
      <c r="K597" s="81"/>
      <c r="L597" s="81"/>
      <c r="M597" s="81"/>
      <c r="N597" s="81"/>
      <c r="O597" s="81"/>
      <c r="P597" s="81"/>
      <c r="Q597" s="81"/>
      <c r="R597" s="81"/>
      <c r="S597" s="81"/>
      <c r="T597" s="81"/>
      <c r="U597" s="81"/>
      <c r="V597" s="81"/>
      <c r="W597" s="82"/>
      <c r="X597" s="82"/>
      <c r="Y597" s="216"/>
      <c r="Z597" s="216"/>
      <c r="AA597" s="82"/>
      <c r="AB597" s="82"/>
      <c r="AC597" s="82"/>
      <c r="AD597" s="82"/>
    </row>
    <row r="598" spans="8:30">
      <c r="H598" s="81"/>
      <c r="I598" s="81"/>
      <c r="J598" s="81"/>
      <c r="K598" s="81"/>
      <c r="L598" s="81"/>
      <c r="M598" s="81"/>
      <c r="N598" s="81"/>
      <c r="O598" s="81"/>
      <c r="P598" s="81"/>
      <c r="Q598" s="81"/>
      <c r="R598" s="81"/>
      <c r="S598" s="81"/>
      <c r="T598" s="81"/>
      <c r="U598" s="81"/>
      <c r="V598" s="81"/>
      <c r="W598" s="82"/>
      <c r="X598" s="82"/>
      <c r="Y598" s="216"/>
      <c r="Z598" s="216"/>
      <c r="AA598" s="82"/>
      <c r="AB598" s="82"/>
      <c r="AC598" s="82"/>
      <c r="AD598" s="82"/>
    </row>
    <row r="599" spans="8:30">
      <c r="H599" s="81"/>
      <c r="I599" s="81"/>
      <c r="J599" s="81"/>
      <c r="K599" s="81"/>
      <c r="L599" s="81"/>
      <c r="M599" s="81"/>
      <c r="N599" s="81"/>
      <c r="O599" s="81"/>
      <c r="P599" s="81"/>
      <c r="Q599" s="81"/>
      <c r="R599" s="81"/>
      <c r="S599" s="81"/>
      <c r="T599" s="81"/>
      <c r="U599" s="81"/>
      <c r="V599" s="81"/>
      <c r="W599" s="82"/>
      <c r="X599" s="82"/>
      <c r="Y599" s="216"/>
      <c r="Z599" s="216"/>
      <c r="AA599" s="82"/>
      <c r="AB599" s="82"/>
      <c r="AC599" s="82"/>
      <c r="AD599" s="82"/>
    </row>
    <row r="600" spans="8:30">
      <c r="H600" s="81"/>
      <c r="I600" s="81"/>
      <c r="J600" s="81"/>
      <c r="K600" s="81"/>
      <c r="L600" s="81"/>
      <c r="M600" s="81"/>
      <c r="N600" s="81"/>
      <c r="O600" s="81"/>
      <c r="P600" s="81"/>
      <c r="Q600" s="81"/>
      <c r="R600" s="81"/>
      <c r="S600" s="81"/>
      <c r="T600" s="81"/>
      <c r="U600" s="81"/>
      <c r="V600" s="81"/>
      <c r="W600" s="82"/>
      <c r="X600" s="82"/>
      <c r="Y600" s="216"/>
      <c r="Z600" s="216"/>
      <c r="AA600" s="82"/>
      <c r="AB600" s="82"/>
      <c r="AC600" s="82"/>
      <c r="AD600" s="82"/>
    </row>
    <row r="601" spans="8:30">
      <c r="H601" s="81"/>
      <c r="I601" s="81"/>
      <c r="J601" s="81"/>
      <c r="K601" s="81"/>
      <c r="L601" s="81"/>
      <c r="M601" s="81"/>
      <c r="N601" s="81"/>
      <c r="O601" s="81"/>
      <c r="P601" s="81"/>
      <c r="Q601" s="81"/>
      <c r="R601" s="81"/>
      <c r="S601" s="81"/>
      <c r="T601" s="81"/>
      <c r="U601" s="81"/>
      <c r="V601" s="81"/>
      <c r="W601" s="82"/>
      <c r="X601" s="82"/>
      <c r="Y601" s="216"/>
      <c r="Z601" s="216"/>
      <c r="AA601" s="82"/>
      <c r="AB601" s="82"/>
      <c r="AC601" s="82"/>
      <c r="AD601" s="82"/>
    </row>
    <row r="602" spans="8:30">
      <c r="H602" s="81"/>
      <c r="I602" s="81"/>
      <c r="J602" s="81"/>
      <c r="K602" s="81"/>
      <c r="L602" s="81"/>
      <c r="M602" s="81"/>
      <c r="N602" s="81"/>
      <c r="O602" s="81"/>
      <c r="P602" s="81"/>
      <c r="Q602" s="81"/>
      <c r="R602" s="81"/>
      <c r="S602" s="81"/>
      <c r="T602" s="81"/>
      <c r="U602" s="81"/>
      <c r="V602" s="81"/>
      <c r="W602" s="82"/>
      <c r="X602" s="82"/>
      <c r="Y602" s="216"/>
      <c r="Z602" s="216"/>
      <c r="AA602" s="82"/>
      <c r="AB602" s="82"/>
      <c r="AC602" s="82"/>
      <c r="AD602" s="82"/>
    </row>
    <row r="603" spans="8:30">
      <c r="H603" s="81"/>
      <c r="I603" s="81"/>
      <c r="J603" s="81"/>
      <c r="K603" s="81"/>
      <c r="L603" s="81"/>
      <c r="M603" s="81"/>
      <c r="N603" s="81"/>
      <c r="O603" s="81"/>
      <c r="P603" s="81"/>
      <c r="Q603" s="81"/>
      <c r="R603" s="81"/>
      <c r="S603" s="81"/>
      <c r="T603" s="81"/>
      <c r="U603" s="81"/>
      <c r="V603" s="81"/>
      <c r="W603" s="82"/>
      <c r="X603" s="82"/>
      <c r="Y603" s="216"/>
      <c r="Z603" s="216"/>
      <c r="AA603" s="82"/>
      <c r="AB603" s="82"/>
      <c r="AC603" s="82"/>
      <c r="AD603" s="82"/>
    </row>
    <row r="604" spans="8:30">
      <c r="H604" s="81"/>
      <c r="I604" s="81"/>
      <c r="J604" s="81"/>
      <c r="K604" s="81"/>
      <c r="L604" s="81"/>
      <c r="M604" s="81"/>
      <c r="N604" s="81"/>
      <c r="O604" s="81"/>
      <c r="P604" s="81"/>
      <c r="Q604" s="81"/>
      <c r="R604" s="81"/>
      <c r="S604" s="81"/>
      <c r="T604" s="81"/>
      <c r="U604" s="81"/>
      <c r="V604" s="81"/>
      <c r="W604" s="82"/>
      <c r="X604" s="82"/>
      <c r="Y604" s="216"/>
      <c r="Z604" s="216"/>
      <c r="AA604" s="82"/>
      <c r="AB604" s="82"/>
      <c r="AC604" s="82"/>
      <c r="AD604" s="82"/>
    </row>
    <row r="605" spans="8:30">
      <c r="H605" s="81"/>
      <c r="I605" s="81"/>
      <c r="J605" s="81"/>
      <c r="K605" s="81"/>
      <c r="L605" s="81"/>
      <c r="M605" s="81"/>
      <c r="N605" s="81"/>
      <c r="O605" s="81"/>
      <c r="P605" s="81"/>
      <c r="Q605" s="81"/>
      <c r="R605" s="81"/>
      <c r="S605" s="81"/>
      <c r="T605" s="81"/>
      <c r="U605" s="81"/>
      <c r="V605" s="81"/>
      <c r="W605" s="82"/>
      <c r="X605" s="82"/>
      <c r="Y605" s="216"/>
      <c r="Z605" s="216"/>
      <c r="AA605" s="82"/>
      <c r="AB605" s="82"/>
      <c r="AC605" s="82"/>
      <c r="AD605" s="82"/>
    </row>
  </sheetData>
  <autoFilter ref="A6:AE6"/>
  <mergeCells count="2">
    <mergeCell ref="F2:F4"/>
    <mergeCell ref="B2:B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FF0000"/>
  </sheetPr>
  <dimension ref="A1:S142"/>
  <sheetViews>
    <sheetView tabSelected="1" topLeftCell="A4" zoomScale="85" zoomScaleNormal="85" workbookViewId="0">
      <pane xSplit="4" ySplit="10" topLeftCell="G137" activePane="bottomRight" state="frozen"/>
      <selection activeCell="G169" sqref="G169"/>
      <selection pane="topRight" activeCell="G169" sqref="G169"/>
      <selection pane="bottomLeft" activeCell="G169" sqref="G169"/>
      <selection pane="bottomRight" activeCell="L151" sqref="L151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20.57031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6" width="11.140625" style="6" customWidth="1"/>
    <col min="17" max="17" width="15.7109375" style="6" customWidth="1"/>
    <col min="18" max="18" width="13.140625" style="6" customWidth="1"/>
    <col min="19" max="19" width="12.5703125" style="6" customWidth="1"/>
    <col min="20" max="16384" width="9.140625" style="6"/>
  </cols>
  <sheetData>
    <row r="1" spans="1:19">
      <c r="A1" s="6">
        <v>1</v>
      </c>
      <c r="B1" s="6">
        <v>2</v>
      </c>
      <c r="C1" s="6">
        <v>3</v>
      </c>
      <c r="D1" s="6">
        <f t="shared" ref="D1:S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</row>
    <row r="3" spans="1:19">
      <c r="B3" s="2"/>
      <c r="C3" s="2"/>
      <c r="D3" s="2"/>
      <c r="E3" s="2"/>
      <c r="F3" s="2"/>
      <c r="G3" s="2"/>
      <c r="N3" s="27"/>
      <c r="O3" s="27"/>
      <c r="P3" s="27"/>
      <c r="Q3" s="27"/>
      <c r="R3" s="27"/>
    </row>
    <row r="4" spans="1:19" ht="15" hidden="1" customHeight="1">
      <c r="B4" s="2"/>
      <c r="C4" s="2"/>
      <c r="D4" s="2"/>
      <c r="E4" s="2"/>
      <c r="F4" s="2"/>
      <c r="G4" s="2"/>
      <c r="N4" s="27"/>
      <c r="O4" s="27"/>
      <c r="P4" s="27"/>
      <c r="Q4" s="27"/>
      <c r="R4" s="27"/>
    </row>
    <row r="5" spans="1:19" ht="15" hidden="1" customHeight="1">
      <c r="B5" s="2"/>
      <c r="C5" s="2"/>
      <c r="D5" s="2"/>
      <c r="E5" s="2"/>
      <c r="F5" s="2"/>
      <c r="G5" s="2"/>
      <c r="N5" s="27"/>
      <c r="O5" s="27"/>
      <c r="P5" s="27"/>
      <c r="Q5" s="27"/>
      <c r="R5" s="27"/>
    </row>
    <row r="6" spans="1:19" ht="15" hidden="1" customHeight="1">
      <c r="B6" s="2"/>
      <c r="C6" s="2"/>
      <c r="D6" s="2"/>
      <c r="E6" s="2"/>
      <c r="F6" s="2"/>
      <c r="G6" s="2"/>
      <c r="N6" s="27"/>
      <c r="O6" s="27"/>
      <c r="P6" s="27"/>
      <c r="Q6" s="27"/>
      <c r="R6" s="27"/>
    </row>
    <row r="7" spans="1:19">
      <c r="B7" s="2"/>
      <c r="C7" s="2"/>
      <c r="D7" s="2"/>
      <c r="E7" s="2"/>
      <c r="F7" s="2"/>
      <c r="G7" s="1684"/>
      <c r="H7" s="1702"/>
      <c r="M7" s="1683"/>
      <c r="N7" s="1848"/>
      <c r="O7" s="1848"/>
      <c r="P7" s="1849"/>
      <c r="Q7" s="1849"/>
      <c r="R7" s="1848"/>
    </row>
    <row r="8" spans="1:19" ht="26.25">
      <c r="B8" s="7" t="s">
        <v>1061</v>
      </c>
      <c r="C8" s="7"/>
      <c r="D8" s="7"/>
      <c r="E8" s="7"/>
      <c r="F8" s="7"/>
      <c r="G8" s="7"/>
    </row>
    <row r="9" spans="1:19" s="817" customFormat="1" ht="14.25">
      <c r="A9" s="817">
        <v>1</v>
      </c>
    </row>
    <row r="10" spans="1:19" s="819" customFormat="1" ht="41.25" customHeight="1" thickBot="1">
      <c r="A10" s="1917" t="s">
        <v>233</v>
      </c>
      <c r="B10" s="1896" t="s">
        <v>134</v>
      </c>
      <c r="C10" s="1896" t="s">
        <v>1</v>
      </c>
      <c r="D10" s="1896" t="s">
        <v>0</v>
      </c>
      <c r="E10" s="1896" t="s">
        <v>223</v>
      </c>
      <c r="F10" s="1906" t="s">
        <v>2</v>
      </c>
      <c r="G10" s="1896" t="s">
        <v>3</v>
      </c>
      <c r="H10" s="1909" t="s">
        <v>230</v>
      </c>
      <c r="I10" s="1909"/>
      <c r="J10" s="1909"/>
      <c r="K10" s="1909"/>
      <c r="L10" s="1909"/>
      <c r="M10" s="1909"/>
      <c r="N10" s="1909"/>
      <c r="O10" s="1909"/>
      <c r="P10" s="1909"/>
      <c r="Q10" s="1909"/>
      <c r="R10" s="1909"/>
      <c r="S10" s="1909"/>
    </row>
    <row r="11" spans="1:19" s="819" customFormat="1" ht="28.5" customHeight="1">
      <c r="A11" s="1917"/>
      <c r="B11" s="1897"/>
      <c r="C11" s="1897"/>
      <c r="D11" s="1897"/>
      <c r="E11" s="1897"/>
      <c r="F11" s="1907"/>
      <c r="G11" s="1910"/>
      <c r="H11" s="1912" t="s">
        <v>990</v>
      </c>
      <c r="I11" s="1913"/>
      <c r="J11" s="1913"/>
      <c r="K11" s="1913"/>
      <c r="L11" s="1913"/>
      <c r="M11" s="1914"/>
      <c r="N11" s="1913" t="s">
        <v>989</v>
      </c>
      <c r="O11" s="1913"/>
      <c r="P11" s="1913"/>
      <c r="Q11" s="1913"/>
      <c r="R11" s="1913"/>
      <c r="S11" s="1914"/>
    </row>
    <row r="12" spans="1:19" s="819" customFormat="1" ht="29.25" customHeight="1">
      <c r="A12" s="1917"/>
      <c r="B12" s="1897"/>
      <c r="C12" s="1897"/>
      <c r="D12" s="1897"/>
      <c r="E12" s="1897"/>
      <c r="F12" s="1907"/>
      <c r="G12" s="1910"/>
      <c r="H12" s="1915" t="s">
        <v>207</v>
      </c>
      <c r="I12" s="1900" t="s">
        <v>909</v>
      </c>
      <c r="J12" s="1901" t="s">
        <v>139</v>
      </c>
      <c r="K12" s="1902"/>
      <c r="L12" s="1896" t="s">
        <v>5</v>
      </c>
      <c r="M12" s="1898" t="s">
        <v>6</v>
      </c>
      <c r="N12" s="1903" t="s">
        <v>207</v>
      </c>
      <c r="O12" s="1896" t="s">
        <v>909</v>
      </c>
      <c r="P12" s="1901" t="s">
        <v>139</v>
      </c>
      <c r="Q12" s="1902"/>
      <c r="R12" s="1896" t="s">
        <v>5</v>
      </c>
      <c r="S12" s="1898" t="s">
        <v>6</v>
      </c>
    </row>
    <row r="13" spans="1:19" s="819" customFormat="1" ht="45" customHeight="1" thickBot="1">
      <c r="A13" s="1917"/>
      <c r="B13" s="1905"/>
      <c r="C13" s="1905"/>
      <c r="D13" s="1905"/>
      <c r="E13" s="1905"/>
      <c r="F13" s="1908"/>
      <c r="G13" s="1911"/>
      <c r="H13" s="1916"/>
      <c r="I13" s="1896"/>
      <c r="J13" s="1847" t="s">
        <v>149</v>
      </c>
      <c r="K13" s="1847" t="s">
        <v>150</v>
      </c>
      <c r="L13" s="1897"/>
      <c r="M13" s="1899"/>
      <c r="N13" s="1904"/>
      <c r="O13" s="1897"/>
      <c r="P13" s="1847" t="s">
        <v>149</v>
      </c>
      <c r="Q13" s="1847" t="s">
        <v>150</v>
      </c>
      <c r="R13" s="1897"/>
      <c r="S13" s="1899"/>
    </row>
    <row r="14" spans="1:19" s="1313" customFormat="1" ht="80.25" customHeight="1">
      <c r="A14" s="6">
        <v>1</v>
      </c>
      <c r="B14" s="1325" t="s">
        <v>7</v>
      </c>
      <c r="C14" s="1850" t="s">
        <v>69</v>
      </c>
      <c r="D14" s="1850" t="s">
        <v>141</v>
      </c>
      <c r="E14" s="1850">
        <v>4632024035</v>
      </c>
      <c r="F14" s="1850" t="s">
        <v>8</v>
      </c>
      <c r="G14" s="1851" t="s">
        <v>1034</v>
      </c>
      <c r="H14" s="1880">
        <v>3314.9639999999995</v>
      </c>
      <c r="I14" s="1881">
        <f>H14</f>
        <v>3314.9639999999995</v>
      </c>
      <c r="J14" s="1882">
        <v>0</v>
      </c>
      <c r="K14" s="1882">
        <v>0</v>
      </c>
      <c r="L14" s="1883">
        <v>3314.9639999999995</v>
      </c>
      <c r="M14" s="1882">
        <v>0</v>
      </c>
      <c r="N14" s="1884">
        <f>3132.14*1.2</f>
        <v>3758.5679999999998</v>
      </c>
      <c r="O14" s="1884">
        <f>N14</f>
        <v>3758.5679999999998</v>
      </c>
      <c r="P14" s="1882">
        <v>0</v>
      </c>
      <c r="Q14" s="1882">
        <v>0</v>
      </c>
      <c r="R14" s="1884">
        <f>O14</f>
        <v>3758.5679999999998</v>
      </c>
      <c r="S14" s="1885">
        <v>0</v>
      </c>
    </row>
    <row r="15" spans="1:19" s="1313" customFormat="1" ht="72.75" customHeight="1">
      <c r="A15" s="6">
        <f>A14+1</f>
        <v>2</v>
      </c>
      <c r="B15" s="1325" t="s">
        <v>7</v>
      </c>
      <c r="C15" s="1852" t="s">
        <v>70</v>
      </c>
      <c r="D15" s="1852" t="s">
        <v>141</v>
      </c>
      <c r="E15" s="1852">
        <v>4632024035</v>
      </c>
      <c r="F15" s="1852" t="s">
        <v>8</v>
      </c>
      <c r="G15" s="1851" t="s">
        <v>1034</v>
      </c>
      <c r="H15" s="1874">
        <v>3314.9639999999995</v>
      </c>
      <c r="I15" s="1869">
        <f t="shared" ref="I15:I17" si="1">H15</f>
        <v>3314.9639999999995</v>
      </c>
      <c r="J15" s="38">
        <v>0</v>
      </c>
      <c r="K15" s="38">
        <v>0</v>
      </c>
      <c r="L15" s="1872">
        <v>3314.9639999999995</v>
      </c>
      <c r="M15" s="38">
        <v>0</v>
      </c>
      <c r="N15" s="622">
        <f t="shared" ref="N15:N17" si="2">3132.14*1.2</f>
        <v>3758.5679999999998</v>
      </c>
      <c r="O15" s="622">
        <f t="shared" ref="O15:O17" si="3">N15</f>
        <v>3758.5679999999998</v>
      </c>
      <c r="P15" s="38">
        <v>0</v>
      </c>
      <c r="Q15" s="38">
        <v>0</v>
      </c>
      <c r="R15" s="622">
        <f t="shared" ref="R15:R17" si="4">O15</f>
        <v>3758.5679999999998</v>
      </c>
      <c r="S15" s="913">
        <v>0</v>
      </c>
    </row>
    <row r="16" spans="1:19" s="1313" customFormat="1" ht="79.5" customHeight="1">
      <c r="A16" s="6">
        <f t="shared" ref="A16:A76" si="5">A15+1</f>
        <v>3</v>
      </c>
      <c r="B16" s="1325" t="s">
        <v>7</v>
      </c>
      <c r="C16" s="1852" t="s">
        <v>71</v>
      </c>
      <c r="D16" s="1852" t="s">
        <v>141</v>
      </c>
      <c r="E16" s="1852">
        <v>4632024035</v>
      </c>
      <c r="F16" s="1852" t="s">
        <v>8</v>
      </c>
      <c r="G16" s="1851" t="s">
        <v>1034</v>
      </c>
      <c r="H16" s="1874">
        <v>3314.9639999999995</v>
      </c>
      <c r="I16" s="1869">
        <f t="shared" si="1"/>
        <v>3314.9639999999995</v>
      </c>
      <c r="J16" s="38">
        <v>0</v>
      </c>
      <c r="K16" s="38">
        <v>0</v>
      </c>
      <c r="L16" s="1868">
        <v>3314.9639999999995</v>
      </c>
      <c r="M16" s="38">
        <v>0</v>
      </c>
      <c r="N16" s="622">
        <f t="shared" si="2"/>
        <v>3758.5679999999998</v>
      </c>
      <c r="O16" s="622">
        <f t="shared" si="3"/>
        <v>3758.5679999999998</v>
      </c>
      <c r="P16" s="38">
        <v>0</v>
      </c>
      <c r="Q16" s="38">
        <v>0</v>
      </c>
      <c r="R16" s="622">
        <f t="shared" si="4"/>
        <v>3758.5679999999998</v>
      </c>
      <c r="S16" s="913">
        <v>0</v>
      </c>
    </row>
    <row r="17" spans="1:19" s="1313" customFormat="1" ht="79.5" customHeight="1">
      <c r="A17" s="6">
        <f t="shared" si="5"/>
        <v>4</v>
      </c>
      <c r="B17" s="1325" t="s">
        <v>7</v>
      </c>
      <c r="C17" s="1852" t="s">
        <v>72</v>
      </c>
      <c r="D17" s="1852" t="s">
        <v>141</v>
      </c>
      <c r="E17" s="1852">
        <v>4632024035</v>
      </c>
      <c r="F17" s="1852" t="s">
        <v>8</v>
      </c>
      <c r="G17" s="1877" t="s">
        <v>1034</v>
      </c>
      <c r="H17" s="1874">
        <v>3314.9639999999995</v>
      </c>
      <c r="I17" s="1869">
        <f t="shared" si="1"/>
        <v>3314.9639999999995</v>
      </c>
      <c r="J17" s="38">
        <v>0</v>
      </c>
      <c r="K17" s="38">
        <v>0</v>
      </c>
      <c r="L17" s="1868">
        <v>3314.9639999999995</v>
      </c>
      <c r="M17" s="38">
        <v>0</v>
      </c>
      <c r="N17" s="622">
        <f t="shared" si="2"/>
        <v>3758.5679999999998</v>
      </c>
      <c r="O17" s="622">
        <f t="shared" si="3"/>
        <v>3758.5679999999998</v>
      </c>
      <c r="P17" s="38">
        <v>0</v>
      </c>
      <c r="Q17" s="38">
        <v>0</v>
      </c>
      <c r="R17" s="622">
        <f t="shared" si="4"/>
        <v>3758.5679999999998</v>
      </c>
      <c r="S17" s="913">
        <v>0</v>
      </c>
    </row>
    <row r="18" spans="1:19" s="1313" customFormat="1" ht="76.5" customHeight="1">
      <c r="A18" s="819">
        <f t="shared" si="5"/>
        <v>5</v>
      </c>
      <c r="B18" s="1353" t="s">
        <v>9</v>
      </c>
      <c r="C18" s="1853" t="s">
        <v>73</v>
      </c>
      <c r="D18" s="1853" t="s">
        <v>984</v>
      </c>
      <c r="E18" s="2131" t="s">
        <v>1060</v>
      </c>
      <c r="F18" s="1853" t="s">
        <v>8</v>
      </c>
      <c r="G18" s="1878" t="s">
        <v>985</v>
      </c>
      <c r="H18" s="1874">
        <v>3079.41</v>
      </c>
      <c r="I18" s="607">
        <v>3079.41</v>
      </c>
      <c r="J18" s="607">
        <v>2953.2</v>
      </c>
      <c r="K18" s="607">
        <v>0</v>
      </c>
      <c r="L18" s="607">
        <v>3079.41</v>
      </c>
      <c r="M18" s="607">
        <v>0</v>
      </c>
      <c r="N18" s="607">
        <v>3469.64</v>
      </c>
      <c r="O18" s="607">
        <v>3469.64</v>
      </c>
      <c r="P18" s="607">
        <v>3307.58</v>
      </c>
      <c r="Q18" s="607">
        <v>0</v>
      </c>
      <c r="R18" s="607">
        <v>3469.64</v>
      </c>
      <c r="S18" s="917">
        <v>0</v>
      </c>
    </row>
    <row r="19" spans="1:19" s="50" customFormat="1" ht="73.5" customHeight="1">
      <c r="A19" s="6">
        <f t="shared" si="5"/>
        <v>6</v>
      </c>
      <c r="B19" s="1353" t="s">
        <v>9</v>
      </c>
      <c r="C19" s="1330" t="s">
        <v>167</v>
      </c>
      <c r="D19" s="1330" t="s">
        <v>232</v>
      </c>
      <c r="E19" s="1330">
        <v>4603004186</v>
      </c>
      <c r="F19" s="1330" t="s">
        <v>8</v>
      </c>
      <c r="G19" s="1232" t="s">
        <v>1019</v>
      </c>
      <c r="H19" s="1874">
        <v>2541.2199999999998</v>
      </c>
      <c r="I19" s="38">
        <v>2541.2199999999998</v>
      </c>
      <c r="J19" s="38">
        <v>2541.2199999999998</v>
      </c>
      <c r="K19" s="38">
        <v>0</v>
      </c>
      <c r="L19" s="38">
        <v>2541.2199999999998</v>
      </c>
      <c r="M19" s="603">
        <v>0</v>
      </c>
      <c r="N19" s="603">
        <v>2798.28</v>
      </c>
      <c r="O19" s="603">
        <v>2798.28</v>
      </c>
      <c r="P19" s="603">
        <v>2798.28</v>
      </c>
      <c r="Q19" s="603">
        <v>0</v>
      </c>
      <c r="R19" s="603">
        <v>2798.28</v>
      </c>
      <c r="S19" s="1886">
        <v>0</v>
      </c>
    </row>
    <row r="20" spans="1:19" s="1313" customFormat="1" ht="79.5" customHeight="1">
      <c r="A20" s="6">
        <f t="shared" si="5"/>
        <v>7</v>
      </c>
      <c r="B20" s="1850" t="s">
        <v>7</v>
      </c>
      <c r="C20" s="1852" t="s">
        <v>132</v>
      </c>
      <c r="D20" s="1852" t="s">
        <v>142</v>
      </c>
      <c r="E20" s="1852">
        <v>4632024035</v>
      </c>
      <c r="F20" s="1852" t="s">
        <v>8</v>
      </c>
      <c r="G20" s="1851" t="s">
        <v>1034</v>
      </c>
      <c r="H20" s="1874">
        <v>3314.9639999999995</v>
      </c>
      <c r="I20" s="1869">
        <f t="shared" ref="I20:I28" si="6">H20</f>
        <v>3314.9639999999995</v>
      </c>
      <c r="J20" s="38">
        <v>0</v>
      </c>
      <c r="K20" s="38">
        <v>0</v>
      </c>
      <c r="L20" s="1868">
        <v>3314.9639999999995</v>
      </c>
      <c r="M20" s="38">
        <v>0</v>
      </c>
      <c r="N20" s="622">
        <f t="shared" ref="N20:N28" si="7">3132.14*1.2</f>
        <v>3758.5679999999998</v>
      </c>
      <c r="O20" s="622">
        <f t="shared" ref="O20:O28" si="8">N20</f>
        <v>3758.5679999999998</v>
      </c>
      <c r="P20" s="38">
        <v>0</v>
      </c>
      <c r="Q20" s="38">
        <v>0</v>
      </c>
      <c r="R20" s="622">
        <f t="shared" ref="R20:R28" si="9">O20</f>
        <v>3758.5679999999998</v>
      </c>
      <c r="S20" s="913">
        <v>0</v>
      </c>
    </row>
    <row r="21" spans="1:19" s="1313" customFormat="1" ht="79.5" customHeight="1">
      <c r="A21" s="6">
        <f t="shared" si="5"/>
        <v>8</v>
      </c>
      <c r="B21" s="1850" t="s">
        <v>7</v>
      </c>
      <c r="C21" s="1852" t="s">
        <v>74</v>
      </c>
      <c r="D21" s="1852" t="s">
        <v>141</v>
      </c>
      <c r="E21" s="1852">
        <v>4632024035</v>
      </c>
      <c r="F21" s="1852" t="s">
        <v>8</v>
      </c>
      <c r="G21" s="1851" t="s">
        <v>1034</v>
      </c>
      <c r="H21" s="1874">
        <v>3314.9639999999995</v>
      </c>
      <c r="I21" s="1869">
        <f t="shared" si="6"/>
        <v>3314.9639999999995</v>
      </c>
      <c r="J21" s="38">
        <v>0</v>
      </c>
      <c r="K21" s="38">
        <v>0</v>
      </c>
      <c r="L21" s="1868">
        <v>3314.9639999999995</v>
      </c>
      <c r="M21" s="38">
        <v>0</v>
      </c>
      <c r="N21" s="622">
        <f t="shared" si="7"/>
        <v>3758.5679999999998</v>
      </c>
      <c r="O21" s="622">
        <f t="shared" si="8"/>
        <v>3758.5679999999998</v>
      </c>
      <c r="P21" s="38">
        <v>0</v>
      </c>
      <c r="Q21" s="38">
        <v>0</v>
      </c>
      <c r="R21" s="622">
        <f t="shared" si="9"/>
        <v>3758.5679999999998</v>
      </c>
      <c r="S21" s="913">
        <v>0</v>
      </c>
    </row>
    <row r="22" spans="1:19" s="1313" customFormat="1" ht="75.75" customHeight="1">
      <c r="A22" s="6">
        <f t="shared" si="5"/>
        <v>9</v>
      </c>
      <c r="B22" s="1852" t="s">
        <v>11</v>
      </c>
      <c r="C22" s="1852" t="s">
        <v>75</v>
      </c>
      <c r="D22" s="1852" t="s">
        <v>142</v>
      </c>
      <c r="E22" s="1852">
        <v>4632024035</v>
      </c>
      <c r="F22" s="1852" t="s">
        <v>8</v>
      </c>
      <c r="G22" s="1851" t="s">
        <v>1034</v>
      </c>
      <c r="H22" s="1874">
        <v>3314.9639999999995</v>
      </c>
      <c r="I22" s="1869">
        <f t="shared" si="6"/>
        <v>3314.9639999999995</v>
      </c>
      <c r="J22" s="38">
        <v>2484</v>
      </c>
      <c r="K22" s="38">
        <v>0</v>
      </c>
      <c r="L22" s="1868">
        <v>3314.9639999999995</v>
      </c>
      <c r="M22" s="38">
        <v>0</v>
      </c>
      <c r="N22" s="622">
        <f t="shared" si="7"/>
        <v>3758.5679999999998</v>
      </c>
      <c r="O22" s="622">
        <f t="shared" si="8"/>
        <v>3758.5679999999998</v>
      </c>
      <c r="P22" s="38">
        <v>2719.98</v>
      </c>
      <c r="Q22" s="38">
        <v>0</v>
      </c>
      <c r="R22" s="622">
        <f t="shared" si="9"/>
        <v>3758.5679999999998</v>
      </c>
      <c r="S22" s="913">
        <v>0</v>
      </c>
    </row>
    <row r="23" spans="1:19" s="1313" customFormat="1" ht="69.75" customHeight="1">
      <c r="A23" s="6">
        <f t="shared" si="5"/>
        <v>10</v>
      </c>
      <c r="B23" s="1852" t="s">
        <v>11</v>
      </c>
      <c r="C23" s="1852" t="s">
        <v>76</v>
      </c>
      <c r="D23" s="1852" t="s">
        <v>141</v>
      </c>
      <c r="E23" s="1852">
        <v>4632024035</v>
      </c>
      <c r="F23" s="1852" t="s">
        <v>8</v>
      </c>
      <c r="G23" s="1851" t="s">
        <v>1034</v>
      </c>
      <c r="H23" s="1874">
        <v>3314.9639999999995</v>
      </c>
      <c r="I23" s="1869">
        <f t="shared" si="6"/>
        <v>3314.9639999999995</v>
      </c>
      <c r="J23" s="38">
        <v>0</v>
      </c>
      <c r="K23" s="38">
        <v>0</v>
      </c>
      <c r="L23" s="1868">
        <v>3314.9639999999995</v>
      </c>
      <c r="M23" s="38">
        <v>0</v>
      </c>
      <c r="N23" s="622">
        <f t="shared" si="7"/>
        <v>3758.5679999999998</v>
      </c>
      <c r="O23" s="622">
        <f t="shared" si="8"/>
        <v>3758.5679999999998</v>
      </c>
      <c r="P23" s="38">
        <v>0</v>
      </c>
      <c r="Q23" s="38">
        <v>0</v>
      </c>
      <c r="R23" s="622">
        <f t="shared" si="9"/>
        <v>3758.5679999999998</v>
      </c>
      <c r="S23" s="913">
        <v>0</v>
      </c>
    </row>
    <row r="24" spans="1:19" s="1313" customFormat="1" ht="77.25" customHeight="1">
      <c r="A24" s="6">
        <f t="shared" si="5"/>
        <v>11</v>
      </c>
      <c r="B24" s="1852" t="s">
        <v>11</v>
      </c>
      <c r="C24" s="1852" t="s">
        <v>77</v>
      </c>
      <c r="D24" s="1852" t="s">
        <v>141</v>
      </c>
      <c r="E24" s="1852">
        <v>4632024035</v>
      </c>
      <c r="F24" s="1852" t="s">
        <v>8</v>
      </c>
      <c r="G24" s="1851" t="s">
        <v>1034</v>
      </c>
      <c r="H24" s="1874">
        <v>3314.9639999999995</v>
      </c>
      <c r="I24" s="1869">
        <f t="shared" si="6"/>
        <v>3314.9639999999995</v>
      </c>
      <c r="J24" s="38">
        <v>0</v>
      </c>
      <c r="K24" s="38">
        <v>0</v>
      </c>
      <c r="L24" s="1868">
        <v>3314.9639999999995</v>
      </c>
      <c r="M24" s="38">
        <v>0</v>
      </c>
      <c r="N24" s="622">
        <f t="shared" si="7"/>
        <v>3758.5679999999998</v>
      </c>
      <c r="O24" s="622">
        <f t="shared" si="8"/>
        <v>3758.5679999999998</v>
      </c>
      <c r="P24" s="38">
        <v>0</v>
      </c>
      <c r="Q24" s="38">
        <v>0</v>
      </c>
      <c r="R24" s="622">
        <f t="shared" si="9"/>
        <v>3758.5679999999998</v>
      </c>
      <c r="S24" s="913">
        <v>0</v>
      </c>
    </row>
    <row r="25" spans="1:19" s="1313" customFormat="1" ht="83.25" customHeight="1">
      <c r="A25" s="6">
        <f t="shared" si="5"/>
        <v>12</v>
      </c>
      <c r="B25" s="1852" t="s">
        <v>11</v>
      </c>
      <c r="C25" s="1852" t="s">
        <v>78</v>
      </c>
      <c r="D25" s="1852" t="s">
        <v>141</v>
      </c>
      <c r="E25" s="1852">
        <v>4632024035</v>
      </c>
      <c r="F25" s="1852" t="s">
        <v>8</v>
      </c>
      <c r="G25" s="1851" t="s">
        <v>1034</v>
      </c>
      <c r="H25" s="1874">
        <v>3314.9639999999995</v>
      </c>
      <c r="I25" s="1869">
        <f t="shared" si="6"/>
        <v>3314.9639999999995</v>
      </c>
      <c r="J25" s="38">
        <v>0</v>
      </c>
      <c r="K25" s="38">
        <v>0</v>
      </c>
      <c r="L25" s="1868">
        <v>3314.9639999999995</v>
      </c>
      <c r="M25" s="38">
        <v>0</v>
      </c>
      <c r="N25" s="622">
        <f t="shared" si="7"/>
        <v>3758.5679999999998</v>
      </c>
      <c r="O25" s="622">
        <f t="shared" si="8"/>
        <v>3758.5679999999998</v>
      </c>
      <c r="P25" s="38">
        <v>0</v>
      </c>
      <c r="Q25" s="38">
        <v>0</v>
      </c>
      <c r="R25" s="622">
        <f t="shared" si="9"/>
        <v>3758.5679999999998</v>
      </c>
      <c r="S25" s="913">
        <v>0</v>
      </c>
    </row>
    <row r="26" spans="1:19" s="1313" customFormat="1" ht="79.5" customHeight="1">
      <c r="A26" s="6">
        <f t="shared" si="5"/>
        <v>13</v>
      </c>
      <c r="B26" s="1852" t="s">
        <v>11</v>
      </c>
      <c r="C26" s="1852" t="s">
        <v>79</v>
      </c>
      <c r="D26" s="1852" t="s">
        <v>141</v>
      </c>
      <c r="E26" s="1852">
        <v>4632024035</v>
      </c>
      <c r="F26" s="1852" t="s">
        <v>8</v>
      </c>
      <c r="G26" s="1851" t="s">
        <v>1034</v>
      </c>
      <c r="H26" s="1874">
        <v>3314.9639999999995</v>
      </c>
      <c r="I26" s="1869">
        <f t="shared" si="6"/>
        <v>3314.9639999999995</v>
      </c>
      <c r="J26" s="38">
        <v>0</v>
      </c>
      <c r="K26" s="38">
        <v>0</v>
      </c>
      <c r="L26" s="1868">
        <v>3314.9639999999995</v>
      </c>
      <c r="M26" s="38">
        <v>0</v>
      </c>
      <c r="N26" s="622">
        <f t="shared" si="7"/>
        <v>3758.5679999999998</v>
      </c>
      <c r="O26" s="622">
        <f t="shared" si="8"/>
        <v>3758.5679999999998</v>
      </c>
      <c r="P26" s="38">
        <v>0</v>
      </c>
      <c r="Q26" s="38">
        <v>0</v>
      </c>
      <c r="R26" s="622">
        <f t="shared" si="9"/>
        <v>3758.5679999999998</v>
      </c>
      <c r="S26" s="913">
        <v>0</v>
      </c>
    </row>
    <row r="27" spans="1:19" s="1313" customFormat="1" ht="75" customHeight="1">
      <c r="A27" s="6">
        <f t="shared" si="5"/>
        <v>14</v>
      </c>
      <c r="B27" s="1852" t="s">
        <v>11</v>
      </c>
      <c r="C27" s="1852" t="s">
        <v>80</v>
      </c>
      <c r="D27" s="1852" t="s">
        <v>141</v>
      </c>
      <c r="E27" s="1852">
        <v>4632024035</v>
      </c>
      <c r="F27" s="1852" t="s">
        <v>8</v>
      </c>
      <c r="G27" s="1851" t="s">
        <v>1034</v>
      </c>
      <c r="H27" s="1874">
        <v>3314.9639999999995</v>
      </c>
      <c r="I27" s="1869">
        <f t="shared" si="6"/>
        <v>3314.9639999999995</v>
      </c>
      <c r="J27" s="38">
        <v>0</v>
      </c>
      <c r="K27" s="38">
        <v>0</v>
      </c>
      <c r="L27" s="1868">
        <v>3314.9639999999995</v>
      </c>
      <c r="M27" s="38">
        <v>0</v>
      </c>
      <c r="N27" s="622">
        <f t="shared" si="7"/>
        <v>3758.5679999999998</v>
      </c>
      <c r="O27" s="622">
        <f t="shared" si="8"/>
        <v>3758.5679999999998</v>
      </c>
      <c r="P27" s="38">
        <v>0</v>
      </c>
      <c r="Q27" s="38">
        <v>0</v>
      </c>
      <c r="R27" s="622">
        <f t="shared" si="9"/>
        <v>3758.5679999999998</v>
      </c>
      <c r="S27" s="913">
        <v>0</v>
      </c>
    </row>
    <row r="28" spans="1:19" s="1313" customFormat="1" ht="78.75" customHeight="1">
      <c r="A28" s="6">
        <f t="shared" si="5"/>
        <v>15</v>
      </c>
      <c r="B28" s="1854" t="s">
        <v>12</v>
      </c>
      <c r="C28" s="1854" t="s">
        <v>81</v>
      </c>
      <c r="D28" s="1852" t="s">
        <v>141</v>
      </c>
      <c r="E28" s="1852">
        <v>4632024035</v>
      </c>
      <c r="F28" s="1852" t="s">
        <v>8</v>
      </c>
      <c r="G28" s="1851" t="s">
        <v>1034</v>
      </c>
      <c r="H28" s="1874">
        <v>3314.9639999999995</v>
      </c>
      <c r="I28" s="1869">
        <f t="shared" si="6"/>
        <v>3314.9639999999995</v>
      </c>
      <c r="J28" s="38">
        <v>2484</v>
      </c>
      <c r="K28" s="38">
        <v>0</v>
      </c>
      <c r="L28" s="1868">
        <v>3314.9639999999995</v>
      </c>
      <c r="M28" s="38">
        <v>0</v>
      </c>
      <c r="N28" s="622">
        <f t="shared" si="7"/>
        <v>3758.5679999999998</v>
      </c>
      <c r="O28" s="622">
        <f t="shared" si="8"/>
        <v>3758.5679999999998</v>
      </c>
      <c r="P28" s="38">
        <v>2719.98</v>
      </c>
      <c r="Q28" s="38">
        <v>0</v>
      </c>
      <c r="R28" s="622">
        <f t="shared" si="9"/>
        <v>3758.5679999999998</v>
      </c>
      <c r="S28" s="913">
        <v>0</v>
      </c>
    </row>
    <row r="29" spans="1:19" s="50" customFormat="1" ht="99.75" customHeight="1">
      <c r="A29" s="6">
        <f t="shared" si="5"/>
        <v>16</v>
      </c>
      <c r="B29" s="1852" t="s">
        <v>13</v>
      </c>
      <c r="C29" s="1855" t="s">
        <v>1048</v>
      </c>
      <c r="D29" s="1855" t="s">
        <v>82</v>
      </c>
      <c r="E29" s="1852">
        <v>4633037132</v>
      </c>
      <c r="F29" s="1855" t="s">
        <v>8</v>
      </c>
      <c r="G29" s="1332" t="s">
        <v>1062</v>
      </c>
      <c r="H29" s="1874">
        <v>2889.53</v>
      </c>
      <c r="I29" s="38">
        <v>2889.53</v>
      </c>
      <c r="J29" s="607">
        <v>2449.06</v>
      </c>
      <c r="K29" s="38">
        <v>1982.98</v>
      </c>
      <c r="L29" s="38">
        <v>0</v>
      </c>
      <c r="M29" s="38">
        <v>0</v>
      </c>
      <c r="N29" s="38">
        <v>3438.24</v>
      </c>
      <c r="O29" s="38">
        <v>3438.24</v>
      </c>
      <c r="P29" s="607">
        <v>2801.48</v>
      </c>
      <c r="Q29" s="38">
        <v>2268.33</v>
      </c>
      <c r="R29" s="38">
        <v>0</v>
      </c>
      <c r="S29" s="913">
        <v>0</v>
      </c>
    </row>
    <row r="30" spans="1:19" s="50" customFormat="1" ht="100.5" customHeight="1">
      <c r="A30" s="6">
        <f t="shared" si="5"/>
        <v>17</v>
      </c>
      <c r="B30" s="1852" t="s">
        <v>13</v>
      </c>
      <c r="C30" s="1857" t="s">
        <v>1049</v>
      </c>
      <c r="D30" s="1857" t="s">
        <v>82</v>
      </c>
      <c r="E30" s="1852" t="s">
        <v>231</v>
      </c>
      <c r="F30" s="1857" t="s">
        <v>8</v>
      </c>
      <c r="G30" s="1332" t="s">
        <v>1062</v>
      </c>
      <c r="H30" s="1875">
        <v>2889.53</v>
      </c>
      <c r="I30" s="38">
        <v>2889.53</v>
      </c>
      <c r="J30" s="607">
        <v>2449.06</v>
      </c>
      <c r="K30" s="607">
        <v>2449.06</v>
      </c>
      <c r="L30" s="607">
        <v>0</v>
      </c>
      <c r="M30" s="38">
        <v>0</v>
      </c>
      <c r="N30" s="38">
        <v>3438.24</v>
      </c>
      <c r="O30" s="38">
        <v>3438.24</v>
      </c>
      <c r="P30" s="607">
        <v>2801.48</v>
      </c>
      <c r="Q30" s="607">
        <v>2801.48</v>
      </c>
      <c r="R30" s="607">
        <v>0</v>
      </c>
      <c r="S30" s="913">
        <v>0</v>
      </c>
    </row>
    <row r="31" spans="1:19" s="50" customFormat="1" ht="102.75" customHeight="1">
      <c r="A31" s="6">
        <f t="shared" si="5"/>
        <v>18</v>
      </c>
      <c r="B31" s="1852" t="s">
        <v>13</v>
      </c>
      <c r="C31" s="1857" t="s">
        <v>1050</v>
      </c>
      <c r="D31" s="1857" t="s">
        <v>82</v>
      </c>
      <c r="E31" s="1852" t="s">
        <v>231</v>
      </c>
      <c r="F31" s="1857" t="s">
        <v>8</v>
      </c>
      <c r="G31" s="1332" t="s">
        <v>1062</v>
      </c>
      <c r="H31" s="1875">
        <v>2889.53</v>
      </c>
      <c r="I31" s="38">
        <v>2889.53</v>
      </c>
      <c r="J31" s="607">
        <v>2731.28</v>
      </c>
      <c r="K31" s="607">
        <v>0</v>
      </c>
      <c r="L31" s="607">
        <v>0</v>
      </c>
      <c r="M31" s="38">
        <v>0</v>
      </c>
      <c r="N31" s="38">
        <v>3438.24</v>
      </c>
      <c r="O31" s="38">
        <v>3438.24</v>
      </c>
      <c r="P31" s="607">
        <v>2801.48</v>
      </c>
      <c r="Q31" s="607">
        <v>0</v>
      </c>
      <c r="R31" s="607">
        <v>0</v>
      </c>
      <c r="S31" s="913">
        <v>0</v>
      </c>
    </row>
    <row r="32" spans="1:19" s="50" customFormat="1" ht="99" customHeight="1">
      <c r="A32" s="6">
        <f t="shared" si="5"/>
        <v>19</v>
      </c>
      <c r="B32" s="1852" t="s">
        <v>13</v>
      </c>
      <c r="C32" s="1857" t="s">
        <v>1051</v>
      </c>
      <c r="D32" s="1857" t="s">
        <v>82</v>
      </c>
      <c r="E32" s="1852" t="s">
        <v>231</v>
      </c>
      <c r="F32" s="1857" t="s">
        <v>8</v>
      </c>
      <c r="G32" s="1332" t="s">
        <v>1062</v>
      </c>
      <c r="H32" s="1875">
        <v>2889.53</v>
      </c>
      <c r="I32" s="38">
        <v>2889.53</v>
      </c>
      <c r="J32" s="607">
        <v>2449.06</v>
      </c>
      <c r="K32" s="607">
        <v>2449.06</v>
      </c>
      <c r="L32" s="607">
        <v>0</v>
      </c>
      <c r="M32" s="38">
        <v>0</v>
      </c>
      <c r="N32" s="38">
        <v>3438.24</v>
      </c>
      <c r="O32" s="38">
        <v>3438.24</v>
      </c>
      <c r="P32" s="607">
        <v>2801.48</v>
      </c>
      <c r="Q32" s="607">
        <v>2801.48</v>
      </c>
      <c r="R32" s="607">
        <v>0</v>
      </c>
      <c r="S32" s="913">
        <v>0</v>
      </c>
    </row>
    <row r="33" spans="1:19" s="1313" customFormat="1" ht="79.5" customHeight="1">
      <c r="A33" s="6">
        <f t="shared" si="5"/>
        <v>20</v>
      </c>
      <c r="B33" s="1852" t="s">
        <v>13</v>
      </c>
      <c r="C33" s="1852" t="s">
        <v>55</v>
      </c>
      <c r="D33" s="1852" t="s">
        <v>141</v>
      </c>
      <c r="E33" s="1852">
        <v>4632024035</v>
      </c>
      <c r="F33" s="1852" t="s">
        <v>8</v>
      </c>
      <c r="G33" s="1851" t="s">
        <v>1034</v>
      </c>
      <c r="H33" s="1875">
        <v>3314.9639999999995</v>
      </c>
      <c r="I33" s="1869">
        <f t="shared" ref="I33:I34" si="10">H33</f>
        <v>3314.9639999999995</v>
      </c>
      <c r="J33" s="38">
        <v>1779.86</v>
      </c>
      <c r="K33" s="38">
        <v>1779.86</v>
      </c>
      <c r="L33" s="1868">
        <v>3314.9639999999995</v>
      </c>
      <c r="M33" s="38">
        <v>0</v>
      </c>
      <c r="N33" s="622">
        <f t="shared" ref="N33:N34" si="11">3132.14*1.2</f>
        <v>3758.5679999999998</v>
      </c>
      <c r="O33" s="622">
        <f t="shared" ref="O33:O34" si="12">N33</f>
        <v>3758.5679999999998</v>
      </c>
      <c r="P33" s="38">
        <v>2035.98</v>
      </c>
      <c r="Q33" s="38">
        <v>2035.98</v>
      </c>
      <c r="R33" s="622">
        <f t="shared" ref="R33:R34" si="13">O33</f>
        <v>3758.5679999999998</v>
      </c>
      <c r="S33" s="913">
        <v>0</v>
      </c>
    </row>
    <row r="34" spans="1:19" s="1313" customFormat="1" ht="76.5" customHeight="1">
      <c r="A34" s="6">
        <f t="shared" si="5"/>
        <v>21</v>
      </c>
      <c r="B34" s="1852" t="s">
        <v>14</v>
      </c>
      <c r="C34" s="1854" t="s">
        <v>87</v>
      </c>
      <c r="D34" s="1852" t="s">
        <v>142</v>
      </c>
      <c r="E34" s="1852">
        <v>4632024035</v>
      </c>
      <c r="F34" s="1852" t="s">
        <v>8</v>
      </c>
      <c r="G34" s="1851" t="s">
        <v>1034</v>
      </c>
      <c r="H34" s="1875">
        <v>3314.9639999999995</v>
      </c>
      <c r="I34" s="1869">
        <f t="shared" si="10"/>
        <v>3314.9639999999995</v>
      </c>
      <c r="J34" s="38">
        <v>2484</v>
      </c>
      <c r="K34" s="38">
        <v>0</v>
      </c>
      <c r="L34" s="1868">
        <v>3314.9639999999995</v>
      </c>
      <c r="M34" s="38">
        <v>0</v>
      </c>
      <c r="N34" s="622">
        <f t="shared" si="11"/>
        <v>3758.5679999999998</v>
      </c>
      <c r="O34" s="622">
        <f t="shared" si="12"/>
        <v>3758.5679999999998</v>
      </c>
      <c r="P34" s="38">
        <v>2719.98</v>
      </c>
      <c r="Q34" s="38">
        <v>0</v>
      </c>
      <c r="R34" s="622">
        <f t="shared" si="13"/>
        <v>3758.5679999999998</v>
      </c>
      <c r="S34" s="913">
        <v>0</v>
      </c>
    </row>
    <row r="35" spans="1:19" s="50" customFormat="1" ht="84" customHeight="1">
      <c r="A35" s="6">
        <f t="shared" si="5"/>
        <v>22</v>
      </c>
      <c r="B35" s="1852" t="s">
        <v>14</v>
      </c>
      <c r="C35" s="1852" t="s">
        <v>60</v>
      </c>
      <c r="D35" s="1852" t="s">
        <v>136</v>
      </c>
      <c r="E35" s="1852">
        <v>4607000231</v>
      </c>
      <c r="F35" s="1852" t="s">
        <v>8</v>
      </c>
      <c r="G35" s="1856" t="s">
        <v>1038</v>
      </c>
      <c r="H35" s="1876">
        <v>2965.5</v>
      </c>
      <c r="I35" s="608">
        <v>2965.5</v>
      </c>
      <c r="J35" s="608">
        <v>2965.5</v>
      </c>
      <c r="K35" s="608">
        <v>0</v>
      </c>
      <c r="L35" s="608">
        <v>2965.5</v>
      </c>
      <c r="M35" s="608">
        <v>0</v>
      </c>
      <c r="N35" s="608">
        <v>3337.3</v>
      </c>
      <c r="O35" s="608">
        <v>3337.3</v>
      </c>
      <c r="P35" s="608">
        <v>3337.3</v>
      </c>
      <c r="Q35" s="608">
        <v>0</v>
      </c>
      <c r="R35" s="608">
        <v>3337.3</v>
      </c>
      <c r="S35" s="1204">
        <v>0</v>
      </c>
    </row>
    <row r="36" spans="1:19" s="1313" customFormat="1" ht="82.5" customHeight="1">
      <c r="A36" s="6" t="e">
        <f>#REF!+1</f>
        <v>#REF!</v>
      </c>
      <c r="B36" s="1852" t="s">
        <v>14</v>
      </c>
      <c r="C36" s="1852" t="s">
        <v>60</v>
      </c>
      <c r="D36" s="1852" t="s">
        <v>141</v>
      </c>
      <c r="E36" s="1852">
        <v>4632024035</v>
      </c>
      <c r="F36" s="1852" t="s">
        <v>8</v>
      </c>
      <c r="G36" s="1851" t="s">
        <v>1034</v>
      </c>
      <c r="H36" s="1876">
        <v>3314.9639999999995</v>
      </c>
      <c r="I36" s="1869">
        <f t="shared" ref="I36:I41" si="14">H36</f>
        <v>3314.9639999999995</v>
      </c>
      <c r="J36" s="38">
        <v>2950.21</v>
      </c>
      <c r="K36" s="38">
        <v>0</v>
      </c>
      <c r="L36" s="1868">
        <v>3314.9639999999995</v>
      </c>
      <c r="M36" s="38">
        <v>0</v>
      </c>
      <c r="N36" s="622">
        <f t="shared" ref="N36:N41" si="15">3132.14*1.2</f>
        <v>3758.5679999999998</v>
      </c>
      <c r="O36" s="622">
        <f t="shared" ref="O36:O41" si="16">N36</f>
        <v>3758.5679999999998</v>
      </c>
      <c r="P36" s="38">
        <v>2979.71</v>
      </c>
      <c r="Q36" s="38">
        <v>0</v>
      </c>
      <c r="R36" s="622">
        <f t="shared" ref="R36:R41" si="17">O36</f>
        <v>3758.5679999999998</v>
      </c>
      <c r="S36" s="913">
        <v>0</v>
      </c>
    </row>
    <row r="37" spans="1:19" s="1313" customFormat="1" ht="81" customHeight="1">
      <c r="A37" s="6" t="e">
        <f t="shared" si="5"/>
        <v>#REF!</v>
      </c>
      <c r="B37" s="1852" t="s">
        <v>14</v>
      </c>
      <c r="C37" s="1852" t="s">
        <v>88</v>
      </c>
      <c r="D37" s="1852" t="s">
        <v>141</v>
      </c>
      <c r="E37" s="1852">
        <v>4632024035</v>
      </c>
      <c r="F37" s="1852" t="s">
        <v>8</v>
      </c>
      <c r="G37" s="1851" t="s">
        <v>1034</v>
      </c>
      <c r="H37" s="1876">
        <v>3314.9639999999995</v>
      </c>
      <c r="I37" s="1869">
        <f t="shared" si="14"/>
        <v>3314.9639999999995</v>
      </c>
      <c r="J37" s="38">
        <v>2950.21</v>
      </c>
      <c r="K37" s="38">
        <v>0</v>
      </c>
      <c r="L37" s="1868">
        <v>3314.9639999999995</v>
      </c>
      <c r="M37" s="38">
        <v>0</v>
      </c>
      <c r="N37" s="622">
        <f t="shared" si="15"/>
        <v>3758.5679999999998</v>
      </c>
      <c r="O37" s="622">
        <f t="shared" si="16"/>
        <v>3758.5679999999998</v>
      </c>
      <c r="P37" s="38">
        <v>2979.71</v>
      </c>
      <c r="Q37" s="38">
        <v>0</v>
      </c>
      <c r="R37" s="622">
        <f t="shared" si="17"/>
        <v>3758.5679999999998</v>
      </c>
      <c r="S37" s="913">
        <v>0</v>
      </c>
    </row>
    <row r="38" spans="1:19" s="1313" customFormat="1" ht="80.25" customHeight="1">
      <c r="A38" s="6" t="e">
        <f t="shared" si="5"/>
        <v>#REF!</v>
      </c>
      <c r="B38" s="1852" t="s">
        <v>14</v>
      </c>
      <c r="C38" s="1852" t="s">
        <v>89</v>
      </c>
      <c r="D38" s="1852" t="s">
        <v>141</v>
      </c>
      <c r="E38" s="1852">
        <v>4632024035</v>
      </c>
      <c r="F38" s="1852" t="s">
        <v>8</v>
      </c>
      <c r="G38" s="1851" t="s">
        <v>1034</v>
      </c>
      <c r="H38" s="1876">
        <v>3314.9639999999995</v>
      </c>
      <c r="I38" s="1869">
        <f t="shared" si="14"/>
        <v>3314.9639999999995</v>
      </c>
      <c r="J38" s="38">
        <v>0</v>
      </c>
      <c r="K38" s="38">
        <v>0</v>
      </c>
      <c r="L38" s="1868">
        <v>3314.9639999999995</v>
      </c>
      <c r="M38" s="38">
        <v>0</v>
      </c>
      <c r="N38" s="622">
        <f t="shared" si="15"/>
        <v>3758.5679999999998</v>
      </c>
      <c r="O38" s="622">
        <f t="shared" si="16"/>
        <v>3758.5679999999998</v>
      </c>
      <c r="P38" s="38">
        <v>0</v>
      </c>
      <c r="Q38" s="38">
        <v>0</v>
      </c>
      <c r="R38" s="622">
        <f t="shared" si="17"/>
        <v>3758.5679999999998</v>
      </c>
      <c r="S38" s="913">
        <v>0</v>
      </c>
    </row>
    <row r="39" spans="1:19" s="1313" customFormat="1" ht="86.25" customHeight="1">
      <c r="A39" s="6" t="e">
        <f t="shared" si="5"/>
        <v>#REF!</v>
      </c>
      <c r="B39" s="1852" t="s">
        <v>15</v>
      </c>
      <c r="C39" s="1854" t="s">
        <v>168</v>
      </c>
      <c r="D39" s="1852" t="s">
        <v>141</v>
      </c>
      <c r="E39" s="1852">
        <v>4632024035</v>
      </c>
      <c r="F39" s="1852" t="s">
        <v>8</v>
      </c>
      <c r="G39" s="1851" t="s">
        <v>1034</v>
      </c>
      <c r="H39" s="1876">
        <v>3314.9639999999995</v>
      </c>
      <c r="I39" s="1869">
        <f t="shared" si="14"/>
        <v>3314.9639999999995</v>
      </c>
      <c r="J39" s="38">
        <v>2484</v>
      </c>
      <c r="K39" s="38">
        <v>0</v>
      </c>
      <c r="L39" s="1868">
        <v>3314.9639999999995</v>
      </c>
      <c r="M39" s="38">
        <v>0</v>
      </c>
      <c r="N39" s="622">
        <f t="shared" si="15"/>
        <v>3758.5679999999998</v>
      </c>
      <c r="O39" s="622">
        <f t="shared" si="16"/>
        <v>3758.5679999999998</v>
      </c>
      <c r="P39" s="38">
        <v>2719.98</v>
      </c>
      <c r="Q39" s="38">
        <v>0</v>
      </c>
      <c r="R39" s="622">
        <f t="shared" si="17"/>
        <v>3758.5679999999998</v>
      </c>
      <c r="S39" s="913">
        <v>0</v>
      </c>
    </row>
    <row r="40" spans="1:19" s="1313" customFormat="1" ht="75.75" customHeight="1">
      <c r="A40" s="6" t="e">
        <f t="shared" si="5"/>
        <v>#REF!</v>
      </c>
      <c r="B40" s="1852" t="s">
        <v>15</v>
      </c>
      <c r="C40" s="1852" t="s">
        <v>90</v>
      </c>
      <c r="D40" s="1852" t="s">
        <v>143</v>
      </c>
      <c r="E40" s="1852">
        <v>4632024035</v>
      </c>
      <c r="F40" s="1852" t="s">
        <v>8</v>
      </c>
      <c r="G40" s="1851" t="s">
        <v>1034</v>
      </c>
      <c r="H40" s="1876">
        <v>3314.9639999999995</v>
      </c>
      <c r="I40" s="1869">
        <f t="shared" si="14"/>
        <v>3314.9639999999995</v>
      </c>
      <c r="J40" s="38">
        <v>2950.21</v>
      </c>
      <c r="K40" s="38">
        <v>0</v>
      </c>
      <c r="L40" s="1868">
        <v>3314.9639999999995</v>
      </c>
      <c r="M40" s="38">
        <v>0</v>
      </c>
      <c r="N40" s="622">
        <f t="shared" si="15"/>
        <v>3758.5679999999998</v>
      </c>
      <c r="O40" s="622">
        <f t="shared" si="16"/>
        <v>3758.5679999999998</v>
      </c>
      <c r="P40" s="38">
        <v>2979.71</v>
      </c>
      <c r="Q40" s="38">
        <v>0</v>
      </c>
      <c r="R40" s="622">
        <f t="shared" si="17"/>
        <v>3758.5679999999998</v>
      </c>
      <c r="S40" s="913">
        <v>0</v>
      </c>
    </row>
    <row r="41" spans="1:19" s="1313" customFormat="1" ht="83.25" customHeight="1">
      <c r="A41" s="6" t="e">
        <f t="shared" si="5"/>
        <v>#REF!</v>
      </c>
      <c r="B41" s="1852" t="s">
        <v>15</v>
      </c>
      <c r="C41" s="1852" t="s">
        <v>91</v>
      </c>
      <c r="D41" s="1852" t="s">
        <v>144</v>
      </c>
      <c r="E41" s="1852">
        <v>4632024035</v>
      </c>
      <c r="F41" s="1852" t="s">
        <v>8</v>
      </c>
      <c r="G41" s="1851" t="s">
        <v>1034</v>
      </c>
      <c r="H41" s="1876">
        <v>3314.9639999999995</v>
      </c>
      <c r="I41" s="1869">
        <f t="shared" si="14"/>
        <v>3314.9639999999995</v>
      </c>
      <c r="J41" s="38">
        <v>0</v>
      </c>
      <c r="K41" s="38">
        <v>0</v>
      </c>
      <c r="L41" s="1868">
        <v>3314.9639999999995</v>
      </c>
      <c r="M41" s="38">
        <v>0</v>
      </c>
      <c r="N41" s="622">
        <f t="shared" si="15"/>
        <v>3758.5679999999998</v>
      </c>
      <c r="O41" s="622">
        <f t="shared" si="16"/>
        <v>3758.5679999999998</v>
      </c>
      <c r="P41" s="38">
        <v>0</v>
      </c>
      <c r="Q41" s="38">
        <v>0</v>
      </c>
      <c r="R41" s="622">
        <f t="shared" si="17"/>
        <v>3758.5679999999998</v>
      </c>
      <c r="S41" s="913">
        <v>0</v>
      </c>
    </row>
    <row r="42" spans="1:19" s="50" customFormat="1" ht="129" customHeight="1">
      <c r="A42" s="6" t="e">
        <f t="shared" si="5"/>
        <v>#REF!</v>
      </c>
      <c r="B42" s="1852" t="str">
        <f>B41</f>
        <v>Касторенский район</v>
      </c>
      <c r="C42" s="1852" t="s">
        <v>181</v>
      </c>
      <c r="D42" s="1858" t="s">
        <v>261</v>
      </c>
      <c r="E42" s="1852">
        <v>7708503727</v>
      </c>
      <c r="F42" s="1852" t="s">
        <v>8</v>
      </c>
      <c r="G42" s="1856" t="s">
        <v>999</v>
      </c>
      <c r="H42" s="1874">
        <v>3009.7679999999996</v>
      </c>
      <c r="I42" s="38">
        <v>3009.7679999999996</v>
      </c>
      <c r="J42" s="38">
        <v>0</v>
      </c>
      <c r="K42" s="38">
        <v>0</v>
      </c>
      <c r="L42" s="38">
        <v>3009.7679999999996</v>
      </c>
      <c r="M42" s="38">
        <v>0</v>
      </c>
      <c r="N42" s="38">
        <v>3009.7679999999996</v>
      </c>
      <c r="O42" s="38">
        <v>3009.7679999999996</v>
      </c>
      <c r="P42" s="38">
        <v>0</v>
      </c>
      <c r="Q42" s="38">
        <v>0</v>
      </c>
      <c r="R42" s="38">
        <v>3009.7679999999996</v>
      </c>
      <c r="S42" s="913">
        <v>0</v>
      </c>
    </row>
    <row r="43" spans="1:19" s="1313" customFormat="1" ht="87.75" customHeight="1">
      <c r="A43" s="6" t="e">
        <f t="shared" si="5"/>
        <v>#REF!</v>
      </c>
      <c r="B43" s="1854" t="s">
        <v>16</v>
      </c>
      <c r="C43" s="1854" t="s">
        <v>92</v>
      </c>
      <c r="D43" s="1852" t="s">
        <v>142</v>
      </c>
      <c r="E43" s="1852">
        <v>4632024035</v>
      </c>
      <c r="F43" s="1852" t="s">
        <v>8</v>
      </c>
      <c r="G43" s="1851" t="s">
        <v>1034</v>
      </c>
      <c r="H43" s="1874">
        <v>3314.9639999999995</v>
      </c>
      <c r="I43" s="1869">
        <f>H43</f>
        <v>3314.9639999999995</v>
      </c>
      <c r="J43" s="38">
        <v>2484</v>
      </c>
      <c r="K43" s="38">
        <v>0</v>
      </c>
      <c r="L43" s="1868">
        <v>3314.9639999999995</v>
      </c>
      <c r="M43" s="38">
        <v>0</v>
      </c>
      <c r="N43" s="622">
        <f>3132.14*1.2</f>
        <v>3758.5679999999998</v>
      </c>
      <c r="O43" s="622">
        <f>N43</f>
        <v>3758.5679999999998</v>
      </c>
      <c r="P43" s="38">
        <v>2719.98</v>
      </c>
      <c r="Q43" s="38">
        <v>0</v>
      </c>
      <c r="R43" s="622">
        <f>O43</f>
        <v>3758.5679999999998</v>
      </c>
      <c r="S43" s="913">
        <v>0</v>
      </c>
    </row>
    <row r="44" spans="1:19" s="50" customFormat="1" ht="74.25" customHeight="1">
      <c r="A44" s="6" t="e">
        <f>#REF!+1</f>
        <v>#REF!</v>
      </c>
      <c r="B44" s="1852" t="s">
        <v>18</v>
      </c>
      <c r="C44" s="1852" t="s">
        <v>1052</v>
      </c>
      <c r="D44" s="1852" t="s">
        <v>275</v>
      </c>
      <c r="E44" s="1852">
        <v>4611016308</v>
      </c>
      <c r="F44" s="1852" t="s">
        <v>8</v>
      </c>
      <c r="G44" s="1856" t="s">
        <v>1015</v>
      </c>
      <c r="H44" s="1874">
        <v>2954.172</v>
      </c>
      <c r="I44" s="38">
        <v>2954.172</v>
      </c>
      <c r="J44" s="38">
        <v>1858.8959999999997</v>
      </c>
      <c r="K44" s="38">
        <v>1858.8959999999997</v>
      </c>
      <c r="L44" s="38">
        <v>2954.172</v>
      </c>
      <c r="M44" s="38">
        <v>0</v>
      </c>
      <c r="N44" s="38">
        <f>2666.04*1.2</f>
        <v>3199.248</v>
      </c>
      <c r="O44" s="38">
        <f>N44</f>
        <v>3199.248</v>
      </c>
      <c r="P44" s="38">
        <f>1772.15*1.2</f>
        <v>2126.58</v>
      </c>
      <c r="Q44" s="38">
        <f>P44</f>
        <v>2126.58</v>
      </c>
      <c r="R44" s="38">
        <f>O44</f>
        <v>3199.248</v>
      </c>
      <c r="S44" s="913">
        <v>0</v>
      </c>
    </row>
    <row r="45" spans="1:19" s="50" customFormat="1" ht="91.5" customHeight="1">
      <c r="A45" s="6" t="e">
        <f t="shared" si="5"/>
        <v>#REF!</v>
      </c>
      <c r="B45" s="1852" t="s">
        <v>18</v>
      </c>
      <c r="C45" s="1852" t="s">
        <v>1052</v>
      </c>
      <c r="D45" s="1852" t="s">
        <v>1030</v>
      </c>
      <c r="E45" s="1852">
        <v>6829012680</v>
      </c>
      <c r="F45" s="1852" t="s">
        <v>8</v>
      </c>
      <c r="G45" s="1856" t="s">
        <v>1033</v>
      </c>
      <c r="H45" s="1874">
        <v>2326.752</v>
      </c>
      <c r="I45" s="38">
        <v>2326.752</v>
      </c>
      <c r="J45" s="38">
        <v>2231.2199999999998</v>
      </c>
      <c r="K45" s="38">
        <v>2231.2199999999998</v>
      </c>
      <c r="L45" s="38">
        <v>2326.752</v>
      </c>
      <c r="M45" s="38">
        <v>0</v>
      </c>
      <c r="N45" s="603">
        <f>2165.81*1.2</f>
        <v>2598.9719999999998</v>
      </c>
      <c r="O45" s="603">
        <f>N45</f>
        <v>2598.9719999999998</v>
      </c>
      <c r="P45" s="603">
        <v>2403.02</v>
      </c>
      <c r="Q45" s="603">
        <f>P45</f>
        <v>2403.02</v>
      </c>
      <c r="R45" s="603">
        <f>O45</f>
        <v>2598.9719999999998</v>
      </c>
      <c r="S45" s="913">
        <v>0</v>
      </c>
    </row>
    <row r="46" spans="1:19" s="50" customFormat="1" ht="70.5" customHeight="1">
      <c r="A46" s="6" t="e">
        <f t="shared" si="5"/>
        <v>#REF!</v>
      </c>
      <c r="B46" s="1852" t="s">
        <v>18</v>
      </c>
      <c r="C46" s="1852" t="s">
        <v>1052</v>
      </c>
      <c r="D46" s="1852" t="s">
        <v>152</v>
      </c>
      <c r="E46" s="1852">
        <v>7729314745</v>
      </c>
      <c r="F46" s="1852" t="s">
        <v>8</v>
      </c>
      <c r="G46" s="1856" t="s">
        <v>1037</v>
      </c>
      <c r="H46" s="1874">
        <v>3272.424</v>
      </c>
      <c r="I46" s="38">
        <v>3272.424</v>
      </c>
      <c r="J46" s="38">
        <v>1180.98</v>
      </c>
      <c r="K46" s="38">
        <v>0</v>
      </c>
      <c r="L46" s="38">
        <v>0</v>
      </c>
      <c r="M46" s="38">
        <v>0</v>
      </c>
      <c r="N46" s="38">
        <f>2731.07*1.2</f>
        <v>3277.2840000000001</v>
      </c>
      <c r="O46" s="38">
        <f>2731.07*1.2</f>
        <v>3277.2840000000001</v>
      </c>
      <c r="P46" s="38">
        <v>1350.92</v>
      </c>
      <c r="Q46" s="603">
        <v>0</v>
      </c>
      <c r="R46" s="38">
        <f>2731.07*1.2</f>
        <v>3277.2840000000001</v>
      </c>
      <c r="S46" s="913">
        <v>0</v>
      </c>
    </row>
    <row r="47" spans="1:19" s="50" customFormat="1" ht="69.75" customHeight="1">
      <c r="A47" s="6" t="e">
        <f t="shared" si="5"/>
        <v>#REF!</v>
      </c>
      <c r="B47" s="1852" t="s">
        <v>18</v>
      </c>
      <c r="C47" s="1852" t="s">
        <v>1052</v>
      </c>
      <c r="D47" s="1852" t="s">
        <v>153</v>
      </c>
      <c r="E47" s="1852">
        <v>7729314745</v>
      </c>
      <c r="F47" s="1852" t="s">
        <v>8</v>
      </c>
      <c r="G47" s="1856" t="s">
        <v>1037</v>
      </c>
      <c r="H47" s="1874">
        <v>2535.7679999999996</v>
      </c>
      <c r="I47" s="38">
        <v>2535.7679999999996</v>
      </c>
      <c r="J47" s="38">
        <v>1702.81</v>
      </c>
      <c r="K47" s="38">
        <v>1457.23</v>
      </c>
      <c r="L47" s="38">
        <v>0</v>
      </c>
      <c r="M47" s="38">
        <v>0</v>
      </c>
      <c r="N47" s="38">
        <f>2348.11 *1.2</f>
        <v>2817.732</v>
      </c>
      <c r="O47" s="38">
        <f>2348.11 *1.2</f>
        <v>2817.732</v>
      </c>
      <c r="P47" s="38">
        <f>1947.84</f>
        <v>1947.84</v>
      </c>
      <c r="Q47" s="38">
        <v>1666.93</v>
      </c>
      <c r="R47" s="38">
        <f>2348.11 *1.2</f>
        <v>2817.732</v>
      </c>
      <c r="S47" s="913">
        <v>0</v>
      </c>
    </row>
    <row r="48" spans="1:19" s="50" customFormat="1" ht="69.75" customHeight="1">
      <c r="A48" s="6" t="e">
        <f t="shared" si="5"/>
        <v>#REF!</v>
      </c>
      <c r="B48" s="1852" t="s">
        <v>18</v>
      </c>
      <c r="C48" s="1852" t="s">
        <v>98</v>
      </c>
      <c r="D48" s="1852" t="s">
        <v>1039</v>
      </c>
      <c r="E48" s="2132">
        <v>461109152080</v>
      </c>
      <c r="F48" s="1852" t="s">
        <v>8</v>
      </c>
      <c r="G48" s="1856" t="s">
        <v>1040</v>
      </c>
      <c r="H48" s="1874">
        <v>2186.11</v>
      </c>
      <c r="I48" s="38">
        <v>2186.11</v>
      </c>
      <c r="J48" s="38">
        <v>2186.11</v>
      </c>
      <c r="K48" s="38">
        <v>2186.11</v>
      </c>
      <c r="L48" s="38">
        <v>2186.11</v>
      </c>
      <c r="M48" s="38">
        <v>0</v>
      </c>
      <c r="N48" s="38">
        <v>2437.5100000000002</v>
      </c>
      <c r="O48" s="38">
        <v>2437.5100000000002</v>
      </c>
      <c r="P48" s="38">
        <v>2437.5100000000002</v>
      </c>
      <c r="Q48" s="38">
        <v>2437.5100000000002</v>
      </c>
      <c r="R48" s="38">
        <v>2437.5100000000002</v>
      </c>
      <c r="S48" s="913">
        <v>0</v>
      </c>
    </row>
    <row r="49" spans="1:19" s="50" customFormat="1" ht="87.75" customHeight="1">
      <c r="A49" s="6" t="e">
        <f t="shared" si="5"/>
        <v>#REF!</v>
      </c>
      <c r="B49" s="1852" t="s">
        <v>18</v>
      </c>
      <c r="C49" s="1852" t="s">
        <v>1053</v>
      </c>
      <c r="D49" s="1852" t="s">
        <v>1031</v>
      </c>
      <c r="E49" s="1852">
        <v>6829012680</v>
      </c>
      <c r="F49" s="1852" t="s">
        <v>8</v>
      </c>
      <c r="G49" s="1856" t="s">
        <v>1033</v>
      </c>
      <c r="H49" s="1874">
        <v>2326.752</v>
      </c>
      <c r="I49" s="38">
        <v>2326.752</v>
      </c>
      <c r="J49" s="38">
        <v>2231.2199999999998</v>
      </c>
      <c r="K49" s="38">
        <v>2231.2199999999998</v>
      </c>
      <c r="L49" s="38">
        <v>2326.752</v>
      </c>
      <c r="M49" s="38">
        <v>0</v>
      </c>
      <c r="N49" s="603">
        <f>2165.81*1.2</f>
        <v>2598.9719999999998</v>
      </c>
      <c r="O49" s="603">
        <f>N49</f>
        <v>2598.9719999999998</v>
      </c>
      <c r="P49" s="603">
        <v>2403.02</v>
      </c>
      <c r="Q49" s="38">
        <f>P49</f>
        <v>2403.02</v>
      </c>
      <c r="R49" s="38">
        <f>O49</f>
        <v>2598.9719999999998</v>
      </c>
      <c r="S49" s="913">
        <v>0</v>
      </c>
    </row>
    <row r="50" spans="1:19" s="1313" customFormat="1" ht="64.5" customHeight="1">
      <c r="A50" s="6" t="e">
        <f t="shared" si="5"/>
        <v>#REF!</v>
      </c>
      <c r="B50" s="1852" t="s">
        <v>18</v>
      </c>
      <c r="C50" s="1852" t="s">
        <v>1053</v>
      </c>
      <c r="D50" s="1852" t="s">
        <v>141</v>
      </c>
      <c r="E50" s="1852">
        <v>4632024035</v>
      </c>
      <c r="F50" s="1852" t="s">
        <v>8</v>
      </c>
      <c r="G50" s="1851" t="s">
        <v>1034</v>
      </c>
      <c r="H50" s="1874">
        <v>3314.9639999999995</v>
      </c>
      <c r="I50" s="1869">
        <f>H50</f>
        <v>3314.9639999999995</v>
      </c>
      <c r="J50" s="38">
        <v>2950.21</v>
      </c>
      <c r="K50" s="38">
        <v>0</v>
      </c>
      <c r="L50" s="1868">
        <v>3314.9639999999995</v>
      </c>
      <c r="M50" s="38">
        <v>0</v>
      </c>
      <c r="N50" s="622">
        <f>3132.14*1.2</f>
        <v>3758.5679999999998</v>
      </c>
      <c r="O50" s="622">
        <f>N50</f>
        <v>3758.5679999999998</v>
      </c>
      <c r="P50" s="38">
        <v>2979.71</v>
      </c>
      <c r="Q50" s="38">
        <v>0</v>
      </c>
      <c r="R50" s="38">
        <f>O50</f>
        <v>3758.5679999999998</v>
      </c>
      <c r="S50" s="913">
        <v>0</v>
      </c>
    </row>
    <row r="51" spans="1:19" s="50" customFormat="1" ht="57" customHeight="1">
      <c r="A51" s="6" t="e">
        <f t="shared" si="5"/>
        <v>#REF!</v>
      </c>
      <c r="B51" s="1852" t="s">
        <v>18</v>
      </c>
      <c r="C51" s="1852" t="s">
        <v>1053</v>
      </c>
      <c r="D51" s="1852" t="s">
        <v>96</v>
      </c>
      <c r="E51" s="1852">
        <v>4611013586</v>
      </c>
      <c r="F51" s="1852" t="s">
        <v>8</v>
      </c>
      <c r="G51" s="1856" t="s">
        <v>1001</v>
      </c>
      <c r="H51" s="1874">
        <v>4183.0030781451369</v>
      </c>
      <c r="I51" s="38">
        <v>0</v>
      </c>
      <c r="J51" s="38">
        <v>3218.8790000000004</v>
      </c>
      <c r="K51" s="38">
        <v>3218.8790000000004</v>
      </c>
      <c r="L51" s="38">
        <v>0</v>
      </c>
      <c r="M51" s="38">
        <v>0</v>
      </c>
      <c r="N51" s="38">
        <v>5288.62</v>
      </c>
      <c r="O51" s="38">
        <v>0</v>
      </c>
      <c r="P51" s="38">
        <v>3524.67</v>
      </c>
      <c r="Q51" s="38">
        <v>3524.67</v>
      </c>
      <c r="R51" s="38">
        <v>0</v>
      </c>
      <c r="S51" s="913">
        <v>0</v>
      </c>
    </row>
    <row r="52" spans="1:19" s="50" customFormat="1" ht="61.5" customHeight="1">
      <c r="A52" s="6" t="e">
        <f t="shared" si="5"/>
        <v>#REF!</v>
      </c>
      <c r="B52" s="1852" t="s">
        <v>18</v>
      </c>
      <c r="C52" s="1852" t="s">
        <v>138</v>
      </c>
      <c r="D52" s="1852" t="s">
        <v>95</v>
      </c>
      <c r="E52" s="1852">
        <v>4611013586</v>
      </c>
      <c r="F52" s="1852" t="s">
        <v>8</v>
      </c>
      <c r="G52" s="1856" t="s">
        <v>1001</v>
      </c>
      <c r="H52" s="1874">
        <v>4183.0030781451369</v>
      </c>
      <c r="I52" s="38">
        <v>0</v>
      </c>
      <c r="J52" s="38">
        <v>3218.8790000000004</v>
      </c>
      <c r="K52" s="38">
        <v>3218.8790000000004</v>
      </c>
      <c r="L52" s="38">
        <v>0</v>
      </c>
      <c r="M52" s="38">
        <v>0</v>
      </c>
      <c r="N52" s="603">
        <v>5288.62</v>
      </c>
      <c r="O52" s="38">
        <v>0</v>
      </c>
      <c r="P52" s="38">
        <v>3524.67</v>
      </c>
      <c r="Q52" s="38">
        <v>3524.67</v>
      </c>
      <c r="R52" s="38">
        <v>0</v>
      </c>
      <c r="S52" s="913">
        <v>0</v>
      </c>
    </row>
    <row r="53" spans="1:19" s="1313" customFormat="1" ht="69.75" customHeight="1">
      <c r="A53" s="6" t="e">
        <f t="shared" si="5"/>
        <v>#REF!</v>
      </c>
      <c r="B53" s="1852" t="s">
        <v>18</v>
      </c>
      <c r="C53" s="1852" t="s">
        <v>97</v>
      </c>
      <c r="D53" s="1852" t="s">
        <v>141</v>
      </c>
      <c r="E53" s="1852">
        <v>4632024035</v>
      </c>
      <c r="F53" s="1852" t="s">
        <v>8</v>
      </c>
      <c r="G53" s="1851" t="s">
        <v>1034</v>
      </c>
      <c r="H53" s="1874">
        <v>3314.9639999999995</v>
      </c>
      <c r="I53" s="1869">
        <f t="shared" ref="I53:I54" si="18">H53</f>
        <v>3314.9639999999995</v>
      </c>
      <c r="J53" s="38">
        <v>0</v>
      </c>
      <c r="K53" s="38">
        <v>0</v>
      </c>
      <c r="L53" s="1868">
        <v>3314.9639999999995</v>
      </c>
      <c r="M53" s="38">
        <v>0</v>
      </c>
      <c r="N53" s="622">
        <f t="shared" ref="N53:N54" si="19">3132.14*1.2</f>
        <v>3758.5679999999998</v>
      </c>
      <c r="O53" s="622">
        <f t="shared" ref="O53:O54" si="20">N53</f>
        <v>3758.5679999999998</v>
      </c>
      <c r="P53" s="38">
        <v>0</v>
      </c>
      <c r="Q53" s="38">
        <v>0</v>
      </c>
      <c r="R53" s="38">
        <f t="shared" ref="R53:R54" si="21">O53</f>
        <v>3758.5679999999998</v>
      </c>
      <c r="S53" s="913">
        <v>0</v>
      </c>
    </row>
    <row r="54" spans="1:19" s="1313" customFormat="1" ht="75.75" customHeight="1">
      <c r="A54" s="6" t="e">
        <f t="shared" si="5"/>
        <v>#REF!</v>
      </c>
      <c r="B54" s="1852" t="s">
        <v>18</v>
      </c>
      <c r="C54" s="1852" t="s">
        <v>98</v>
      </c>
      <c r="D54" s="1852" t="s">
        <v>141</v>
      </c>
      <c r="E54" s="1852">
        <v>4632024035</v>
      </c>
      <c r="F54" s="1852" t="s">
        <v>8</v>
      </c>
      <c r="G54" s="1851" t="s">
        <v>1034</v>
      </c>
      <c r="H54" s="1874">
        <v>3314.9639999999995</v>
      </c>
      <c r="I54" s="1869">
        <f t="shared" si="18"/>
        <v>3314.9639999999995</v>
      </c>
      <c r="J54" s="38">
        <v>0</v>
      </c>
      <c r="K54" s="38">
        <v>0</v>
      </c>
      <c r="L54" s="1868">
        <v>3314.9639999999995</v>
      </c>
      <c r="M54" s="38">
        <v>0</v>
      </c>
      <c r="N54" s="622">
        <f t="shared" si="19"/>
        <v>3758.5679999999998</v>
      </c>
      <c r="O54" s="622">
        <f t="shared" si="20"/>
        <v>3758.5679999999998</v>
      </c>
      <c r="P54" s="38">
        <v>0</v>
      </c>
      <c r="Q54" s="38">
        <v>0</v>
      </c>
      <c r="R54" s="38">
        <f t="shared" si="21"/>
        <v>3758.5679999999998</v>
      </c>
      <c r="S54" s="913">
        <v>0</v>
      </c>
    </row>
    <row r="55" spans="1:19" s="50" customFormat="1" ht="69" customHeight="1">
      <c r="A55" s="6" t="e">
        <f t="shared" si="5"/>
        <v>#REF!</v>
      </c>
      <c r="B55" s="1852" t="s">
        <v>18</v>
      </c>
      <c r="C55" s="1852" t="s">
        <v>1054</v>
      </c>
      <c r="D55" s="1852" t="s">
        <v>96</v>
      </c>
      <c r="E55" s="1852">
        <v>4611013586</v>
      </c>
      <c r="F55" s="1852" t="s">
        <v>8</v>
      </c>
      <c r="G55" s="1856" t="s">
        <v>1001</v>
      </c>
      <c r="H55" s="1874">
        <v>4183.0030781451369</v>
      </c>
      <c r="I55" s="38">
        <v>0</v>
      </c>
      <c r="J55" s="38">
        <v>2677.8195000000001</v>
      </c>
      <c r="K55" s="38">
        <v>2677.8195000000001</v>
      </c>
      <c r="L55" s="38">
        <v>0</v>
      </c>
      <c r="M55" s="38">
        <v>0</v>
      </c>
      <c r="N55" s="622">
        <v>5288.62</v>
      </c>
      <c r="O55" s="38">
        <v>0</v>
      </c>
      <c r="P55" s="38">
        <v>3052.71</v>
      </c>
      <c r="Q55" s="38">
        <v>3052.71</v>
      </c>
      <c r="R55" s="38">
        <v>0</v>
      </c>
      <c r="S55" s="913">
        <v>0</v>
      </c>
    </row>
    <row r="56" spans="1:19" s="1313" customFormat="1" ht="76.5" customHeight="1">
      <c r="A56" s="6" t="e">
        <f t="shared" si="5"/>
        <v>#REF!</v>
      </c>
      <c r="B56" s="1859" t="s">
        <v>19</v>
      </c>
      <c r="C56" s="1859" t="s">
        <v>62</v>
      </c>
      <c r="D56" s="1852" t="s">
        <v>141</v>
      </c>
      <c r="E56" s="1852">
        <v>4632024035</v>
      </c>
      <c r="F56" s="1852" t="s">
        <v>8</v>
      </c>
      <c r="G56" s="1851" t="s">
        <v>1034</v>
      </c>
      <c r="H56" s="1874">
        <f>1882.72*1.2</f>
        <v>2259.2640000000001</v>
      </c>
      <c r="I56" s="38">
        <f>H56</f>
        <v>2259.2640000000001</v>
      </c>
      <c r="J56" s="38">
        <v>771.73</v>
      </c>
      <c r="K56" s="38">
        <v>0</v>
      </c>
      <c r="L56" s="38">
        <f>H56</f>
        <v>2259.2640000000001</v>
      </c>
      <c r="M56" s="38">
        <v>0</v>
      </c>
      <c r="N56" s="622">
        <f>2259.08*1.2</f>
        <v>2710.8959999999997</v>
      </c>
      <c r="O56" s="38">
        <f>N56</f>
        <v>2710.8959999999997</v>
      </c>
      <c r="P56" s="38">
        <v>882.78</v>
      </c>
      <c r="Q56" s="38">
        <v>0</v>
      </c>
      <c r="R56" s="38">
        <f>O56</f>
        <v>2710.8959999999997</v>
      </c>
      <c r="S56" s="1887">
        <v>0</v>
      </c>
    </row>
    <row r="57" spans="1:19" s="1313" customFormat="1" ht="73.5" customHeight="1">
      <c r="A57" s="6" t="e">
        <f t="shared" si="5"/>
        <v>#REF!</v>
      </c>
      <c r="B57" s="1859" t="s">
        <v>19</v>
      </c>
      <c r="C57" s="1859" t="s">
        <v>280</v>
      </c>
      <c r="D57" s="1852" t="s">
        <v>141</v>
      </c>
      <c r="E57" s="1852">
        <v>4632024035</v>
      </c>
      <c r="F57" s="1852" t="s">
        <v>8</v>
      </c>
      <c r="G57" s="1851" t="s">
        <v>1034</v>
      </c>
      <c r="H57" s="1874">
        <f>1882.72*1.2</f>
        <v>2259.2640000000001</v>
      </c>
      <c r="I57" s="38">
        <f>H57</f>
        <v>2259.2640000000001</v>
      </c>
      <c r="J57" s="38">
        <v>780.3</v>
      </c>
      <c r="K57" s="38">
        <v>0</v>
      </c>
      <c r="L57" s="38">
        <f>H57</f>
        <v>2259.2640000000001</v>
      </c>
      <c r="M57" s="38">
        <v>0</v>
      </c>
      <c r="N57" s="622">
        <f>2259.08*1.2</f>
        <v>2710.8959999999997</v>
      </c>
      <c r="O57" s="38">
        <f>N57</f>
        <v>2710.8959999999997</v>
      </c>
      <c r="P57" s="38">
        <v>882.78</v>
      </c>
      <c r="Q57" s="38">
        <v>0</v>
      </c>
      <c r="R57" s="38">
        <f>O57</f>
        <v>2710.8959999999997</v>
      </c>
      <c r="S57" s="1887">
        <v>0</v>
      </c>
    </row>
    <row r="58" spans="1:19" s="1313" customFormat="1" ht="65.25" customHeight="1">
      <c r="A58" s="6" t="e">
        <f t="shared" si="5"/>
        <v>#REF!</v>
      </c>
      <c r="B58" s="1859" t="s">
        <v>19</v>
      </c>
      <c r="C58" s="1852" t="s">
        <v>99</v>
      </c>
      <c r="D58" s="1852" t="s">
        <v>141</v>
      </c>
      <c r="E58" s="1852">
        <v>4632024035</v>
      </c>
      <c r="F58" s="1857" t="s">
        <v>8</v>
      </c>
      <c r="G58" s="1851" t="s">
        <v>1034</v>
      </c>
      <c r="H58" s="1874">
        <v>3314.9639999999995</v>
      </c>
      <c r="I58" s="1869">
        <f t="shared" ref="I58:I64" si="22">H58</f>
        <v>3314.9639999999995</v>
      </c>
      <c r="J58" s="38">
        <v>2950.21</v>
      </c>
      <c r="K58" s="38">
        <v>0</v>
      </c>
      <c r="L58" s="1868">
        <v>3314.9639999999995</v>
      </c>
      <c r="M58" s="607">
        <v>0</v>
      </c>
      <c r="N58" s="622">
        <f t="shared" ref="N58:N64" si="23">3132.14*1.2</f>
        <v>3758.5679999999998</v>
      </c>
      <c r="O58" s="38">
        <f t="shared" ref="O58:O64" si="24">N58</f>
        <v>3758.5679999999998</v>
      </c>
      <c r="P58" s="38">
        <v>2979.71</v>
      </c>
      <c r="Q58" s="38">
        <v>0</v>
      </c>
      <c r="R58" s="38">
        <f>O58</f>
        <v>3758.5679999999998</v>
      </c>
      <c r="S58" s="917">
        <v>0</v>
      </c>
    </row>
    <row r="59" spans="1:19" s="1313" customFormat="1" ht="72" customHeight="1">
      <c r="A59" s="6" t="e">
        <f t="shared" si="5"/>
        <v>#REF!</v>
      </c>
      <c r="B59" s="1852" t="s">
        <v>21</v>
      </c>
      <c r="C59" s="1852" t="s">
        <v>67</v>
      </c>
      <c r="D59" s="1852" t="s">
        <v>141</v>
      </c>
      <c r="E59" s="1852">
        <v>4632024035</v>
      </c>
      <c r="F59" s="1852" t="s">
        <v>8</v>
      </c>
      <c r="G59" s="1851" t="s">
        <v>1034</v>
      </c>
      <c r="H59" s="1874">
        <v>3314.9639999999995</v>
      </c>
      <c r="I59" s="1869">
        <f t="shared" si="22"/>
        <v>3314.9639999999995</v>
      </c>
      <c r="J59" s="38">
        <v>2484</v>
      </c>
      <c r="K59" s="38">
        <v>0</v>
      </c>
      <c r="L59" s="1868">
        <v>3314.9639999999995</v>
      </c>
      <c r="M59" s="607">
        <v>0</v>
      </c>
      <c r="N59" s="622">
        <f t="shared" si="23"/>
        <v>3758.5679999999998</v>
      </c>
      <c r="O59" s="622">
        <f t="shared" si="24"/>
        <v>3758.5679999999998</v>
      </c>
      <c r="P59" s="38">
        <v>2719.98</v>
      </c>
      <c r="Q59" s="38">
        <v>0</v>
      </c>
      <c r="R59" s="38">
        <f t="shared" ref="R59:R64" si="25">O59</f>
        <v>3758.5679999999998</v>
      </c>
      <c r="S59" s="917">
        <v>0</v>
      </c>
    </row>
    <row r="60" spans="1:19" s="1313" customFormat="1" ht="78.75" customHeight="1">
      <c r="A60" s="6" t="e">
        <f t="shared" si="5"/>
        <v>#REF!</v>
      </c>
      <c r="B60" s="1852" t="s">
        <v>21</v>
      </c>
      <c r="C60" s="1852" t="s">
        <v>100</v>
      </c>
      <c r="D60" s="1852" t="s">
        <v>141</v>
      </c>
      <c r="E60" s="1852">
        <v>4632024035</v>
      </c>
      <c r="F60" s="1852" t="s">
        <v>8</v>
      </c>
      <c r="G60" s="1851" t="s">
        <v>1034</v>
      </c>
      <c r="H60" s="1874">
        <v>3314.9639999999995</v>
      </c>
      <c r="I60" s="1869">
        <f t="shared" si="22"/>
        <v>3314.9639999999995</v>
      </c>
      <c r="J60" s="38">
        <v>2950.21</v>
      </c>
      <c r="K60" s="38">
        <v>0</v>
      </c>
      <c r="L60" s="1868">
        <v>3314.9639999999995</v>
      </c>
      <c r="M60" s="607">
        <v>0</v>
      </c>
      <c r="N60" s="622">
        <f t="shared" si="23"/>
        <v>3758.5679999999998</v>
      </c>
      <c r="O60" s="622">
        <f t="shared" si="24"/>
        <v>3758.5679999999998</v>
      </c>
      <c r="P60" s="38">
        <v>2979.71</v>
      </c>
      <c r="Q60" s="38">
        <v>0</v>
      </c>
      <c r="R60" s="38">
        <f t="shared" si="25"/>
        <v>3758.5679999999998</v>
      </c>
      <c r="S60" s="918">
        <v>0</v>
      </c>
    </row>
    <row r="61" spans="1:19" s="1313" customFormat="1" ht="73.5" customHeight="1">
      <c r="A61" s="6" t="e">
        <f t="shared" si="5"/>
        <v>#REF!</v>
      </c>
      <c r="B61" s="1852" t="s">
        <v>21</v>
      </c>
      <c r="C61" s="1852" t="s">
        <v>101</v>
      </c>
      <c r="D61" s="1852" t="s">
        <v>141</v>
      </c>
      <c r="E61" s="1852">
        <v>4632024035</v>
      </c>
      <c r="F61" s="1852" t="s">
        <v>8</v>
      </c>
      <c r="G61" s="1851" t="s">
        <v>1034</v>
      </c>
      <c r="H61" s="1874">
        <v>3314.9639999999995</v>
      </c>
      <c r="I61" s="1869">
        <f t="shared" si="22"/>
        <v>3314.9639999999995</v>
      </c>
      <c r="J61" s="38">
        <v>2950.21</v>
      </c>
      <c r="K61" s="38">
        <v>0</v>
      </c>
      <c r="L61" s="1868">
        <v>3314.9639999999995</v>
      </c>
      <c r="M61" s="607">
        <v>0</v>
      </c>
      <c r="N61" s="622">
        <f t="shared" si="23"/>
        <v>3758.5679999999998</v>
      </c>
      <c r="O61" s="622">
        <f t="shared" si="24"/>
        <v>3758.5679999999998</v>
      </c>
      <c r="P61" s="38">
        <v>2979.71</v>
      </c>
      <c r="Q61" s="38">
        <v>0</v>
      </c>
      <c r="R61" s="38">
        <f t="shared" si="25"/>
        <v>3758.5679999999998</v>
      </c>
      <c r="S61" s="917">
        <v>0</v>
      </c>
    </row>
    <row r="62" spans="1:19" s="1313" customFormat="1" ht="75" customHeight="1">
      <c r="A62" s="6" t="e">
        <f t="shared" si="5"/>
        <v>#REF!</v>
      </c>
      <c r="B62" s="1852" t="s">
        <v>21</v>
      </c>
      <c r="C62" s="1852" t="s">
        <v>102</v>
      </c>
      <c r="D62" s="1852" t="s">
        <v>141</v>
      </c>
      <c r="E62" s="1852">
        <v>4632024035</v>
      </c>
      <c r="F62" s="1852" t="s">
        <v>8</v>
      </c>
      <c r="G62" s="1851" t="s">
        <v>1034</v>
      </c>
      <c r="H62" s="1874">
        <v>3314.9639999999995</v>
      </c>
      <c r="I62" s="1869">
        <f t="shared" si="22"/>
        <v>3314.9639999999995</v>
      </c>
      <c r="J62" s="38">
        <v>0</v>
      </c>
      <c r="K62" s="38">
        <v>0</v>
      </c>
      <c r="L62" s="1868">
        <v>3314.9639999999995</v>
      </c>
      <c r="M62" s="607">
        <v>0</v>
      </c>
      <c r="N62" s="622">
        <f t="shared" si="23"/>
        <v>3758.5679999999998</v>
      </c>
      <c r="O62" s="622">
        <f t="shared" si="24"/>
        <v>3758.5679999999998</v>
      </c>
      <c r="P62" s="38">
        <v>0</v>
      </c>
      <c r="Q62" s="38">
        <v>0</v>
      </c>
      <c r="R62" s="38">
        <f t="shared" si="25"/>
        <v>3758.5679999999998</v>
      </c>
      <c r="S62" s="917">
        <v>0</v>
      </c>
    </row>
    <row r="63" spans="1:19" s="1313" customFormat="1" ht="84.75" customHeight="1">
      <c r="A63" s="6" t="e">
        <f t="shared" si="5"/>
        <v>#REF!</v>
      </c>
      <c r="B63" s="1852" t="s">
        <v>22</v>
      </c>
      <c r="C63" s="1852" t="s">
        <v>103</v>
      </c>
      <c r="D63" s="1852" t="s">
        <v>142</v>
      </c>
      <c r="E63" s="1852">
        <v>4632024035</v>
      </c>
      <c r="F63" s="1852" t="s">
        <v>8</v>
      </c>
      <c r="G63" s="1851" t="s">
        <v>1034</v>
      </c>
      <c r="H63" s="1874">
        <v>3314.9639999999995</v>
      </c>
      <c r="I63" s="1869">
        <f t="shared" si="22"/>
        <v>3314.9639999999995</v>
      </c>
      <c r="J63" s="38">
        <v>2484</v>
      </c>
      <c r="K63" s="38">
        <v>0</v>
      </c>
      <c r="L63" s="1868">
        <v>3314.9639999999995</v>
      </c>
      <c r="M63" s="38">
        <v>0</v>
      </c>
      <c r="N63" s="622">
        <f t="shared" si="23"/>
        <v>3758.5679999999998</v>
      </c>
      <c r="O63" s="622">
        <f t="shared" si="24"/>
        <v>3758.5679999999998</v>
      </c>
      <c r="P63" s="38">
        <v>2719.98</v>
      </c>
      <c r="Q63" s="38">
        <v>0</v>
      </c>
      <c r="R63" s="38">
        <f t="shared" si="25"/>
        <v>3758.5679999999998</v>
      </c>
      <c r="S63" s="913">
        <v>0</v>
      </c>
    </row>
    <row r="64" spans="1:19" s="1313" customFormat="1" ht="76.5" customHeight="1">
      <c r="A64" s="6" t="e">
        <f t="shared" si="5"/>
        <v>#REF!</v>
      </c>
      <c r="B64" s="1852" t="s">
        <v>22</v>
      </c>
      <c r="C64" s="1852" t="s">
        <v>104</v>
      </c>
      <c r="D64" s="1852" t="s">
        <v>141</v>
      </c>
      <c r="E64" s="1852">
        <v>4632024035</v>
      </c>
      <c r="F64" s="1852" t="s">
        <v>8</v>
      </c>
      <c r="G64" s="1851" t="s">
        <v>1034</v>
      </c>
      <c r="H64" s="1874">
        <v>3314.9639999999995</v>
      </c>
      <c r="I64" s="1869">
        <f t="shared" si="22"/>
        <v>3314.9639999999995</v>
      </c>
      <c r="J64" s="38">
        <v>0</v>
      </c>
      <c r="K64" s="38">
        <v>0</v>
      </c>
      <c r="L64" s="1868">
        <v>3314.9639999999995</v>
      </c>
      <c r="M64" s="38">
        <v>0</v>
      </c>
      <c r="N64" s="622">
        <f t="shared" si="23"/>
        <v>3758.5679999999998</v>
      </c>
      <c r="O64" s="622">
        <f t="shared" si="24"/>
        <v>3758.5679999999998</v>
      </c>
      <c r="P64" s="38">
        <v>0</v>
      </c>
      <c r="Q64" s="38">
        <v>0</v>
      </c>
      <c r="R64" s="38">
        <f t="shared" si="25"/>
        <v>3758.5679999999998</v>
      </c>
      <c r="S64" s="913">
        <v>0</v>
      </c>
    </row>
    <row r="65" spans="1:19" s="50" customFormat="1" ht="75" customHeight="1">
      <c r="A65" s="6" t="e">
        <f t="shared" si="5"/>
        <v>#REF!</v>
      </c>
      <c r="B65" s="1852" t="s">
        <v>23</v>
      </c>
      <c r="C65" s="1854" t="s">
        <v>68</v>
      </c>
      <c r="D65" s="1852" t="s">
        <v>24</v>
      </c>
      <c r="E65" s="1852">
        <v>4616008283</v>
      </c>
      <c r="F65" s="1852" t="s">
        <v>8</v>
      </c>
      <c r="G65" s="1856" t="s">
        <v>1021</v>
      </c>
      <c r="H65" s="1874">
        <v>3478.3346220056919</v>
      </c>
      <c r="I65" s="38">
        <v>3478.3346220056919</v>
      </c>
      <c r="J65" s="38">
        <v>3122.7852000000003</v>
      </c>
      <c r="K65" s="38">
        <v>3122.7852000000003</v>
      </c>
      <c r="L65" s="38">
        <v>3478.3346220056919</v>
      </c>
      <c r="M65" s="38">
        <v>0</v>
      </c>
      <c r="N65" s="38">
        <v>3853.91</v>
      </c>
      <c r="O65" s="38">
        <v>3853.91</v>
      </c>
      <c r="P65" s="38">
        <v>3572.47</v>
      </c>
      <c r="Q65" s="38">
        <v>3572.47</v>
      </c>
      <c r="R65" s="38">
        <v>3853.91</v>
      </c>
      <c r="S65" s="913">
        <v>0</v>
      </c>
    </row>
    <row r="66" spans="1:19" s="1313" customFormat="1" ht="72.75" customHeight="1">
      <c r="A66" s="6" t="e">
        <f t="shared" si="5"/>
        <v>#REF!</v>
      </c>
      <c r="B66" s="1852" t="s">
        <v>23</v>
      </c>
      <c r="C66" s="1852" t="s">
        <v>106</v>
      </c>
      <c r="D66" s="1852" t="s">
        <v>141</v>
      </c>
      <c r="E66" s="1852">
        <v>4632024035</v>
      </c>
      <c r="F66" s="1852" t="s">
        <v>8</v>
      </c>
      <c r="G66" s="1851" t="s">
        <v>1034</v>
      </c>
      <c r="H66" s="1874">
        <v>3314.9639999999995</v>
      </c>
      <c r="I66" s="1869">
        <f t="shared" ref="I66:I67" si="26">H66</f>
        <v>3314.9639999999995</v>
      </c>
      <c r="J66" s="38">
        <v>0</v>
      </c>
      <c r="K66" s="38">
        <v>0</v>
      </c>
      <c r="L66" s="1868">
        <v>3314.9639999999995</v>
      </c>
      <c r="M66" s="38">
        <v>0</v>
      </c>
      <c r="N66" s="622">
        <f t="shared" ref="N66:N67" si="27">3132.14*1.2</f>
        <v>3758.5679999999998</v>
      </c>
      <c r="O66" s="622">
        <f t="shared" ref="O66:O67" si="28">N66</f>
        <v>3758.5679999999998</v>
      </c>
      <c r="P66" s="38">
        <v>0</v>
      </c>
      <c r="Q66" s="38">
        <v>0</v>
      </c>
      <c r="R66" s="38">
        <f t="shared" ref="R66:R67" si="29">O66</f>
        <v>3758.5679999999998</v>
      </c>
      <c r="S66" s="913">
        <v>0</v>
      </c>
    </row>
    <row r="67" spans="1:19" s="1313" customFormat="1" ht="77.25" customHeight="1">
      <c r="A67" s="6" t="e">
        <f t="shared" si="5"/>
        <v>#REF!</v>
      </c>
      <c r="B67" s="1852" t="s">
        <v>23</v>
      </c>
      <c r="C67" s="1852" t="s">
        <v>107</v>
      </c>
      <c r="D67" s="1852" t="s">
        <v>141</v>
      </c>
      <c r="E67" s="1852">
        <v>4632024035</v>
      </c>
      <c r="F67" s="1852" t="s">
        <v>8</v>
      </c>
      <c r="G67" s="1851" t="s">
        <v>1034</v>
      </c>
      <c r="H67" s="1874">
        <v>3314.9639999999995</v>
      </c>
      <c r="I67" s="1869">
        <f t="shared" si="26"/>
        <v>3314.9639999999995</v>
      </c>
      <c r="J67" s="38">
        <v>0</v>
      </c>
      <c r="K67" s="38">
        <v>0</v>
      </c>
      <c r="L67" s="1868">
        <v>3314.9639999999995</v>
      </c>
      <c r="M67" s="38">
        <v>0</v>
      </c>
      <c r="N67" s="622">
        <f t="shared" si="27"/>
        <v>3758.5679999999998</v>
      </c>
      <c r="O67" s="622">
        <f t="shared" si="28"/>
        <v>3758.5679999999998</v>
      </c>
      <c r="P67" s="38">
        <v>0</v>
      </c>
      <c r="Q67" s="38">
        <v>0</v>
      </c>
      <c r="R67" s="38">
        <f t="shared" si="29"/>
        <v>3758.5679999999998</v>
      </c>
      <c r="S67" s="913">
        <v>0</v>
      </c>
    </row>
    <row r="68" spans="1:19" s="50" customFormat="1" ht="75" customHeight="1">
      <c r="A68" s="6" t="e">
        <f t="shared" si="5"/>
        <v>#REF!</v>
      </c>
      <c r="B68" s="1853" t="s">
        <v>25</v>
      </c>
      <c r="C68" s="1852" t="s">
        <v>108</v>
      </c>
      <c r="D68" s="1852" t="s">
        <v>26</v>
      </c>
      <c r="E68" s="1852">
        <v>4617004147</v>
      </c>
      <c r="F68" s="1852" t="s">
        <v>8</v>
      </c>
      <c r="G68" s="1856" t="s">
        <v>1004</v>
      </c>
      <c r="H68" s="1875">
        <v>2706.4706688038673</v>
      </c>
      <c r="I68" s="38">
        <v>2706.4706688038673</v>
      </c>
      <c r="J68" s="607">
        <v>2706.4706688038673</v>
      </c>
      <c r="K68" s="607">
        <v>0</v>
      </c>
      <c r="L68" s="607">
        <v>0</v>
      </c>
      <c r="M68" s="38">
        <v>0</v>
      </c>
      <c r="N68" s="1879">
        <v>3095.58</v>
      </c>
      <c r="O68" s="38">
        <v>3095.58</v>
      </c>
      <c r="P68" s="607">
        <v>3095.58</v>
      </c>
      <c r="Q68" s="607">
        <v>0</v>
      </c>
      <c r="R68" s="38">
        <v>0</v>
      </c>
      <c r="S68" s="917">
        <v>0</v>
      </c>
    </row>
    <row r="69" spans="1:19" s="1313" customFormat="1" ht="72" customHeight="1">
      <c r="A69" s="6" t="e">
        <f t="shared" si="5"/>
        <v>#REF!</v>
      </c>
      <c r="B69" s="1853" t="s">
        <v>25</v>
      </c>
      <c r="C69" s="1852" t="s">
        <v>108</v>
      </c>
      <c r="D69" s="1852" t="s">
        <v>141</v>
      </c>
      <c r="E69" s="1852">
        <v>4632024035</v>
      </c>
      <c r="F69" s="1852" t="s">
        <v>8</v>
      </c>
      <c r="G69" s="1851" t="s">
        <v>1034</v>
      </c>
      <c r="H69" s="1875">
        <v>3314.9639999999995</v>
      </c>
      <c r="I69" s="1869">
        <f>H69</f>
        <v>3314.9639999999995</v>
      </c>
      <c r="J69" s="38">
        <v>2950.21</v>
      </c>
      <c r="K69" s="38">
        <v>0</v>
      </c>
      <c r="L69" s="1868">
        <v>3314.9639999999995</v>
      </c>
      <c r="M69" s="607">
        <v>0</v>
      </c>
      <c r="N69" s="622">
        <f>3132.14*1.2</f>
        <v>3758.5679999999998</v>
      </c>
      <c r="O69" s="622">
        <f>N69</f>
        <v>3758.5679999999998</v>
      </c>
      <c r="P69" s="38">
        <v>2979.71</v>
      </c>
      <c r="Q69" s="38">
        <v>0</v>
      </c>
      <c r="R69" s="38">
        <f>O69</f>
        <v>3758.5679999999998</v>
      </c>
      <c r="S69" s="917">
        <v>0</v>
      </c>
    </row>
    <row r="70" spans="1:19" s="50" customFormat="1" ht="78.75" customHeight="1">
      <c r="A70" s="6" t="e">
        <f t="shared" si="5"/>
        <v>#REF!</v>
      </c>
      <c r="B70" s="1853" t="str">
        <f t="shared" ref="B70:B76" si="30">B69</f>
        <v>Октябрьский район</v>
      </c>
      <c r="C70" s="1854" t="s">
        <v>902</v>
      </c>
      <c r="D70" s="1857" t="s">
        <v>161</v>
      </c>
      <c r="E70" s="1852">
        <v>4617004147</v>
      </c>
      <c r="F70" s="1857" t="s">
        <v>8</v>
      </c>
      <c r="G70" s="1860" t="s">
        <v>1004</v>
      </c>
      <c r="H70" s="1875">
        <v>3850.8480191964254</v>
      </c>
      <c r="I70" s="607">
        <v>3850.8480191964254</v>
      </c>
      <c r="J70" s="607">
        <v>0</v>
      </c>
      <c r="K70" s="607">
        <v>0</v>
      </c>
      <c r="L70" s="607">
        <v>0</v>
      </c>
      <c r="M70" s="607">
        <v>0</v>
      </c>
      <c r="N70" s="604">
        <v>4621.0200000000004</v>
      </c>
      <c r="O70" s="622">
        <v>4621.0200000000004</v>
      </c>
      <c r="P70" s="38">
        <v>0</v>
      </c>
      <c r="Q70" s="38">
        <v>0</v>
      </c>
      <c r="R70" s="38">
        <v>0</v>
      </c>
      <c r="S70" s="917">
        <v>0</v>
      </c>
    </row>
    <row r="71" spans="1:19" s="50" customFormat="1" ht="75" customHeight="1">
      <c r="A71" s="6" t="e">
        <f t="shared" si="5"/>
        <v>#REF!</v>
      </c>
      <c r="B71" s="1853" t="str">
        <f t="shared" si="30"/>
        <v>Октябрьский район</v>
      </c>
      <c r="C71" s="1854" t="s">
        <v>156</v>
      </c>
      <c r="D71" s="1857" t="s">
        <v>161</v>
      </c>
      <c r="E71" s="1852">
        <v>4617004147</v>
      </c>
      <c r="F71" s="1857" t="s">
        <v>8</v>
      </c>
      <c r="G71" s="1860" t="s">
        <v>1004</v>
      </c>
      <c r="H71" s="1875">
        <v>3850.8480191964254</v>
      </c>
      <c r="I71" s="607">
        <v>3850.8480191964254</v>
      </c>
      <c r="J71" s="607">
        <v>0</v>
      </c>
      <c r="K71" s="607">
        <v>0</v>
      </c>
      <c r="L71" s="607">
        <v>0</v>
      </c>
      <c r="M71" s="607">
        <v>0</v>
      </c>
      <c r="N71" s="604">
        <v>4621.0200000000004</v>
      </c>
      <c r="O71" s="604">
        <v>4621.0200000000004</v>
      </c>
      <c r="P71" s="38">
        <v>0</v>
      </c>
      <c r="Q71" s="38">
        <v>0</v>
      </c>
      <c r="R71" s="38">
        <v>0</v>
      </c>
      <c r="S71" s="917">
        <v>0</v>
      </c>
    </row>
    <row r="72" spans="1:19" s="50" customFormat="1" ht="70.5" customHeight="1">
      <c r="A72" s="6" t="e">
        <f t="shared" si="5"/>
        <v>#REF!</v>
      </c>
      <c r="B72" s="1853" t="str">
        <f t="shared" si="30"/>
        <v>Октябрьский район</v>
      </c>
      <c r="C72" s="1854" t="s">
        <v>157</v>
      </c>
      <c r="D72" s="1857" t="s">
        <v>161</v>
      </c>
      <c r="E72" s="1852">
        <v>4617004147</v>
      </c>
      <c r="F72" s="1857" t="s">
        <v>8</v>
      </c>
      <c r="G72" s="1860" t="s">
        <v>1004</v>
      </c>
      <c r="H72" s="1875">
        <v>3850.8480191964254</v>
      </c>
      <c r="I72" s="607">
        <v>3850.8480191964254</v>
      </c>
      <c r="J72" s="607">
        <v>0</v>
      </c>
      <c r="K72" s="607">
        <v>0</v>
      </c>
      <c r="L72" s="607">
        <v>0</v>
      </c>
      <c r="M72" s="607">
        <v>0</v>
      </c>
      <c r="N72" s="604">
        <v>4621.0200000000004</v>
      </c>
      <c r="O72" s="604">
        <v>4621.0200000000004</v>
      </c>
      <c r="P72" s="38">
        <v>0</v>
      </c>
      <c r="Q72" s="38">
        <v>0</v>
      </c>
      <c r="R72" s="38">
        <v>0</v>
      </c>
      <c r="S72" s="917">
        <v>0</v>
      </c>
    </row>
    <row r="73" spans="1:19" s="50" customFormat="1" ht="72" customHeight="1">
      <c r="A73" s="6" t="e">
        <f t="shared" si="5"/>
        <v>#REF!</v>
      </c>
      <c r="B73" s="1853" t="str">
        <f t="shared" si="30"/>
        <v>Октябрьский район</v>
      </c>
      <c r="C73" s="1854" t="s">
        <v>158</v>
      </c>
      <c r="D73" s="1857" t="s">
        <v>161</v>
      </c>
      <c r="E73" s="1852">
        <v>4617004147</v>
      </c>
      <c r="F73" s="1857" t="s">
        <v>8</v>
      </c>
      <c r="G73" s="1860" t="s">
        <v>1004</v>
      </c>
      <c r="H73" s="1875">
        <v>3850.8480191964254</v>
      </c>
      <c r="I73" s="607">
        <v>3850.8480191964254</v>
      </c>
      <c r="J73" s="607">
        <v>0</v>
      </c>
      <c r="K73" s="607">
        <v>0</v>
      </c>
      <c r="L73" s="607">
        <v>0</v>
      </c>
      <c r="M73" s="607">
        <v>0</v>
      </c>
      <c r="N73" s="604">
        <v>4621.0200000000004</v>
      </c>
      <c r="O73" s="604">
        <v>4621.0200000000004</v>
      </c>
      <c r="P73" s="38">
        <v>0</v>
      </c>
      <c r="Q73" s="38">
        <v>0</v>
      </c>
      <c r="R73" s="38">
        <v>0</v>
      </c>
      <c r="S73" s="917">
        <v>0</v>
      </c>
    </row>
    <row r="74" spans="1:19" s="50" customFormat="1" ht="75" customHeight="1">
      <c r="A74" s="6" t="e">
        <f t="shared" si="5"/>
        <v>#REF!</v>
      </c>
      <c r="B74" s="1853" t="str">
        <f t="shared" si="30"/>
        <v>Октябрьский район</v>
      </c>
      <c r="C74" s="1854" t="s">
        <v>159</v>
      </c>
      <c r="D74" s="1857" t="s">
        <v>161</v>
      </c>
      <c r="E74" s="1852">
        <v>4617004147</v>
      </c>
      <c r="F74" s="1857" t="s">
        <v>8</v>
      </c>
      <c r="G74" s="1860" t="s">
        <v>1004</v>
      </c>
      <c r="H74" s="1875">
        <v>3850.8480191964254</v>
      </c>
      <c r="I74" s="607">
        <v>3850.8480191964254</v>
      </c>
      <c r="J74" s="607">
        <v>0</v>
      </c>
      <c r="K74" s="607">
        <v>0</v>
      </c>
      <c r="L74" s="607">
        <v>0</v>
      </c>
      <c r="M74" s="607">
        <v>0</v>
      </c>
      <c r="N74" s="604">
        <v>4621.0200000000004</v>
      </c>
      <c r="O74" s="604">
        <v>4621.0200000000004</v>
      </c>
      <c r="P74" s="38">
        <v>0</v>
      </c>
      <c r="Q74" s="38">
        <v>0</v>
      </c>
      <c r="R74" s="38">
        <v>0</v>
      </c>
      <c r="S74" s="913">
        <v>0</v>
      </c>
    </row>
    <row r="75" spans="1:19" s="50" customFormat="1" ht="72.75" customHeight="1">
      <c r="A75" s="6" t="e">
        <f t="shared" si="5"/>
        <v>#REF!</v>
      </c>
      <c r="B75" s="1853" t="str">
        <f t="shared" si="30"/>
        <v>Октябрьский район</v>
      </c>
      <c r="C75" s="1854" t="s">
        <v>160</v>
      </c>
      <c r="D75" s="1857" t="s">
        <v>161</v>
      </c>
      <c r="E75" s="1852">
        <v>4617004147</v>
      </c>
      <c r="F75" s="1857" t="s">
        <v>8</v>
      </c>
      <c r="G75" s="1860" t="s">
        <v>1004</v>
      </c>
      <c r="H75" s="1875">
        <v>3850.8480191964254</v>
      </c>
      <c r="I75" s="607">
        <v>3850.8480191964254</v>
      </c>
      <c r="J75" s="607">
        <v>0</v>
      </c>
      <c r="K75" s="607">
        <v>0</v>
      </c>
      <c r="L75" s="607">
        <v>0</v>
      </c>
      <c r="M75" s="607">
        <v>0</v>
      </c>
      <c r="N75" s="604">
        <v>4621.0200000000004</v>
      </c>
      <c r="O75" s="604">
        <v>4621.0200000000004</v>
      </c>
      <c r="P75" s="38">
        <v>0</v>
      </c>
      <c r="Q75" s="38">
        <v>0</v>
      </c>
      <c r="R75" s="38">
        <v>0</v>
      </c>
      <c r="S75" s="913">
        <v>0</v>
      </c>
    </row>
    <row r="76" spans="1:19" s="50" customFormat="1" ht="76.5" customHeight="1">
      <c r="A76" s="6" t="e">
        <f t="shared" si="5"/>
        <v>#REF!</v>
      </c>
      <c r="B76" s="1853" t="str">
        <f t="shared" si="30"/>
        <v>Октябрьский район</v>
      </c>
      <c r="C76" s="1854" t="s">
        <v>155</v>
      </c>
      <c r="D76" s="1857" t="s">
        <v>161</v>
      </c>
      <c r="E76" s="1852">
        <v>4617004147</v>
      </c>
      <c r="F76" s="1857" t="s">
        <v>8</v>
      </c>
      <c r="G76" s="1860" t="s">
        <v>1004</v>
      </c>
      <c r="H76" s="1875">
        <v>3850.8480191964254</v>
      </c>
      <c r="I76" s="607">
        <v>3850.8480191964254</v>
      </c>
      <c r="J76" s="607">
        <v>0</v>
      </c>
      <c r="K76" s="607">
        <v>0</v>
      </c>
      <c r="L76" s="607">
        <v>0</v>
      </c>
      <c r="M76" s="607">
        <v>0</v>
      </c>
      <c r="N76" s="604">
        <v>4621.0200000000004</v>
      </c>
      <c r="O76" s="604">
        <v>4621.0200000000004</v>
      </c>
      <c r="P76" s="38">
        <v>0</v>
      </c>
      <c r="Q76" s="38">
        <v>0</v>
      </c>
      <c r="R76" s="38">
        <v>0</v>
      </c>
      <c r="S76" s="913">
        <v>0</v>
      </c>
    </row>
    <row r="77" spans="1:19" s="50" customFormat="1" ht="73.5" customHeight="1">
      <c r="A77" s="6" t="e">
        <f t="shared" ref="A77:A140" si="31">A76+1</f>
        <v>#REF!</v>
      </c>
      <c r="B77" s="1852" t="s">
        <v>27</v>
      </c>
      <c r="C77" s="1854" t="s">
        <v>63</v>
      </c>
      <c r="D77" s="1852" t="s">
        <v>28</v>
      </c>
      <c r="E77" s="1852">
        <v>4618003724</v>
      </c>
      <c r="F77" s="1852" t="s">
        <v>8</v>
      </c>
      <c r="G77" s="1856" t="s">
        <v>1022</v>
      </c>
      <c r="H77" s="1875">
        <v>2810.44</v>
      </c>
      <c r="I77" s="38">
        <v>2810.44</v>
      </c>
      <c r="J77" s="38">
        <v>2810.44</v>
      </c>
      <c r="K77" s="38">
        <v>0</v>
      </c>
      <c r="L77" s="38">
        <v>2810.44</v>
      </c>
      <c r="M77" s="607">
        <v>0</v>
      </c>
      <c r="N77" s="38">
        <v>2958.8</v>
      </c>
      <c r="O77" s="38">
        <v>2958.8</v>
      </c>
      <c r="P77" s="38">
        <v>2958.8</v>
      </c>
      <c r="Q77" s="38">
        <v>0</v>
      </c>
      <c r="R77" s="38">
        <v>2958.8</v>
      </c>
      <c r="S77" s="913">
        <v>0</v>
      </c>
    </row>
    <row r="78" spans="1:19" s="1313" customFormat="1" ht="72" customHeight="1">
      <c r="A78" s="6" t="e">
        <f t="shared" si="31"/>
        <v>#REF!</v>
      </c>
      <c r="B78" s="1852" t="s">
        <v>27</v>
      </c>
      <c r="C78" s="1852" t="s">
        <v>109</v>
      </c>
      <c r="D78" s="1852" t="s">
        <v>141</v>
      </c>
      <c r="E78" s="1852">
        <v>4632024035</v>
      </c>
      <c r="F78" s="1852" t="s">
        <v>8</v>
      </c>
      <c r="G78" s="1851" t="s">
        <v>1034</v>
      </c>
      <c r="H78" s="1875">
        <v>3314.9639999999995</v>
      </c>
      <c r="I78" s="1869">
        <f t="shared" ref="I78:I79" si="32">H78</f>
        <v>3314.9639999999995</v>
      </c>
      <c r="J78" s="38">
        <v>0</v>
      </c>
      <c r="K78" s="38">
        <v>0</v>
      </c>
      <c r="L78" s="1868">
        <v>3314.9639999999995</v>
      </c>
      <c r="M78" s="38">
        <v>0</v>
      </c>
      <c r="N78" s="622">
        <f t="shared" ref="N78:N79" si="33">3132.14*1.2</f>
        <v>3758.5679999999998</v>
      </c>
      <c r="O78" s="622">
        <f t="shared" ref="O78:O79" si="34">N78</f>
        <v>3758.5679999999998</v>
      </c>
      <c r="P78" s="38">
        <v>0</v>
      </c>
      <c r="Q78" s="38">
        <v>0</v>
      </c>
      <c r="R78" s="38">
        <f t="shared" ref="R78:R79" si="35">O78</f>
        <v>3758.5679999999998</v>
      </c>
      <c r="S78" s="913">
        <v>0</v>
      </c>
    </row>
    <row r="79" spans="1:19" s="1313" customFormat="1" ht="80.25" customHeight="1">
      <c r="A79" s="6" t="e">
        <f t="shared" si="31"/>
        <v>#REF!</v>
      </c>
      <c r="B79" s="1852" t="s">
        <v>27</v>
      </c>
      <c r="C79" s="1852" t="s">
        <v>110</v>
      </c>
      <c r="D79" s="1852" t="s">
        <v>142</v>
      </c>
      <c r="E79" s="1852">
        <v>4632024035</v>
      </c>
      <c r="F79" s="1852" t="s">
        <v>8</v>
      </c>
      <c r="G79" s="1851" t="s">
        <v>1034</v>
      </c>
      <c r="H79" s="1875">
        <v>3314.9639999999995</v>
      </c>
      <c r="I79" s="1869">
        <f t="shared" si="32"/>
        <v>3314.9639999999995</v>
      </c>
      <c r="J79" s="38">
        <v>2950.21</v>
      </c>
      <c r="K79" s="38">
        <v>0</v>
      </c>
      <c r="L79" s="1868">
        <v>3314.9639999999995</v>
      </c>
      <c r="M79" s="38">
        <v>0</v>
      </c>
      <c r="N79" s="622">
        <f t="shared" si="33"/>
        <v>3758.5679999999998</v>
      </c>
      <c r="O79" s="622">
        <f t="shared" si="34"/>
        <v>3758.5679999999998</v>
      </c>
      <c r="P79" s="38">
        <v>2979.71</v>
      </c>
      <c r="Q79" s="38">
        <v>0</v>
      </c>
      <c r="R79" s="38">
        <f t="shared" si="35"/>
        <v>3758.5679999999998</v>
      </c>
      <c r="S79" s="913">
        <v>0</v>
      </c>
    </row>
    <row r="80" spans="1:19" s="50" customFormat="1" ht="75.75" customHeight="1">
      <c r="A80" s="6" t="e">
        <f t="shared" si="31"/>
        <v>#REF!</v>
      </c>
      <c r="B80" s="1853" t="s">
        <v>29</v>
      </c>
      <c r="C80" s="1861" t="s">
        <v>112</v>
      </c>
      <c r="D80" s="1852" t="s">
        <v>111</v>
      </c>
      <c r="E80" s="1852">
        <v>4617004147</v>
      </c>
      <c r="F80" s="1852" t="s">
        <v>8</v>
      </c>
      <c r="G80" s="1856" t="s">
        <v>1004</v>
      </c>
      <c r="H80" s="1875">
        <v>3127.6598130001857</v>
      </c>
      <c r="I80" s="38">
        <v>3127.6598130001857</v>
      </c>
      <c r="J80" s="607">
        <v>3127.6598130001857</v>
      </c>
      <c r="K80" s="607">
        <v>0</v>
      </c>
      <c r="L80" s="607">
        <v>0</v>
      </c>
      <c r="M80" s="38">
        <v>0</v>
      </c>
      <c r="N80" s="622">
        <v>3573.9</v>
      </c>
      <c r="O80" s="622">
        <v>3573.9</v>
      </c>
      <c r="P80" s="622">
        <v>3573.9</v>
      </c>
      <c r="Q80" s="622">
        <v>0</v>
      </c>
      <c r="R80" s="38">
        <v>0</v>
      </c>
      <c r="S80" s="913">
        <v>0</v>
      </c>
    </row>
    <row r="81" spans="1:19" s="1313" customFormat="1" ht="78.75" customHeight="1">
      <c r="A81" s="6" t="e">
        <f t="shared" si="31"/>
        <v>#REF!</v>
      </c>
      <c r="B81" s="1853" t="s">
        <v>29</v>
      </c>
      <c r="C81" s="1852" t="s">
        <v>113</v>
      </c>
      <c r="D81" s="1852" t="s">
        <v>142</v>
      </c>
      <c r="E81" s="1852">
        <v>4632024035</v>
      </c>
      <c r="F81" s="1852" t="s">
        <v>8</v>
      </c>
      <c r="G81" s="1851" t="s">
        <v>1034</v>
      </c>
      <c r="H81" s="1875">
        <v>3314.9639999999995</v>
      </c>
      <c r="I81" s="1869">
        <f t="shared" ref="I81:I82" si="36">H81</f>
        <v>3314.9639999999995</v>
      </c>
      <c r="J81" s="38">
        <v>0</v>
      </c>
      <c r="K81" s="38">
        <v>0</v>
      </c>
      <c r="L81" s="1868">
        <v>3314.9639999999995</v>
      </c>
      <c r="M81" s="38">
        <v>0</v>
      </c>
      <c r="N81" s="622">
        <f t="shared" ref="N81:N82" si="37">3132.14*1.2</f>
        <v>3758.5679999999998</v>
      </c>
      <c r="O81" s="622">
        <f t="shared" ref="O81:O82" si="38">N81</f>
        <v>3758.5679999999998</v>
      </c>
      <c r="P81" s="38">
        <v>0</v>
      </c>
      <c r="Q81" s="38">
        <v>0</v>
      </c>
      <c r="R81" s="38">
        <f t="shared" ref="R81:R82" si="39">O81</f>
        <v>3758.5679999999998</v>
      </c>
      <c r="S81" s="913">
        <v>0</v>
      </c>
    </row>
    <row r="82" spans="1:19" s="1313" customFormat="1" ht="76.5" customHeight="1">
      <c r="A82" s="6" t="e">
        <f t="shared" si="31"/>
        <v>#REF!</v>
      </c>
      <c r="B82" s="1862" t="s">
        <v>29</v>
      </c>
      <c r="C82" s="1852" t="s">
        <v>114</v>
      </c>
      <c r="D82" s="1852" t="s">
        <v>141</v>
      </c>
      <c r="E82" s="1852">
        <v>4632024035</v>
      </c>
      <c r="F82" s="1852" t="s">
        <v>8</v>
      </c>
      <c r="G82" s="1851" t="s">
        <v>1034</v>
      </c>
      <c r="H82" s="1875">
        <v>3314.9639999999995</v>
      </c>
      <c r="I82" s="1869">
        <f t="shared" si="36"/>
        <v>3314.9639999999995</v>
      </c>
      <c r="J82" s="38">
        <v>2950.21</v>
      </c>
      <c r="K82" s="38">
        <v>0</v>
      </c>
      <c r="L82" s="1868">
        <v>3314.9639999999995</v>
      </c>
      <c r="M82" s="38">
        <v>0</v>
      </c>
      <c r="N82" s="622">
        <f t="shared" si="37"/>
        <v>3758.5679999999998</v>
      </c>
      <c r="O82" s="622">
        <f t="shared" si="38"/>
        <v>3758.5679999999998</v>
      </c>
      <c r="P82" s="38">
        <v>2979.71</v>
      </c>
      <c r="Q82" s="38">
        <v>0</v>
      </c>
      <c r="R82" s="38">
        <f t="shared" si="39"/>
        <v>3758.5679999999998</v>
      </c>
      <c r="S82" s="913">
        <v>0</v>
      </c>
    </row>
    <row r="83" spans="1:19" s="50" customFormat="1" ht="71.25" customHeight="1">
      <c r="A83" s="6" t="e">
        <f t="shared" si="31"/>
        <v>#REF!</v>
      </c>
      <c r="B83" s="1852" t="s">
        <v>30</v>
      </c>
      <c r="C83" s="1852" t="s">
        <v>58</v>
      </c>
      <c r="D83" s="1852" t="s">
        <v>187</v>
      </c>
      <c r="E83" s="1852">
        <v>4620014875</v>
      </c>
      <c r="F83" s="1852" t="s">
        <v>8</v>
      </c>
      <c r="G83" s="1856" t="s">
        <v>1002</v>
      </c>
      <c r="H83" s="1874">
        <v>3140.41</v>
      </c>
      <c r="I83" s="38">
        <v>3140.41</v>
      </c>
      <c r="J83" s="38">
        <v>2439.0591660000005</v>
      </c>
      <c r="K83" s="38">
        <v>2146.2878970000002</v>
      </c>
      <c r="L83" s="38">
        <v>3140.41</v>
      </c>
      <c r="M83" s="38">
        <v>0</v>
      </c>
      <c r="N83" s="38">
        <v>3177.82</v>
      </c>
      <c r="O83" s="38">
        <v>3177.82</v>
      </c>
      <c r="P83" s="38">
        <v>2670.77</v>
      </c>
      <c r="Q83" s="38">
        <v>2455.14</v>
      </c>
      <c r="R83" s="38">
        <v>3177.82</v>
      </c>
      <c r="S83" s="913">
        <v>0</v>
      </c>
    </row>
    <row r="84" spans="1:19" s="50" customFormat="1" ht="75" customHeight="1">
      <c r="A84" s="6" t="e">
        <f t="shared" si="31"/>
        <v>#REF!</v>
      </c>
      <c r="B84" s="1852" t="s">
        <v>30</v>
      </c>
      <c r="C84" s="1852" t="s">
        <v>260</v>
      </c>
      <c r="D84" s="1852" t="s">
        <v>31</v>
      </c>
      <c r="E84" s="1852">
        <v>4620001192</v>
      </c>
      <c r="F84" s="1852" t="s">
        <v>8</v>
      </c>
      <c r="G84" s="1856" t="s">
        <v>1016</v>
      </c>
      <c r="H84" s="1874">
        <v>2050.1880000000001</v>
      </c>
      <c r="I84" s="38">
        <v>2050.1880000000001</v>
      </c>
      <c r="J84" s="38">
        <v>1896.4199999999998</v>
      </c>
      <c r="K84" s="38">
        <v>1896.4199999999998</v>
      </c>
      <c r="L84" s="38">
        <v>2050.1880000000001</v>
      </c>
      <c r="M84" s="38">
        <v>0</v>
      </c>
      <c r="N84" s="38">
        <f>2050.18893913138*1.2</f>
        <v>2460.2267269576555</v>
      </c>
      <c r="O84" s="38">
        <f>N84</f>
        <v>2460.2267269576555</v>
      </c>
      <c r="P84" s="38">
        <f>1807.92494615735*1.2</f>
        <v>2169.5099353888199</v>
      </c>
      <c r="Q84" s="38">
        <f>P84</f>
        <v>2169.5099353888199</v>
      </c>
      <c r="R84" s="38">
        <f>O84</f>
        <v>2460.2267269576555</v>
      </c>
      <c r="S84" s="913">
        <v>0</v>
      </c>
    </row>
    <row r="85" spans="1:19" s="1313" customFormat="1" ht="77.25" customHeight="1">
      <c r="A85" s="6" t="e">
        <f t="shared" si="31"/>
        <v>#REF!</v>
      </c>
      <c r="B85" s="1854" t="s">
        <v>30</v>
      </c>
      <c r="C85" s="1852" t="s">
        <v>260</v>
      </c>
      <c r="D85" s="1852" t="s">
        <v>141</v>
      </c>
      <c r="E85" s="1852">
        <v>4632024035</v>
      </c>
      <c r="F85" s="1854" t="s">
        <v>8</v>
      </c>
      <c r="G85" s="1851" t="s">
        <v>1034</v>
      </c>
      <c r="H85" s="1874">
        <v>3314.9639999999995</v>
      </c>
      <c r="I85" s="1869">
        <f>H85</f>
        <v>3314.9639999999995</v>
      </c>
      <c r="J85" s="38">
        <v>2950.21</v>
      </c>
      <c r="K85" s="38">
        <v>0</v>
      </c>
      <c r="L85" s="1868">
        <v>3314.9639999999995</v>
      </c>
      <c r="M85" s="622">
        <v>0</v>
      </c>
      <c r="N85" s="622">
        <f>3132.14*1.2</f>
        <v>3758.5679999999998</v>
      </c>
      <c r="O85" s="622">
        <f>N85</f>
        <v>3758.5679999999998</v>
      </c>
      <c r="P85" s="38">
        <v>2979.71</v>
      </c>
      <c r="Q85" s="38">
        <v>0</v>
      </c>
      <c r="R85" s="38">
        <f>O85</f>
        <v>3758.5679999999998</v>
      </c>
      <c r="S85" s="919">
        <v>0</v>
      </c>
    </row>
    <row r="86" spans="1:19" s="50" customFormat="1" ht="69" customHeight="1">
      <c r="A86" s="6" t="e">
        <f t="shared" si="31"/>
        <v>#REF!</v>
      </c>
      <c r="B86" s="1854" t="s">
        <v>30</v>
      </c>
      <c r="C86" s="1852" t="s">
        <v>260</v>
      </c>
      <c r="D86" s="1852" t="s">
        <v>187</v>
      </c>
      <c r="E86" s="1852">
        <v>4620014875</v>
      </c>
      <c r="F86" s="1852" t="s">
        <v>8</v>
      </c>
      <c r="G86" s="1856" t="s">
        <v>1002</v>
      </c>
      <c r="H86" s="1215">
        <v>2051.0100000000002</v>
      </c>
      <c r="I86" s="622">
        <v>2051.0100000000002</v>
      </c>
      <c r="J86" s="38">
        <v>1896.4239000000002</v>
      </c>
      <c r="K86" s="38">
        <v>1896.4239000000002</v>
      </c>
      <c r="L86" s="622">
        <v>0</v>
      </c>
      <c r="M86" s="622">
        <v>0</v>
      </c>
      <c r="N86" s="622">
        <v>2282.5100000000002</v>
      </c>
      <c r="O86" s="622">
        <v>2282.5100000000002</v>
      </c>
      <c r="P86" s="38">
        <v>2169.3200000000002</v>
      </c>
      <c r="Q86" s="38">
        <v>2169.3200000000002</v>
      </c>
      <c r="R86" s="38">
        <v>0</v>
      </c>
      <c r="S86" s="919">
        <v>0</v>
      </c>
    </row>
    <row r="87" spans="1:19" s="50" customFormat="1" ht="77.25" customHeight="1">
      <c r="A87" s="6" t="e">
        <f t="shared" si="31"/>
        <v>#REF!</v>
      </c>
      <c r="B87" s="1854" t="s">
        <v>30</v>
      </c>
      <c r="C87" s="1852" t="s">
        <v>59</v>
      </c>
      <c r="D87" s="1852" t="s">
        <v>187</v>
      </c>
      <c r="E87" s="1852">
        <v>4620014875</v>
      </c>
      <c r="F87" s="1852" t="s">
        <v>8</v>
      </c>
      <c r="G87" s="1856" t="s">
        <v>1002</v>
      </c>
      <c r="H87" s="1874">
        <v>4670.43</v>
      </c>
      <c r="I87" s="38">
        <v>4670.43</v>
      </c>
      <c r="J87" s="38">
        <v>3738.2056635000004</v>
      </c>
      <c r="K87" s="38">
        <v>0</v>
      </c>
      <c r="L87" s="38">
        <v>4670.43</v>
      </c>
      <c r="M87" s="38">
        <v>0</v>
      </c>
      <c r="N87" s="38">
        <v>4680.88</v>
      </c>
      <c r="O87" s="38">
        <v>4680.88</v>
      </c>
      <c r="P87" s="38">
        <v>3745.68</v>
      </c>
      <c r="Q87" s="38">
        <v>0</v>
      </c>
      <c r="R87" s="38">
        <v>4680.88</v>
      </c>
      <c r="S87" s="913">
        <v>0</v>
      </c>
    </row>
    <row r="88" spans="1:19" s="1313" customFormat="1" ht="76.5" customHeight="1">
      <c r="A88" s="6" t="e">
        <f t="shared" si="31"/>
        <v>#REF!</v>
      </c>
      <c r="B88" s="1854" t="s">
        <v>30</v>
      </c>
      <c r="C88" s="1852" t="s">
        <v>182</v>
      </c>
      <c r="D88" s="1852" t="s">
        <v>141</v>
      </c>
      <c r="E88" s="1852">
        <v>4632024035</v>
      </c>
      <c r="F88" s="1852" t="s">
        <v>8</v>
      </c>
      <c r="G88" s="1851" t="s">
        <v>1034</v>
      </c>
      <c r="H88" s="1874">
        <v>3314.9639999999995</v>
      </c>
      <c r="I88" s="1869">
        <f>H88</f>
        <v>3314.9639999999995</v>
      </c>
      <c r="J88" s="38">
        <v>0</v>
      </c>
      <c r="K88" s="38">
        <v>0</v>
      </c>
      <c r="L88" s="1868">
        <v>3314.9639999999995</v>
      </c>
      <c r="M88" s="38">
        <v>0</v>
      </c>
      <c r="N88" s="622">
        <f>3132.14*1.2</f>
        <v>3758.5679999999998</v>
      </c>
      <c r="O88" s="622">
        <f>N88</f>
        <v>3758.5679999999998</v>
      </c>
      <c r="P88" s="38">
        <v>0</v>
      </c>
      <c r="Q88" s="38">
        <v>0</v>
      </c>
      <c r="R88" s="38">
        <f>O88</f>
        <v>3758.5679999999998</v>
      </c>
      <c r="S88" s="913">
        <v>0</v>
      </c>
    </row>
    <row r="89" spans="1:19" s="1313" customFormat="1" ht="76.5" customHeight="1">
      <c r="A89" s="6" t="e">
        <f t="shared" si="31"/>
        <v>#REF!</v>
      </c>
      <c r="B89" s="1852" t="s">
        <v>32</v>
      </c>
      <c r="C89" s="1852" t="s">
        <v>65</v>
      </c>
      <c r="D89" s="1852" t="s">
        <v>986</v>
      </c>
      <c r="E89" s="1852">
        <v>4621009155</v>
      </c>
      <c r="F89" s="1852" t="s">
        <v>8</v>
      </c>
      <c r="G89" s="1856" t="s">
        <v>987</v>
      </c>
      <c r="H89" s="1874">
        <f>2581.45*1.2</f>
        <v>3097.74</v>
      </c>
      <c r="I89" s="38">
        <v>0</v>
      </c>
      <c r="J89" s="38">
        <v>3097.74</v>
      </c>
      <c r="K89" s="38">
        <v>0</v>
      </c>
      <c r="L89" s="38">
        <v>0</v>
      </c>
      <c r="M89" s="38">
        <v>0</v>
      </c>
      <c r="N89" s="38">
        <f>2917.04*1.2</f>
        <v>3500.4479999999999</v>
      </c>
      <c r="O89" s="38">
        <v>0</v>
      </c>
      <c r="P89" s="38">
        <v>3500.45</v>
      </c>
      <c r="Q89" s="38">
        <v>0</v>
      </c>
      <c r="R89" s="38">
        <v>0</v>
      </c>
      <c r="S89" s="913">
        <v>0</v>
      </c>
    </row>
    <row r="90" spans="1:19" s="1313" customFormat="1" ht="78.75" customHeight="1">
      <c r="A90" s="6" t="e">
        <f t="shared" si="31"/>
        <v>#REF!</v>
      </c>
      <c r="B90" s="1852" t="s">
        <v>32</v>
      </c>
      <c r="C90" s="1852" t="s">
        <v>65</v>
      </c>
      <c r="D90" s="1852" t="s">
        <v>141</v>
      </c>
      <c r="E90" s="1852">
        <v>4632024035</v>
      </c>
      <c r="F90" s="1852" t="s">
        <v>8</v>
      </c>
      <c r="G90" s="1851" t="s">
        <v>1034</v>
      </c>
      <c r="H90" s="1874">
        <v>3314.9639999999995</v>
      </c>
      <c r="I90" s="1869">
        <f t="shared" ref="I90:I94" si="40">H90</f>
        <v>3314.9639999999995</v>
      </c>
      <c r="J90" s="38">
        <v>2950.21</v>
      </c>
      <c r="K90" s="38">
        <v>0</v>
      </c>
      <c r="L90" s="1868">
        <v>3314.9639999999995</v>
      </c>
      <c r="M90" s="38">
        <v>0</v>
      </c>
      <c r="N90" s="622">
        <f t="shared" ref="N90:N94" si="41">3132.14*1.2</f>
        <v>3758.5679999999998</v>
      </c>
      <c r="O90" s="622">
        <f t="shared" ref="O90:O94" si="42">N90</f>
        <v>3758.5679999999998</v>
      </c>
      <c r="P90" s="38">
        <v>2979.71</v>
      </c>
      <c r="Q90" s="38">
        <v>0</v>
      </c>
      <c r="R90" s="38">
        <f t="shared" ref="R90:R94" si="43">O90</f>
        <v>3758.5679999999998</v>
      </c>
      <c r="S90" s="913">
        <v>0</v>
      </c>
    </row>
    <row r="91" spans="1:19" s="1313" customFormat="1" ht="77.25" customHeight="1">
      <c r="A91" s="6" t="e">
        <f t="shared" si="31"/>
        <v>#REF!</v>
      </c>
      <c r="B91" s="1854" t="s">
        <v>30</v>
      </c>
      <c r="C91" s="1852" t="s">
        <v>115</v>
      </c>
      <c r="D91" s="1852" t="s">
        <v>142</v>
      </c>
      <c r="E91" s="1852">
        <v>4632024035</v>
      </c>
      <c r="F91" s="1852" t="s">
        <v>8</v>
      </c>
      <c r="G91" s="1851" t="s">
        <v>1034</v>
      </c>
      <c r="H91" s="1874">
        <v>3314.9639999999995</v>
      </c>
      <c r="I91" s="1869">
        <f t="shared" si="40"/>
        <v>3314.9639999999995</v>
      </c>
      <c r="J91" s="38">
        <v>0</v>
      </c>
      <c r="K91" s="38">
        <v>0</v>
      </c>
      <c r="L91" s="1868">
        <v>3314.9639999999995</v>
      </c>
      <c r="M91" s="38">
        <v>0</v>
      </c>
      <c r="N91" s="622">
        <f t="shared" si="41"/>
        <v>3758.5679999999998</v>
      </c>
      <c r="O91" s="622">
        <f t="shared" si="42"/>
        <v>3758.5679999999998</v>
      </c>
      <c r="P91" s="38">
        <v>0</v>
      </c>
      <c r="Q91" s="38">
        <v>0</v>
      </c>
      <c r="R91" s="38">
        <f t="shared" si="43"/>
        <v>3758.5679999999998</v>
      </c>
      <c r="S91" s="913">
        <v>0</v>
      </c>
    </row>
    <row r="92" spans="1:19" s="1313" customFormat="1" ht="77.25" customHeight="1">
      <c r="A92" s="6" t="e">
        <f t="shared" si="31"/>
        <v>#REF!</v>
      </c>
      <c r="B92" s="1854" t="s">
        <v>30</v>
      </c>
      <c r="C92" s="1852" t="s">
        <v>116</v>
      </c>
      <c r="D92" s="1852" t="s">
        <v>141</v>
      </c>
      <c r="E92" s="1852">
        <v>4632024035</v>
      </c>
      <c r="F92" s="1852" t="s">
        <v>8</v>
      </c>
      <c r="G92" s="1851" t="s">
        <v>1034</v>
      </c>
      <c r="H92" s="1874">
        <v>3314.9639999999995</v>
      </c>
      <c r="I92" s="1869">
        <f t="shared" si="40"/>
        <v>3314.9639999999995</v>
      </c>
      <c r="J92" s="38"/>
      <c r="K92" s="38"/>
      <c r="L92" s="1868">
        <v>3314.9639999999995</v>
      </c>
      <c r="M92" s="38"/>
      <c r="N92" s="622">
        <f t="shared" si="41"/>
        <v>3758.5679999999998</v>
      </c>
      <c r="O92" s="622">
        <f t="shared" si="42"/>
        <v>3758.5679999999998</v>
      </c>
      <c r="P92" s="38"/>
      <c r="Q92" s="38"/>
      <c r="R92" s="38">
        <f t="shared" si="43"/>
        <v>3758.5679999999998</v>
      </c>
      <c r="S92" s="913"/>
    </row>
    <row r="93" spans="1:19" s="1313" customFormat="1" ht="78" customHeight="1">
      <c r="A93" s="6" t="e">
        <f t="shared" si="31"/>
        <v>#REF!</v>
      </c>
      <c r="B93" s="1854" t="s">
        <v>30</v>
      </c>
      <c r="C93" s="1852" t="s">
        <v>117</v>
      </c>
      <c r="D93" s="1852" t="s">
        <v>141</v>
      </c>
      <c r="E93" s="1852">
        <v>4632024035</v>
      </c>
      <c r="F93" s="1852" t="s">
        <v>8</v>
      </c>
      <c r="G93" s="1851" t="s">
        <v>1034</v>
      </c>
      <c r="H93" s="1874">
        <v>3314.9639999999995</v>
      </c>
      <c r="I93" s="1869">
        <f t="shared" si="40"/>
        <v>3314.9639999999995</v>
      </c>
      <c r="J93" s="38">
        <v>0</v>
      </c>
      <c r="K93" s="38">
        <v>0</v>
      </c>
      <c r="L93" s="1868">
        <v>3314.9639999999995</v>
      </c>
      <c r="M93" s="38">
        <v>0</v>
      </c>
      <c r="N93" s="622">
        <f t="shared" si="41"/>
        <v>3758.5679999999998</v>
      </c>
      <c r="O93" s="622">
        <f t="shared" si="42"/>
        <v>3758.5679999999998</v>
      </c>
      <c r="P93" s="38">
        <v>0</v>
      </c>
      <c r="Q93" s="38">
        <v>0</v>
      </c>
      <c r="R93" s="38">
        <f t="shared" si="43"/>
        <v>3758.5679999999998</v>
      </c>
      <c r="S93" s="913">
        <v>0</v>
      </c>
    </row>
    <row r="94" spans="1:19" s="1313" customFormat="1" ht="82.5" customHeight="1">
      <c r="A94" s="6" t="e">
        <f t="shared" si="31"/>
        <v>#REF!</v>
      </c>
      <c r="B94" s="1853" t="s">
        <v>169</v>
      </c>
      <c r="C94" s="1852" t="s">
        <v>118</v>
      </c>
      <c r="D94" s="1852" t="s">
        <v>141</v>
      </c>
      <c r="E94" s="1852">
        <v>4632024035</v>
      </c>
      <c r="F94" s="1852" t="s">
        <v>8</v>
      </c>
      <c r="G94" s="1851" t="s">
        <v>1034</v>
      </c>
      <c r="H94" s="1874">
        <v>3314.9639999999995</v>
      </c>
      <c r="I94" s="1869">
        <f t="shared" si="40"/>
        <v>3314.9639999999995</v>
      </c>
      <c r="J94" s="38">
        <v>0</v>
      </c>
      <c r="K94" s="38">
        <v>0</v>
      </c>
      <c r="L94" s="1868">
        <v>3314.9639999999995</v>
      </c>
      <c r="M94" s="38">
        <v>0</v>
      </c>
      <c r="N94" s="622">
        <f t="shared" si="41"/>
        <v>3758.5679999999998</v>
      </c>
      <c r="O94" s="622">
        <f t="shared" si="42"/>
        <v>3758.5679999999998</v>
      </c>
      <c r="P94" s="38">
        <v>0</v>
      </c>
      <c r="Q94" s="38">
        <v>0</v>
      </c>
      <c r="R94" s="38">
        <f t="shared" si="43"/>
        <v>3758.5679999999998</v>
      </c>
      <c r="S94" s="913">
        <v>0</v>
      </c>
    </row>
    <row r="95" spans="1:19" s="50" customFormat="1" ht="78" customHeight="1">
      <c r="A95" s="6" t="e">
        <f t="shared" si="31"/>
        <v>#REF!</v>
      </c>
      <c r="B95" s="1853" t="s">
        <v>169</v>
      </c>
      <c r="C95" s="1852" t="s">
        <v>118</v>
      </c>
      <c r="D95" s="1852" t="s">
        <v>140</v>
      </c>
      <c r="E95" s="1852">
        <v>4622005001</v>
      </c>
      <c r="F95" s="1852" t="s">
        <v>8</v>
      </c>
      <c r="G95" s="1856" t="s">
        <v>1018</v>
      </c>
      <c r="H95" s="1874">
        <v>3727.67</v>
      </c>
      <c r="I95" s="38">
        <v>3727.67</v>
      </c>
      <c r="J95" s="38">
        <v>3727.67</v>
      </c>
      <c r="K95" s="38">
        <v>0</v>
      </c>
      <c r="L95" s="38">
        <v>0</v>
      </c>
      <c r="M95" s="38">
        <v>0</v>
      </c>
      <c r="N95" s="622">
        <v>4263.22</v>
      </c>
      <c r="O95" s="622">
        <v>4263.22</v>
      </c>
      <c r="P95" s="622">
        <v>4263.22</v>
      </c>
      <c r="Q95" s="622">
        <v>0</v>
      </c>
      <c r="R95" s="622">
        <v>0</v>
      </c>
      <c r="S95" s="913">
        <v>0</v>
      </c>
    </row>
    <row r="96" spans="1:19" s="50" customFormat="1" ht="78.75" customHeight="1">
      <c r="A96" s="6" t="e">
        <f t="shared" si="31"/>
        <v>#REF!</v>
      </c>
      <c r="B96" s="1854" t="s">
        <v>34</v>
      </c>
      <c r="C96" s="1854" t="s">
        <v>66</v>
      </c>
      <c r="D96" s="1852" t="s">
        <v>35</v>
      </c>
      <c r="E96" s="1852">
        <v>4623002116</v>
      </c>
      <c r="F96" s="1852" t="s">
        <v>8</v>
      </c>
      <c r="G96" s="1856" t="s">
        <v>1003</v>
      </c>
      <c r="H96" s="1874">
        <v>3470.07</v>
      </c>
      <c r="I96" s="38">
        <v>3470.07</v>
      </c>
      <c r="J96" s="38">
        <v>3470.07</v>
      </c>
      <c r="K96" s="38">
        <v>0</v>
      </c>
      <c r="L96" s="38">
        <v>3470.07</v>
      </c>
      <c r="M96" s="38">
        <v>0</v>
      </c>
      <c r="N96" s="38">
        <v>3700.05</v>
      </c>
      <c r="O96" s="38">
        <v>3700.05</v>
      </c>
      <c r="P96" s="38">
        <v>3700.05</v>
      </c>
      <c r="Q96" s="38">
        <v>0</v>
      </c>
      <c r="R96" s="38">
        <v>3700.05</v>
      </c>
      <c r="S96" s="913">
        <v>0</v>
      </c>
    </row>
    <row r="97" spans="1:19" s="50" customFormat="1" ht="78" customHeight="1">
      <c r="A97" s="6" t="e">
        <f t="shared" si="31"/>
        <v>#REF!</v>
      </c>
      <c r="B97" s="1854" t="s">
        <v>34</v>
      </c>
      <c r="C97" s="1854" t="s">
        <v>913</v>
      </c>
      <c r="D97" s="1852" t="s">
        <v>35</v>
      </c>
      <c r="E97" s="1852">
        <v>4623002116</v>
      </c>
      <c r="F97" s="1852" t="s">
        <v>8</v>
      </c>
      <c r="G97" s="1856" t="s">
        <v>1003</v>
      </c>
      <c r="H97" s="1215">
        <v>3470.07</v>
      </c>
      <c r="I97" s="622">
        <v>3470.07</v>
      </c>
      <c r="J97" s="622">
        <v>0</v>
      </c>
      <c r="K97" s="622">
        <v>0</v>
      </c>
      <c r="L97" s="622">
        <v>0</v>
      </c>
      <c r="M97" s="622">
        <v>0</v>
      </c>
      <c r="N97" s="38">
        <v>3700.05</v>
      </c>
      <c r="O97" s="38">
        <v>3700.05</v>
      </c>
      <c r="P97" s="622">
        <v>0</v>
      </c>
      <c r="Q97" s="622">
        <v>0</v>
      </c>
      <c r="R97" s="38">
        <v>0</v>
      </c>
      <c r="S97" s="919">
        <v>0</v>
      </c>
    </row>
    <row r="98" spans="1:19" s="50" customFormat="1" ht="75.75" customHeight="1">
      <c r="A98" s="6" t="e">
        <f t="shared" si="31"/>
        <v>#REF!</v>
      </c>
      <c r="B98" s="1854" t="s">
        <v>34</v>
      </c>
      <c r="C98" s="1854" t="s">
        <v>912</v>
      </c>
      <c r="D98" s="1852" t="s">
        <v>35</v>
      </c>
      <c r="E98" s="1852">
        <v>4623002116</v>
      </c>
      <c r="F98" s="1852" t="s">
        <v>8</v>
      </c>
      <c r="G98" s="1856" t="s">
        <v>1003</v>
      </c>
      <c r="H98" s="1215">
        <v>3470.07</v>
      </c>
      <c r="I98" s="622">
        <v>3470.07</v>
      </c>
      <c r="J98" s="622">
        <v>0</v>
      </c>
      <c r="K98" s="622">
        <v>0</v>
      </c>
      <c r="L98" s="622">
        <v>0</v>
      </c>
      <c r="M98" s="622">
        <v>0</v>
      </c>
      <c r="N98" s="38">
        <v>3700.05</v>
      </c>
      <c r="O98" s="38">
        <v>3700.05</v>
      </c>
      <c r="P98" s="622">
        <v>0</v>
      </c>
      <c r="Q98" s="622">
        <v>0</v>
      </c>
      <c r="R98" s="38">
        <v>0</v>
      </c>
      <c r="S98" s="919">
        <v>0</v>
      </c>
    </row>
    <row r="99" spans="1:19" s="1313" customFormat="1" ht="75.75" customHeight="1">
      <c r="A99" s="6" t="e">
        <f t="shared" si="31"/>
        <v>#REF!</v>
      </c>
      <c r="B99" s="1854" t="s">
        <v>36</v>
      </c>
      <c r="C99" s="1852" t="s">
        <v>119</v>
      </c>
      <c r="D99" s="1852" t="s">
        <v>146</v>
      </c>
      <c r="E99" s="1852">
        <v>4632024035</v>
      </c>
      <c r="F99" s="1852" t="s">
        <v>8</v>
      </c>
      <c r="G99" s="1851" t="s">
        <v>1034</v>
      </c>
      <c r="H99" s="1215">
        <v>3314.9639999999995</v>
      </c>
      <c r="I99" s="1869">
        <f t="shared" ref="I99:I100" si="44">H99</f>
        <v>3314.9639999999995</v>
      </c>
      <c r="J99" s="38">
        <v>2484</v>
      </c>
      <c r="K99" s="38">
        <v>0</v>
      </c>
      <c r="L99" s="1868">
        <v>3314.9639999999995</v>
      </c>
      <c r="M99" s="38">
        <v>0</v>
      </c>
      <c r="N99" s="622">
        <f t="shared" ref="N99:N100" si="45">3132.14*1.2</f>
        <v>3758.5679999999998</v>
      </c>
      <c r="O99" s="622">
        <f t="shared" ref="O99:O100" si="46">N99</f>
        <v>3758.5679999999998</v>
      </c>
      <c r="P99" s="38">
        <v>2719.98</v>
      </c>
      <c r="Q99" s="38">
        <v>0</v>
      </c>
      <c r="R99" s="38">
        <f t="shared" ref="R99:R100" si="47">O99</f>
        <v>3758.5679999999998</v>
      </c>
      <c r="S99" s="913">
        <v>0</v>
      </c>
    </row>
    <row r="100" spans="1:19" s="1313" customFormat="1" ht="100.5" customHeight="1">
      <c r="A100" s="6" t="e">
        <f t="shared" si="31"/>
        <v>#REF!</v>
      </c>
      <c r="B100" s="1852" t="s">
        <v>37</v>
      </c>
      <c r="C100" s="1852" t="s">
        <v>61</v>
      </c>
      <c r="D100" s="1852" t="s">
        <v>146</v>
      </c>
      <c r="E100" s="1852">
        <v>4632024035</v>
      </c>
      <c r="F100" s="1852" t="s">
        <v>8</v>
      </c>
      <c r="G100" s="1851" t="s">
        <v>1034</v>
      </c>
      <c r="H100" s="1215">
        <v>3314.9639999999995</v>
      </c>
      <c r="I100" s="1873">
        <f t="shared" si="44"/>
        <v>3314.9639999999995</v>
      </c>
      <c r="J100" s="38">
        <v>0</v>
      </c>
      <c r="K100" s="38">
        <v>0</v>
      </c>
      <c r="L100" s="1872">
        <v>3314.9639999999995</v>
      </c>
      <c r="M100" s="38">
        <v>0</v>
      </c>
      <c r="N100" s="622">
        <f t="shared" si="45"/>
        <v>3758.5679999999998</v>
      </c>
      <c r="O100" s="622">
        <f t="shared" si="46"/>
        <v>3758.5679999999998</v>
      </c>
      <c r="P100" s="38">
        <v>0</v>
      </c>
      <c r="Q100" s="38">
        <v>0</v>
      </c>
      <c r="R100" s="38">
        <f t="shared" si="47"/>
        <v>3758.5679999999998</v>
      </c>
      <c r="S100" s="913">
        <v>0</v>
      </c>
    </row>
    <row r="101" spans="1:19" s="50" customFormat="1" ht="72.75" customHeight="1">
      <c r="A101" s="6" t="e">
        <f t="shared" si="31"/>
        <v>#REF!</v>
      </c>
      <c r="B101" s="1852" t="s">
        <v>37</v>
      </c>
      <c r="C101" s="1852" t="s">
        <v>975</v>
      </c>
      <c r="D101" s="1852" t="s">
        <v>38</v>
      </c>
      <c r="E101" s="1852">
        <v>4625004944</v>
      </c>
      <c r="F101" s="1852" t="s">
        <v>8</v>
      </c>
      <c r="G101" s="1856" t="s">
        <v>1009</v>
      </c>
      <c r="H101" s="1874">
        <v>2951.0829318332949</v>
      </c>
      <c r="I101" s="38">
        <v>2951.0829318332949</v>
      </c>
      <c r="J101" s="38">
        <v>2951.0829318332949</v>
      </c>
      <c r="K101" s="38">
        <v>0</v>
      </c>
      <c r="L101" s="38">
        <v>2951.0829318332949</v>
      </c>
      <c r="M101" s="38">
        <v>0</v>
      </c>
      <c r="N101" s="38">
        <v>3285.23</v>
      </c>
      <c r="O101" s="38">
        <v>3285.23</v>
      </c>
      <c r="P101" s="38">
        <v>3285.23</v>
      </c>
      <c r="Q101" s="38">
        <v>0</v>
      </c>
      <c r="R101" s="38">
        <v>3285.23</v>
      </c>
      <c r="S101" s="913">
        <v>0</v>
      </c>
    </row>
    <row r="102" spans="1:19" s="50" customFormat="1" ht="70.5" customHeight="1">
      <c r="A102" s="6" t="e">
        <f t="shared" si="31"/>
        <v>#REF!</v>
      </c>
      <c r="B102" s="1852" t="s">
        <v>37</v>
      </c>
      <c r="C102" s="1852" t="s">
        <v>61</v>
      </c>
      <c r="D102" s="1852" t="s">
        <v>38</v>
      </c>
      <c r="E102" s="1852">
        <v>4625004944</v>
      </c>
      <c r="F102" s="1852" t="s">
        <v>8</v>
      </c>
      <c r="G102" s="1856" t="s">
        <v>1009</v>
      </c>
      <c r="H102" s="1874">
        <v>2951.0829318332949</v>
      </c>
      <c r="I102" s="38">
        <v>2951.0829318332949</v>
      </c>
      <c r="J102" s="38">
        <v>2951.0829318332949</v>
      </c>
      <c r="K102" s="38">
        <v>0</v>
      </c>
      <c r="L102" s="38">
        <v>2951.0829318332949</v>
      </c>
      <c r="M102" s="38">
        <v>0</v>
      </c>
      <c r="N102" s="38">
        <v>3285.23</v>
      </c>
      <c r="O102" s="38">
        <v>3285.23</v>
      </c>
      <c r="P102" s="38">
        <v>3285.23</v>
      </c>
      <c r="Q102" s="38">
        <v>0</v>
      </c>
      <c r="R102" s="38">
        <v>3285.23</v>
      </c>
      <c r="S102" s="913">
        <v>0</v>
      </c>
    </row>
    <row r="103" spans="1:19" s="50" customFormat="1" ht="77.25" customHeight="1">
      <c r="A103" s="6" t="e">
        <f t="shared" si="31"/>
        <v>#REF!</v>
      </c>
      <c r="B103" s="1852" t="s">
        <v>39</v>
      </c>
      <c r="C103" s="1852" t="s">
        <v>133</v>
      </c>
      <c r="D103" s="1852" t="s">
        <v>926</v>
      </c>
      <c r="E103" s="1852">
        <v>4626006422</v>
      </c>
      <c r="F103" s="1852" t="s">
        <v>8</v>
      </c>
      <c r="G103" s="1856" t="s">
        <v>1005</v>
      </c>
      <c r="H103" s="1874">
        <v>2928.96</v>
      </c>
      <c r="I103" s="38">
        <v>2928.96</v>
      </c>
      <c r="J103" s="38">
        <v>2550.9499999999998</v>
      </c>
      <c r="K103" s="38">
        <v>0</v>
      </c>
      <c r="L103" s="38">
        <v>2928.96</v>
      </c>
      <c r="M103" s="38">
        <v>0</v>
      </c>
      <c r="N103" s="38">
        <v>3288.7</v>
      </c>
      <c r="O103" s="38">
        <v>3288.7</v>
      </c>
      <c r="P103" s="38">
        <v>2918.29</v>
      </c>
      <c r="Q103" s="38">
        <v>0</v>
      </c>
      <c r="R103" s="38">
        <v>3288.7</v>
      </c>
      <c r="S103" s="913">
        <v>0</v>
      </c>
    </row>
    <row r="104" spans="1:19" s="50" customFormat="1" ht="84.75" customHeight="1">
      <c r="A104" s="6" t="e">
        <f t="shared" si="31"/>
        <v>#REF!</v>
      </c>
      <c r="B104" s="1852" t="s">
        <v>39</v>
      </c>
      <c r="C104" s="1854" t="s">
        <v>64</v>
      </c>
      <c r="D104" s="1852" t="s">
        <v>866</v>
      </c>
      <c r="E104" s="1852">
        <v>4626006380</v>
      </c>
      <c r="F104" s="1852" t="s">
        <v>8</v>
      </c>
      <c r="G104" s="1856" t="s">
        <v>1023</v>
      </c>
      <c r="H104" s="1874">
        <v>2975.83</v>
      </c>
      <c r="I104" s="38">
        <v>2975.83</v>
      </c>
      <c r="J104" s="38">
        <v>2975.83</v>
      </c>
      <c r="K104" s="38">
        <v>0</v>
      </c>
      <c r="L104" s="38">
        <v>2975.83</v>
      </c>
      <c r="M104" s="38">
        <v>0</v>
      </c>
      <c r="N104" s="38">
        <v>3252.8</v>
      </c>
      <c r="O104" s="38">
        <v>3252.8</v>
      </c>
      <c r="P104" s="38">
        <v>3252.8</v>
      </c>
      <c r="Q104" s="38">
        <v>0</v>
      </c>
      <c r="R104" s="38">
        <v>3252.8</v>
      </c>
      <c r="S104" s="913">
        <v>0</v>
      </c>
    </row>
    <row r="105" spans="1:19" s="1313" customFormat="1" ht="77.25" customHeight="1">
      <c r="A105" s="6" t="e">
        <f t="shared" si="31"/>
        <v>#REF!</v>
      </c>
      <c r="B105" s="1852" t="s">
        <v>39</v>
      </c>
      <c r="C105" s="1852" t="s">
        <v>120</v>
      </c>
      <c r="D105" s="1852" t="s">
        <v>141</v>
      </c>
      <c r="E105" s="1852">
        <v>4632024035</v>
      </c>
      <c r="F105" s="1852" t="s">
        <v>8</v>
      </c>
      <c r="G105" s="1851" t="s">
        <v>1034</v>
      </c>
      <c r="H105" s="1874">
        <v>3314.9639999999995</v>
      </c>
      <c r="I105" s="1873">
        <f t="shared" ref="I105:I117" si="48">H105</f>
        <v>3314.9639999999995</v>
      </c>
      <c r="J105" s="38">
        <v>0</v>
      </c>
      <c r="K105" s="38">
        <v>0</v>
      </c>
      <c r="L105" s="1872">
        <v>3314.9639999999995</v>
      </c>
      <c r="M105" s="38">
        <v>0</v>
      </c>
      <c r="N105" s="622">
        <f t="shared" ref="N105:N117" si="49">3132.14*1.2</f>
        <v>3758.5679999999998</v>
      </c>
      <c r="O105" s="622">
        <f t="shared" ref="O105:O117" si="50">N105</f>
        <v>3758.5679999999998</v>
      </c>
      <c r="P105" s="38">
        <v>0</v>
      </c>
      <c r="Q105" s="38">
        <v>0</v>
      </c>
      <c r="R105" s="38">
        <f t="shared" ref="R105:R117" si="51">O105</f>
        <v>3758.5679999999998</v>
      </c>
      <c r="S105" s="913">
        <v>0</v>
      </c>
    </row>
    <row r="106" spans="1:19" s="1313" customFormat="1" ht="76.5" customHeight="1">
      <c r="A106" s="6" t="e">
        <f t="shared" si="31"/>
        <v>#REF!</v>
      </c>
      <c r="B106" s="1852" t="s">
        <v>39</v>
      </c>
      <c r="C106" s="1852" t="s">
        <v>121</v>
      </c>
      <c r="D106" s="1852" t="s">
        <v>141</v>
      </c>
      <c r="E106" s="1852">
        <v>4632024035</v>
      </c>
      <c r="F106" s="1852" t="s">
        <v>8</v>
      </c>
      <c r="G106" s="1851" t="s">
        <v>1034</v>
      </c>
      <c r="H106" s="1874">
        <v>3314.9639999999995</v>
      </c>
      <c r="I106" s="1873">
        <f t="shared" si="48"/>
        <v>3314.9639999999995</v>
      </c>
      <c r="J106" s="38">
        <v>0</v>
      </c>
      <c r="K106" s="38">
        <v>0</v>
      </c>
      <c r="L106" s="1872">
        <v>3314.9639999999995</v>
      </c>
      <c r="M106" s="38">
        <v>0</v>
      </c>
      <c r="N106" s="622">
        <f t="shared" si="49"/>
        <v>3758.5679999999998</v>
      </c>
      <c r="O106" s="622">
        <f t="shared" si="50"/>
        <v>3758.5679999999998</v>
      </c>
      <c r="P106" s="38">
        <v>0</v>
      </c>
      <c r="Q106" s="38">
        <v>0</v>
      </c>
      <c r="R106" s="38">
        <f t="shared" si="51"/>
        <v>3758.5679999999998</v>
      </c>
      <c r="S106" s="913">
        <v>0</v>
      </c>
    </row>
    <row r="107" spans="1:19" s="1313" customFormat="1" ht="80.25" customHeight="1">
      <c r="A107" s="6" t="e">
        <f t="shared" si="31"/>
        <v>#REF!</v>
      </c>
      <c r="B107" s="1852" t="s">
        <v>41</v>
      </c>
      <c r="C107" s="1852" t="s">
        <v>122</v>
      </c>
      <c r="D107" s="1852" t="s">
        <v>147</v>
      </c>
      <c r="E107" s="1852">
        <v>4632024035</v>
      </c>
      <c r="F107" s="1852" t="s">
        <v>8</v>
      </c>
      <c r="G107" s="1851" t="s">
        <v>1034</v>
      </c>
      <c r="H107" s="1874">
        <v>3314.9639999999995</v>
      </c>
      <c r="I107" s="1873">
        <f t="shared" si="48"/>
        <v>3314.9639999999995</v>
      </c>
      <c r="J107" s="38">
        <v>2484</v>
      </c>
      <c r="K107" s="38">
        <v>0</v>
      </c>
      <c r="L107" s="1872">
        <v>3314.9639999999995</v>
      </c>
      <c r="M107" s="38">
        <v>0</v>
      </c>
      <c r="N107" s="622">
        <f t="shared" si="49"/>
        <v>3758.5679999999998</v>
      </c>
      <c r="O107" s="622">
        <f t="shared" si="50"/>
        <v>3758.5679999999998</v>
      </c>
      <c r="P107" s="38">
        <v>2719.98</v>
      </c>
      <c r="Q107" s="38">
        <v>0</v>
      </c>
      <c r="R107" s="38">
        <f t="shared" si="51"/>
        <v>3758.5679999999998</v>
      </c>
      <c r="S107" s="913">
        <v>0</v>
      </c>
    </row>
    <row r="108" spans="1:19" s="1313" customFormat="1" ht="79.5" customHeight="1">
      <c r="A108" s="6" t="e">
        <f t="shared" si="31"/>
        <v>#REF!</v>
      </c>
      <c r="B108" s="1852" t="s">
        <v>41</v>
      </c>
      <c r="C108" s="1852" t="s">
        <v>123</v>
      </c>
      <c r="D108" s="1852" t="s">
        <v>141</v>
      </c>
      <c r="E108" s="1852">
        <v>4632024035</v>
      </c>
      <c r="F108" s="1852" t="s">
        <v>8</v>
      </c>
      <c r="G108" s="1851" t="s">
        <v>1034</v>
      </c>
      <c r="H108" s="1874">
        <v>3314.9639999999995</v>
      </c>
      <c r="I108" s="1873">
        <f t="shared" si="48"/>
        <v>3314.9639999999995</v>
      </c>
      <c r="J108" s="38">
        <v>0</v>
      </c>
      <c r="K108" s="38">
        <v>0</v>
      </c>
      <c r="L108" s="1872">
        <v>3314.9639999999995</v>
      </c>
      <c r="M108" s="38">
        <v>0</v>
      </c>
      <c r="N108" s="622">
        <f t="shared" si="49"/>
        <v>3758.5679999999998</v>
      </c>
      <c r="O108" s="622">
        <f t="shared" si="50"/>
        <v>3758.5679999999998</v>
      </c>
      <c r="P108" s="38">
        <v>0</v>
      </c>
      <c r="Q108" s="38">
        <v>0</v>
      </c>
      <c r="R108" s="38">
        <f t="shared" si="51"/>
        <v>3758.5679999999998</v>
      </c>
      <c r="S108" s="913">
        <v>0</v>
      </c>
    </row>
    <row r="109" spans="1:19" s="1313" customFormat="1" ht="76.5" customHeight="1">
      <c r="A109" s="6" t="e">
        <f t="shared" si="31"/>
        <v>#REF!</v>
      </c>
      <c r="B109" s="1852" t="s">
        <v>42</v>
      </c>
      <c r="C109" s="1852" t="s">
        <v>170</v>
      </c>
      <c r="D109" s="1852" t="s">
        <v>145</v>
      </c>
      <c r="E109" s="1852">
        <v>4632024035</v>
      </c>
      <c r="F109" s="1852" t="s">
        <v>8</v>
      </c>
      <c r="G109" s="1851" t="s">
        <v>1034</v>
      </c>
      <c r="H109" s="1874">
        <v>3314.9639999999995</v>
      </c>
      <c r="I109" s="1873">
        <f t="shared" si="48"/>
        <v>3314.9639999999995</v>
      </c>
      <c r="J109" s="38">
        <v>2484</v>
      </c>
      <c r="K109" s="38">
        <v>1822.33</v>
      </c>
      <c r="L109" s="1872">
        <v>3314.9639999999995</v>
      </c>
      <c r="M109" s="38">
        <v>0</v>
      </c>
      <c r="N109" s="622">
        <f t="shared" si="49"/>
        <v>3758.5679999999998</v>
      </c>
      <c r="O109" s="622">
        <f t="shared" si="50"/>
        <v>3758.5679999999998</v>
      </c>
      <c r="P109" s="38">
        <v>2719.98</v>
      </c>
      <c r="Q109" s="38">
        <v>2084.56</v>
      </c>
      <c r="R109" s="38">
        <f t="shared" si="51"/>
        <v>3758.5679999999998</v>
      </c>
      <c r="S109" s="913">
        <v>0</v>
      </c>
    </row>
    <row r="110" spans="1:19" s="1313" customFormat="1" ht="76.5" customHeight="1">
      <c r="A110" s="6" t="e">
        <f t="shared" si="31"/>
        <v>#REF!</v>
      </c>
      <c r="B110" s="1852" t="s">
        <v>42</v>
      </c>
      <c r="C110" s="1852" t="s">
        <v>124</v>
      </c>
      <c r="D110" s="1852" t="s">
        <v>141</v>
      </c>
      <c r="E110" s="1852">
        <v>4632024035</v>
      </c>
      <c r="F110" s="1852" t="s">
        <v>8</v>
      </c>
      <c r="G110" s="1851" t="s">
        <v>1034</v>
      </c>
      <c r="H110" s="1874">
        <v>3314.9639999999995</v>
      </c>
      <c r="I110" s="1873">
        <f t="shared" si="48"/>
        <v>3314.9639999999995</v>
      </c>
      <c r="J110" s="38">
        <v>0</v>
      </c>
      <c r="K110" s="38">
        <v>0</v>
      </c>
      <c r="L110" s="1872">
        <v>3314.9639999999995</v>
      </c>
      <c r="M110" s="38">
        <v>0</v>
      </c>
      <c r="N110" s="622">
        <f t="shared" si="49"/>
        <v>3758.5679999999998</v>
      </c>
      <c r="O110" s="622">
        <f t="shared" si="50"/>
        <v>3758.5679999999998</v>
      </c>
      <c r="P110" s="38">
        <v>0</v>
      </c>
      <c r="Q110" s="38">
        <v>0</v>
      </c>
      <c r="R110" s="38">
        <f t="shared" si="51"/>
        <v>3758.5679999999998</v>
      </c>
      <c r="S110" s="913"/>
    </row>
    <row r="111" spans="1:19" s="1313" customFormat="1" ht="77.25" customHeight="1">
      <c r="A111" s="6" t="e">
        <f t="shared" si="31"/>
        <v>#REF!</v>
      </c>
      <c r="B111" s="1852" t="s">
        <v>42</v>
      </c>
      <c r="C111" s="1852" t="s">
        <v>125</v>
      </c>
      <c r="D111" s="1852" t="s">
        <v>141</v>
      </c>
      <c r="E111" s="1852">
        <v>4632024035</v>
      </c>
      <c r="F111" s="1852" t="s">
        <v>8</v>
      </c>
      <c r="G111" s="1851" t="s">
        <v>1034</v>
      </c>
      <c r="H111" s="1874">
        <v>3314.9639999999995</v>
      </c>
      <c r="I111" s="1873">
        <f t="shared" si="48"/>
        <v>3314.9639999999995</v>
      </c>
      <c r="J111" s="38">
        <v>0</v>
      </c>
      <c r="K111" s="38">
        <v>0</v>
      </c>
      <c r="L111" s="1872">
        <v>3314.9639999999995</v>
      </c>
      <c r="M111" s="38">
        <v>0</v>
      </c>
      <c r="N111" s="622">
        <f t="shared" si="49"/>
        <v>3758.5679999999998</v>
      </c>
      <c r="O111" s="622">
        <f t="shared" si="50"/>
        <v>3758.5679999999998</v>
      </c>
      <c r="P111" s="38">
        <v>0</v>
      </c>
      <c r="Q111" s="38">
        <v>0</v>
      </c>
      <c r="R111" s="38">
        <f t="shared" si="51"/>
        <v>3758.5679999999998</v>
      </c>
      <c r="S111" s="913">
        <v>0</v>
      </c>
    </row>
    <row r="112" spans="1:19" s="1313" customFormat="1" ht="67.5" customHeight="1">
      <c r="A112" s="6" t="e">
        <f t="shared" si="31"/>
        <v>#REF!</v>
      </c>
      <c r="B112" s="1852" t="s">
        <v>42</v>
      </c>
      <c r="C112" s="1852" t="s">
        <v>126</v>
      </c>
      <c r="D112" s="1852" t="s">
        <v>141</v>
      </c>
      <c r="E112" s="1852">
        <v>4632024035</v>
      </c>
      <c r="F112" s="1852" t="s">
        <v>8</v>
      </c>
      <c r="G112" s="1851" t="s">
        <v>1034</v>
      </c>
      <c r="H112" s="1874">
        <v>3314.9639999999995</v>
      </c>
      <c r="I112" s="1873">
        <f t="shared" si="48"/>
        <v>3314.9639999999995</v>
      </c>
      <c r="J112" s="38">
        <v>0</v>
      </c>
      <c r="K112" s="38">
        <v>0</v>
      </c>
      <c r="L112" s="1872">
        <v>3314.9639999999995</v>
      </c>
      <c r="M112" s="38">
        <v>0</v>
      </c>
      <c r="N112" s="622">
        <f t="shared" si="49"/>
        <v>3758.5679999999998</v>
      </c>
      <c r="O112" s="622">
        <f t="shared" si="50"/>
        <v>3758.5679999999998</v>
      </c>
      <c r="P112" s="38">
        <v>0</v>
      </c>
      <c r="Q112" s="38">
        <v>0</v>
      </c>
      <c r="R112" s="38">
        <f t="shared" si="51"/>
        <v>3758.5679999999998</v>
      </c>
      <c r="S112" s="913">
        <v>0</v>
      </c>
    </row>
    <row r="113" spans="1:19" s="1313" customFormat="1" ht="77.25" customHeight="1">
      <c r="A113" s="6" t="e">
        <f t="shared" si="31"/>
        <v>#REF!</v>
      </c>
      <c r="B113" s="1852" t="s">
        <v>42</v>
      </c>
      <c r="C113" s="1852" t="s">
        <v>127</v>
      </c>
      <c r="D113" s="1852" t="s">
        <v>142</v>
      </c>
      <c r="E113" s="1852">
        <v>4632024035</v>
      </c>
      <c r="F113" s="1852" t="s">
        <v>8</v>
      </c>
      <c r="G113" s="1851" t="s">
        <v>1034</v>
      </c>
      <c r="H113" s="1874">
        <v>3314.9639999999995</v>
      </c>
      <c r="I113" s="1873">
        <f t="shared" si="48"/>
        <v>3314.9639999999995</v>
      </c>
      <c r="J113" s="38">
        <v>0</v>
      </c>
      <c r="K113" s="38">
        <v>0</v>
      </c>
      <c r="L113" s="1872">
        <v>3314.9639999999995</v>
      </c>
      <c r="M113" s="38">
        <v>0</v>
      </c>
      <c r="N113" s="622">
        <f t="shared" si="49"/>
        <v>3758.5679999999998</v>
      </c>
      <c r="O113" s="622">
        <f t="shared" si="50"/>
        <v>3758.5679999999998</v>
      </c>
      <c r="P113" s="38">
        <v>0</v>
      </c>
      <c r="Q113" s="38">
        <v>0</v>
      </c>
      <c r="R113" s="38">
        <f t="shared" si="51"/>
        <v>3758.5679999999998</v>
      </c>
      <c r="S113" s="913">
        <v>0</v>
      </c>
    </row>
    <row r="114" spans="1:19" s="1313" customFormat="1" ht="71.25" customHeight="1">
      <c r="A114" s="6" t="e">
        <f t="shared" si="31"/>
        <v>#REF!</v>
      </c>
      <c r="B114" s="1852" t="s">
        <v>42</v>
      </c>
      <c r="C114" s="1852" t="s">
        <v>128</v>
      </c>
      <c r="D114" s="1852" t="s">
        <v>141</v>
      </c>
      <c r="E114" s="1852">
        <v>4632024035</v>
      </c>
      <c r="F114" s="1852" t="s">
        <v>8</v>
      </c>
      <c r="G114" s="1851" t="s">
        <v>1034</v>
      </c>
      <c r="H114" s="1874">
        <v>3314.9639999999995</v>
      </c>
      <c r="I114" s="1873">
        <f t="shared" si="48"/>
        <v>3314.9639999999995</v>
      </c>
      <c r="J114" s="38">
        <v>0</v>
      </c>
      <c r="K114" s="38">
        <v>0</v>
      </c>
      <c r="L114" s="1872">
        <v>3314.9639999999995</v>
      </c>
      <c r="M114" s="38">
        <v>0</v>
      </c>
      <c r="N114" s="622">
        <f t="shared" si="49"/>
        <v>3758.5679999999998</v>
      </c>
      <c r="O114" s="622">
        <f t="shared" si="50"/>
        <v>3758.5679999999998</v>
      </c>
      <c r="P114" s="38">
        <v>0</v>
      </c>
      <c r="Q114" s="38">
        <v>0</v>
      </c>
      <c r="R114" s="38">
        <f t="shared" si="51"/>
        <v>3758.5679999999998</v>
      </c>
      <c r="S114" s="913">
        <v>0</v>
      </c>
    </row>
    <row r="115" spans="1:19" s="1313" customFormat="1" ht="75.75" customHeight="1">
      <c r="A115" s="6" t="e">
        <f t="shared" si="31"/>
        <v>#REF!</v>
      </c>
      <c r="B115" s="1852" t="s">
        <v>42</v>
      </c>
      <c r="C115" s="1852" t="s">
        <v>129</v>
      </c>
      <c r="D115" s="1852" t="s">
        <v>141</v>
      </c>
      <c r="E115" s="1852">
        <v>4632024035</v>
      </c>
      <c r="F115" s="1852" t="s">
        <v>8</v>
      </c>
      <c r="G115" s="1851" t="s">
        <v>1034</v>
      </c>
      <c r="H115" s="1874">
        <v>3314.9639999999995</v>
      </c>
      <c r="I115" s="1873">
        <f t="shared" si="48"/>
        <v>3314.9639999999995</v>
      </c>
      <c r="J115" s="38">
        <v>0</v>
      </c>
      <c r="K115" s="38">
        <v>0</v>
      </c>
      <c r="L115" s="1872">
        <v>3314.9639999999995</v>
      </c>
      <c r="M115" s="38">
        <v>0</v>
      </c>
      <c r="N115" s="622">
        <f t="shared" si="49"/>
        <v>3758.5679999999998</v>
      </c>
      <c r="O115" s="622">
        <f t="shared" si="50"/>
        <v>3758.5679999999998</v>
      </c>
      <c r="P115" s="38">
        <v>0</v>
      </c>
      <c r="Q115" s="38">
        <v>0</v>
      </c>
      <c r="R115" s="38">
        <f t="shared" si="51"/>
        <v>3758.5679999999998</v>
      </c>
      <c r="S115" s="913">
        <v>0</v>
      </c>
    </row>
    <row r="116" spans="1:19" s="1313" customFormat="1" ht="72.75" customHeight="1">
      <c r="A116" s="6" t="e">
        <f t="shared" si="31"/>
        <v>#REF!</v>
      </c>
      <c r="B116" s="1852" t="s">
        <v>42</v>
      </c>
      <c r="C116" s="1852" t="s">
        <v>130</v>
      </c>
      <c r="D116" s="1852" t="s">
        <v>141</v>
      </c>
      <c r="E116" s="1852">
        <v>4632024035</v>
      </c>
      <c r="F116" s="1852" t="s">
        <v>8</v>
      </c>
      <c r="G116" s="1851" t="s">
        <v>1034</v>
      </c>
      <c r="H116" s="1874">
        <v>3314.9639999999995</v>
      </c>
      <c r="I116" s="1873">
        <f t="shared" si="48"/>
        <v>3314.9639999999995</v>
      </c>
      <c r="J116" s="38">
        <v>0</v>
      </c>
      <c r="K116" s="38">
        <v>0</v>
      </c>
      <c r="L116" s="1872">
        <v>3314.9639999999995</v>
      </c>
      <c r="M116" s="38">
        <v>0</v>
      </c>
      <c r="N116" s="622">
        <f t="shared" si="49"/>
        <v>3758.5679999999998</v>
      </c>
      <c r="O116" s="622">
        <f t="shared" si="50"/>
        <v>3758.5679999999998</v>
      </c>
      <c r="P116" s="38">
        <v>0</v>
      </c>
      <c r="Q116" s="38">
        <v>0</v>
      </c>
      <c r="R116" s="38">
        <f t="shared" si="51"/>
        <v>3758.5679999999998</v>
      </c>
      <c r="S116" s="913">
        <v>0</v>
      </c>
    </row>
    <row r="117" spans="1:19" s="1313" customFormat="1" ht="72.75" customHeight="1">
      <c r="A117" s="6" t="e">
        <f t="shared" si="31"/>
        <v>#REF!</v>
      </c>
      <c r="B117" s="1852" t="s">
        <v>42</v>
      </c>
      <c r="C117" s="1852" t="s">
        <v>131</v>
      </c>
      <c r="D117" s="1852" t="s">
        <v>141</v>
      </c>
      <c r="E117" s="1852">
        <v>4632024035</v>
      </c>
      <c r="F117" s="1852" t="s">
        <v>8</v>
      </c>
      <c r="G117" s="1851" t="s">
        <v>1034</v>
      </c>
      <c r="H117" s="1874">
        <v>3314.9639999999995</v>
      </c>
      <c r="I117" s="1873">
        <f t="shared" si="48"/>
        <v>3314.9639999999995</v>
      </c>
      <c r="J117" s="38">
        <v>0</v>
      </c>
      <c r="K117" s="38">
        <v>0</v>
      </c>
      <c r="L117" s="1872">
        <v>3314.9639999999995</v>
      </c>
      <c r="M117" s="38">
        <v>0</v>
      </c>
      <c r="N117" s="622">
        <f t="shared" si="49"/>
        <v>3758.5679999999998</v>
      </c>
      <c r="O117" s="622">
        <f t="shared" si="50"/>
        <v>3758.5679999999998</v>
      </c>
      <c r="P117" s="38">
        <v>0</v>
      </c>
      <c r="Q117" s="38">
        <v>0</v>
      </c>
      <c r="R117" s="38">
        <f t="shared" si="51"/>
        <v>3758.5679999999998</v>
      </c>
      <c r="S117" s="913">
        <v>0</v>
      </c>
    </row>
    <row r="118" spans="1:19" s="50" customFormat="1" ht="90.75" customHeight="1">
      <c r="A118" s="6" t="e">
        <f t="shared" si="31"/>
        <v>#REF!</v>
      </c>
      <c r="B118" s="1852" t="s">
        <v>43</v>
      </c>
      <c r="C118" s="1852" t="s">
        <v>53</v>
      </c>
      <c r="D118" s="1852" t="s">
        <v>256</v>
      </c>
      <c r="E118" s="1852">
        <v>4633002394</v>
      </c>
      <c r="F118" s="1852" t="s">
        <v>8</v>
      </c>
      <c r="G118" s="1856" t="s">
        <v>966</v>
      </c>
      <c r="H118" s="1874">
        <f>1743.52*1.2</f>
        <v>2092.2239999999997</v>
      </c>
      <c r="I118" s="38">
        <f>1743.52*1.2</f>
        <v>2092.2239999999997</v>
      </c>
      <c r="J118" s="38">
        <f>1743.52*1.2</f>
        <v>2092.2239999999997</v>
      </c>
      <c r="K118" s="38">
        <v>2036.22</v>
      </c>
      <c r="L118" s="38">
        <f>1743.52*1.2</f>
        <v>2092.2239999999997</v>
      </c>
      <c r="M118" s="38">
        <v>0</v>
      </c>
      <c r="N118" s="38">
        <f>1939.09*1.2</f>
        <v>2326.9079999999999</v>
      </c>
      <c r="O118" s="38">
        <f>1939.09*1.2</f>
        <v>2326.9079999999999</v>
      </c>
      <c r="P118" s="38">
        <v>2326.91</v>
      </c>
      <c r="Q118" s="38">
        <v>2326.91</v>
      </c>
      <c r="R118" s="38">
        <f>1939.09*1.2</f>
        <v>2326.9079999999999</v>
      </c>
      <c r="S118" s="913">
        <v>0</v>
      </c>
    </row>
    <row r="119" spans="1:19" s="81" customFormat="1" ht="70.5" customHeight="1">
      <c r="A119" s="6" t="e">
        <f t="shared" si="31"/>
        <v>#REF!</v>
      </c>
      <c r="B119" s="1852" t="s">
        <v>43</v>
      </c>
      <c r="C119" s="1852" t="s">
        <v>53</v>
      </c>
      <c r="D119" s="1852" t="s">
        <v>276</v>
      </c>
      <c r="E119" s="1852">
        <v>4633001577</v>
      </c>
      <c r="F119" s="1852" t="s">
        <v>8</v>
      </c>
      <c r="G119" s="1856" t="s">
        <v>998</v>
      </c>
      <c r="H119" s="1874">
        <v>2140.0319999999997</v>
      </c>
      <c r="I119" s="38">
        <v>0</v>
      </c>
      <c r="J119" s="38">
        <v>0</v>
      </c>
      <c r="K119" s="38">
        <v>0</v>
      </c>
      <c r="L119" s="38">
        <v>2140.0319999999997</v>
      </c>
      <c r="M119" s="38">
        <v>0</v>
      </c>
      <c r="N119" s="38">
        <f>2111.87*1.2</f>
        <v>2534.2439999999997</v>
      </c>
      <c r="O119" s="38">
        <v>0</v>
      </c>
      <c r="P119" s="38">
        <v>0</v>
      </c>
      <c r="Q119" s="38">
        <v>0</v>
      </c>
      <c r="R119" s="38">
        <v>2534.2439999999997</v>
      </c>
      <c r="S119" s="913">
        <v>0</v>
      </c>
    </row>
    <row r="120" spans="1:19" s="50" customFormat="1" ht="63.75" customHeight="1">
      <c r="A120" s="6" t="e">
        <f t="shared" si="31"/>
        <v>#REF!</v>
      </c>
      <c r="B120" s="1852" t="s">
        <v>43</v>
      </c>
      <c r="C120" s="1852" t="s">
        <v>53</v>
      </c>
      <c r="D120" s="1863" t="s">
        <v>44</v>
      </c>
      <c r="E120" s="1852">
        <v>4633016372</v>
      </c>
      <c r="F120" s="1864" t="s">
        <v>45</v>
      </c>
      <c r="G120" s="1856" t="s">
        <v>1000</v>
      </c>
      <c r="H120" s="1874">
        <f>1886.11*1.2</f>
        <v>2263.3319999999999</v>
      </c>
      <c r="I120" s="38">
        <v>0</v>
      </c>
      <c r="J120" s="38">
        <v>0</v>
      </c>
      <c r="K120" s="38">
        <v>0</v>
      </c>
      <c r="L120" s="38">
        <v>2263.3319999999999</v>
      </c>
      <c r="M120" s="38">
        <v>0</v>
      </c>
      <c r="N120" s="38">
        <v>2263.3319999999999</v>
      </c>
      <c r="O120" s="38">
        <v>0</v>
      </c>
      <c r="P120" s="38">
        <v>0</v>
      </c>
      <c r="Q120" s="38">
        <v>0</v>
      </c>
      <c r="R120" s="38">
        <v>2263.3319999999999</v>
      </c>
      <c r="S120" s="913">
        <v>0</v>
      </c>
    </row>
    <row r="121" spans="1:19" s="50" customFormat="1" ht="69.75" customHeight="1">
      <c r="A121" s="6" t="e">
        <f t="shared" si="31"/>
        <v>#REF!</v>
      </c>
      <c r="B121" s="1852" t="s">
        <v>43</v>
      </c>
      <c r="C121" s="1852" t="s">
        <v>53</v>
      </c>
      <c r="D121" s="1863" t="s">
        <v>44</v>
      </c>
      <c r="E121" s="1852">
        <v>4633016372</v>
      </c>
      <c r="F121" s="1852" t="s">
        <v>8</v>
      </c>
      <c r="G121" s="1856" t="s">
        <v>1000</v>
      </c>
      <c r="H121" s="1874">
        <f>2086.64*1.2</f>
        <v>2503.9679999999998</v>
      </c>
      <c r="I121" s="38">
        <v>0</v>
      </c>
      <c r="J121" s="38">
        <v>0</v>
      </c>
      <c r="K121" s="38">
        <v>0</v>
      </c>
      <c r="L121" s="38">
        <v>2503.9679999999998</v>
      </c>
      <c r="M121" s="38">
        <v>0</v>
      </c>
      <c r="N121" s="38">
        <f>2249.04871096537*1.2</f>
        <v>2698.8584531584438</v>
      </c>
      <c r="O121" s="38">
        <v>0</v>
      </c>
      <c r="P121" s="38">
        <v>0</v>
      </c>
      <c r="Q121" s="38">
        <v>0</v>
      </c>
      <c r="R121" s="38">
        <v>2698.8584531584438</v>
      </c>
      <c r="S121" s="913">
        <v>0</v>
      </c>
    </row>
    <row r="122" spans="1:19" s="50" customFormat="1" ht="73.5" customHeight="1">
      <c r="A122" s="6" t="e">
        <f t="shared" si="31"/>
        <v>#REF!</v>
      </c>
      <c r="B122" s="1852" t="s">
        <v>43</v>
      </c>
      <c r="C122" s="1852" t="s">
        <v>53</v>
      </c>
      <c r="D122" s="1852" t="s">
        <v>46</v>
      </c>
      <c r="E122" s="1852">
        <v>4633022993</v>
      </c>
      <c r="F122" s="1852" t="s">
        <v>8</v>
      </c>
      <c r="G122" s="1856" t="s">
        <v>1025</v>
      </c>
      <c r="H122" s="1874">
        <v>1701.14</v>
      </c>
      <c r="I122" s="38">
        <v>0</v>
      </c>
      <c r="J122" s="38">
        <v>1701.14</v>
      </c>
      <c r="K122" s="38">
        <v>1701.14</v>
      </c>
      <c r="L122" s="38">
        <v>0</v>
      </c>
      <c r="M122" s="38">
        <v>0</v>
      </c>
      <c r="N122" s="38">
        <v>1837.55</v>
      </c>
      <c r="O122" s="38">
        <v>0</v>
      </c>
      <c r="P122" s="38">
        <v>1837.55</v>
      </c>
      <c r="Q122" s="38">
        <v>1837.55</v>
      </c>
      <c r="R122" s="38">
        <v>0</v>
      </c>
      <c r="S122" s="913">
        <v>0</v>
      </c>
    </row>
    <row r="123" spans="1:19" s="81" customFormat="1" ht="71.25" customHeight="1">
      <c r="A123" s="6" t="e">
        <f t="shared" si="31"/>
        <v>#REF!</v>
      </c>
      <c r="B123" s="1852" t="s">
        <v>43</v>
      </c>
      <c r="C123" s="1852" t="s">
        <v>53</v>
      </c>
      <c r="D123" s="1852" t="s">
        <v>166</v>
      </c>
      <c r="E123" s="1852">
        <v>4633039010</v>
      </c>
      <c r="F123" s="1852" t="s">
        <v>8</v>
      </c>
      <c r="G123" s="1856" t="s">
        <v>1006</v>
      </c>
      <c r="H123" s="1874">
        <v>1571.285756878892</v>
      </c>
      <c r="I123" s="38">
        <v>0</v>
      </c>
      <c r="J123" s="38">
        <v>1571.285756878892</v>
      </c>
      <c r="K123" s="38">
        <v>1571.285756878892</v>
      </c>
      <c r="L123" s="38">
        <v>1571.285756878892</v>
      </c>
      <c r="M123" s="38">
        <v>0</v>
      </c>
      <c r="N123" s="38">
        <v>1717.71</v>
      </c>
      <c r="O123" s="38">
        <v>0</v>
      </c>
      <c r="P123" s="38">
        <v>1717.71</v>
      </c>
      <c r="Q123" s="38">
        <v>1717.71</v>
      </c>
      <c r="R123" s="38">
        <v>1717.71</v>
      </c>
      <c r="S123" s="913">
        <v>0</v>
      </c>
    </row>
    <row r="124" spans="1:19" s="50" customFormat="1" ht="78" customHeight="1">
      <c r="A124" s="6" t="e">
        <f t="shared" si="31"/>
        <v>#REF!</v>
      </c>
      <c r="B124" s="1852" t="s">
        <v>47</v>
      </c>
      <c r="C124" s="1852" t="s">
        <v>56</v>
      </c>
      <c r="D124" s="1852" t="s">
        <v>1035</v>
      </c>
      <c r="E124" s="1852">
        <v>4632121159</v>
      </c>
      <c r="F124" s="1852" t="s">
        <v>8</v>
      </c>
      <c r="G124" s="1856" t="s">
        <v>1036</v>
      </c>
      <c r="H124" s="1874">
        <v>2115.6799999999998</v>
      </c>
      <c r="I124" s="38">
        <v>2115.6799999999998</v>
      </c>
      <c r="J124" s="38">
        <v>2115.6799999999998</v>
      </c>
      <c r="K124" s="38">
        <v>0</v>
      </c>
      <c r="L124" s="38">
        <v>2115.6799999999998</v>
      </c>
      <c r="M124" s="38">
        <v>0</v>
      </c>
      <c r="N124" s="38">
        <v>2391.91</v>
      </c>
      <c r="O124" s="38">
        <v>2391.91</v>
      </c>
      <c r="P124" s="38">
        <v>2391.91</v>
      </c>
      <c r="Q124" s="38">
        <v>0</v>
      </c>
      <c r="R124" s="38">
        <v>2391.91</v>
      </c>
      <c r="S124" s="913">
        <v>0</v>
      </c>
    </row>
    <row r="125" spans="1:19" s="50" customFormat="1" ht="72" customHeight="1">
      <c r="A125" s="6" t="e">
        <f t="shared" si="31"/>
        <v>#REF!</v>
      </c>
      <c r="B125" s="1852" t="s">
        <v>47</v>
      </c>
      <c r="C125" s="1852" t="s">
        <v>56</v>
      </c>
      <c r="D125" s="1852" t="s">
        <v>224</v>
      </c>
      <c r="E125" s="1852">
        <v>4632113278</v>
      </c>
      <c r="F125" s="1855" t="s">
        <v>8</v>
      </c>
      <c r="G125" s="1865" t="s">
        <v>1024</v>
      </c>
      <c r="H125" s="1874">
        <v>1521.43</v>
      </c>
      <c r="I125" s="38">
        <v>0</v>
      </c>
      <c r="J125" s="38">
        <v>1521.43</v>
      </c>
      <c r="K125" s="38">
        <v>0</v>
      </c>
      <c r="L125" s="38">
        <v>0</v>
      </c>
      <c r="M125" s="38">
        <v>0</v>
      </c>
      <c r="N125" s="38">
        <v>1740.52</v>
      </c>
      <c r="O125" s="10">
        <v>0</v>
      </c>
      <c r="P125" s="10">
        <v>1740.52</v>
      </c>
      <c r="Q125" s="10">
        <v>0</v>
      </c>
      <c r="R125" s="38">
        <v>0</v>
      </c>
      <c r="S125" s="910">
        <v>0</v>
      </c>
    </row>
    <row r="126" spans="1:19" s="50" customFormat="1" ht="87" customHeight="1">
      <c r="A126" s="6" t="e">
        <f t="shared" si="31"/>
        <v>#REF!</v>
      </c>
      <c r="B126" s="1852" t="s">
        <v>47</v>
      </c>
      <c r="C126" s="1852" t="s">
        <v>56</v>
      </c>
      <c r="D126" s="1852" t="s">
        <v>162</v>
      </c>
      <c r="E126" s="1852">
        <v>5261077695</v>
      </c>
      <c r="F126" s="1852" t="s">
        <v>8</v>
      </c>
      <c r="G126" s="1856" t="s">
        <v>1010</v>
      </c>
      <c r="H126" s="1876">
        <v>2617.2537028118982</v>
      </c>
      <c r="I126" s="608">
        <v>2617.2537028118982</v>
      </c>
      <c r="J126" s="608">
        <v>0</v>
      </c>
      <c r="K126" s="608">
        <v>0</v>
      </c>
      <c r="L126" s="608">
        <v>0</v>
      </c>
      <c r="M126" s="608">
        <v>0</v>
      </c>
      <c r="N126" s="38">
        <v>3009.84</v>
      </c>
      <c r="O126" s="608">
        <v>3009.84</v>
      </c>
      <c r="P126" s="608">
        <v>0</v>
      </c>
      <c r="Q126" s="608">
        <v>0</v>
      </c>
      <c r="R126" s="38">
        <v>0</v>
      </c>
      <c r="S126" s="1204">
        <v>0</v>
      </c>
    </row>
    <row r="127" spans="1:19" s="50" customFormat="1" ht="81" customHeight="1">
      <c r="A127" s="6" t="e">
        <f t="shared" si="31"/>
        <v>#REF!</v>
      </c>
      <c r="B127" s="1852" t="s">
        <v>47</v>
      </c>
      <c r="C127" s="1852" t="s">
        <v>56</v>
      </c>
      <c r="D127" s="1852" t="s">
        <v>254</v>
      </c>
      <c r="E127" s="1852">
        <v>4632000330</v>
      </c>
      <c r="F127" s="1852" t="s">
        <v>8</v>
      </c>
      <c r="G127" s="1856" t="s">
        <v>1017</v>
      </c>
      <c r="H127" s="1874">
        <v>3400.3919999999998</v>
      </c>
      <c r="I127" s="38">
        <v>3400.3919999999998</v>
      </c>
      <c r="J127" s="38">
        <v>2316.2579351999998</v>
      </c>
      <c r="K127" s="38">
        <v>0</v>
      </c>
      <c r="L127" s="38">
        <v>3400.3919999999998</v>
      </c>
      <c r="M127" s="38">
        <v>2769.9120000000003</v>
      </c>
      <c r="N127" s="38">
        <f>3363.93*1.2</f>
        <v>4036.7159999999994</v>
      </c>
      <c r="O127" s="38">
        <f>N127</f>
        <v>4036.7159999999994</v>
      </c>
      <c r="P127" s="38">
        <v>2536.3000000000002</v>
      </c>
      <c r="Q127" s="38">
        <v>0</v>
      </c>
      <c r="R127" s="38">
        <f>O127</f>
        <v>4036.7159999999994</v>
      </c>
      <c r="S127" s="913">
        <f>2657.9*1.2</f>
        <v>3189.48</v>
      </c>
    </row>
    <row r="128" spans="1:19" s="50" customFormat="1" ht="84.75" customHeight="1">
      <c r="A128" s="6" t="e">
        <f t="shared" si="31"/>
        <v>#REF!</v>
      </c>
      <c r="B128" s="1852" t="s">
        <v>47</v>
      </c>
      <c r="C128" s="1852" t="s">
        <v>56</v>
      </c>
      <c r="D128" s="1852" t="s">
        <v>154</v>
      </c>
      <c r="E128" s="1852">
        <v>7729314745</v>
      </c>
      <c r="F128" s="1852" t="s">
        <v>8</v>
      </c>
      <c r="G128" s="1856" t="s">
        <v>1037</v>
      </c>
      <c r="H128" s="1874">
        <v>4187.424</v>
      </c>
      <c r="I128" s="38">
        <v>4187.424</v>
      </c>
      <c r="J128" s="38">
        <v>0</v>
      </c>
      <c r="K128" s="38">
        <v>0</v>
      </c>
      <c r="L128" s="38">
        <v>0</v>
      </c>
      <c r="M128" s="38">
        <v>0</v>
      </c>
      <c r="N128" s="38">
        <f>3664*1.2</f>
        <v>4396.8</v>
      </c>
      <c r="O128" s="38">
        <f>3664*1.2</f>
        <v>4396.8</v>
      </c>
      <c r="P128" s="38">
        <v>0</v>
      </c>
      <c r="Q128" s="38">
        <v>0</v>
      </c>
      <c r="R128" s="38">
        <v>0</v>
      </c>
      <c r="S128" s="913">
        <v>0</v>
      </c>
    </row>
    <row r="129" spans="1:19" s="50" customFormat="1" ht="83.25" customHeight="1">
      <c r="A129" s="6" t="e">
        <f t="shared" si="31"/>
        <v>#REF!</v>
      </c>
      <c r="B129" s="1852" t="s">
        <v>47</v>
      </c>
      <c r="C129" s="1852" t="s">
        <v>56</v>
      </c>
      <c r="D129" s="1852" t="s">
        <v>137</v>
      </c>
      <c r="E129" s="1852">
        <v>4632001454</v>
      </c>
      <c r="F129" s="1852" t="s">
        <v>8</v>
      </c>
      <c r="G129" s="1856" t="s">
        <v>1011</v>
      </c>
      <c r="H129" s="1874">
        <v>3966.6</v>
      </c>
      <c r="I129" s="38">
        <v>0</v>
      </c>
      <c r="J129" s="38">
        <v>0</v>
      </c>
      <c r="K129" s="38">
        <v>0</v>
      </c>
      <c r="L129" s="38">
        <v>3966.6</v>
      </c>
      <c r="M129" s="38">
        <v>0</v>
      </c>
      <c r="N129" s="38">
        <v>4459.1000000000004</v>
      </c>
      <c r="O129" s="38">
        <v>0</v>
      </c>
      <c r="P129" s="38">
        <v>0</v>
      </c>
      <c r="Q129" s="38">
        <v>0</v>
      </c>
      <c r="R129" s="38">
        <v>4459.1000000000004</v>
      </c>
      <c r="S129" s="913">
        <v>0</v>
      </c>
    </row>
    <row r="130" spans="1:19" s="50" customFormat="1" ht="83.25" customHeight="1">
      <c r="A130" s="6" t="e">
        <f t="shared" si="31"/>
        <v>#REF!</v>
      </c>
      <c r="B130" s="1852" t="s">
        <v>47</v>
      </c>
      <c r="C130" s="1852" t="s">
        <v>56</v>
      </c>
      <c r="D130" s="1852" t="s">
        <v>49</v>
      </c>
      <c r="E130" s="1852">
        <v>4632033706</v>
      </c>
      <c r="F130" s="1852" t="s">
        <v>184</v>
      </c>
      <c r="G130" s="1856" t="s">
        <v>1026</v>
      </c>
      <c r="H130" s="1874">
        <v>200.21</v>
      </c>
      <c r="I130" s="38">
        <v>0</v>
      </c>
      <c r="J130" s="38">
        <v>0</v>
      </c>
      <c r="K130" s="38">
        <v>0</v>
      </c>
      <c r="L130" s="38">
        <v>200.21</v>
      </c>
      <c r="M130" s="38">
        <v>0</v>
      </c>
      <c r="N130" s="38">
        <f>185.13*1.2</f>
        <v>222.15599999999998</v>
      </c>
      <c r="O130" s="38">
        <v>0</v>
      </c>
      <c r="P130" s="38">
        <v>0</v>
      </c>
      <c r="Q130" s="38">
        <v>0</v>
      </c>
      <c r="R130" s="38">
        <v>222.15599999999998</v>
      </c>
      <c r="S130" s="913">
        <v>0</v>
      </c>
    </row>
    <row r="131" spans="1:19" s="50" customFormat="1" ht="83.25" customHeight="1">
      <c r="A131" s="6" t="e">
        <f t="shared" si="31"/>
        <v>#REF!</v>
      </c>
      <c r="B131" s="1852" t="s">
        <v>47</v>
      </c>
      <c r="C131" s="1852" t="s">
        <v>56</v>
      </c>
      <c r="D131" s="1852" t="s">
        <v>50</v>
      </c>
      <c r="E131" s="1852">
        <v>4632032678</v>
      </c>
      <c r="F131" s="1852" t="s">
        <v>8</v>
      </c>
      <c r="G131" s="1856" t="s">
        <v>1012</v>
      </c>
      <c r="H131" s="1874">
        <v>2512.6109639158371</v>
      </c>
      <c r="I131" s="38">
        <v>0</v>
      </c>
      <c r="J131" s="38">
        <v>0</v>
      </c>
      <c r="K131" s="38">
        <v>0</v>
      </c>
      <c r="L131" s="38">
        <v>2512.6109639158371</v>
      </c>
      <c r="M131" s="38">
        <v>0</v>
      </c>
      <c r="N131" s="38">
        <v>2662.15</v>
      </c>
      <c r="O131" s="38">
        <v>0</v>
      </c>
      <c r="P131" s="38">
        <v>0</v>
      </c>
      <c r="Q131" s="38">
        <v>0</v>
      </c>
      <c r="R131" s="38">
        <v>2662.15</v>
      </c>
      <c r="S131" s="913">
        <v>0</v>
      </c>
    </row>
    <row r="132" spans="1:19" s="50" customFormat="1" ht="76.5" customHeight="1">
      <c r="A132" s="6" t="e">
        <f t="shared" si="31"/>
        <v>#REF!</v>
      </c>
      <c r="B132" s="1852" t="s">
        <v>47</v>
      </c>
      <c r="C132" s="1852" t="s">
        <v>56</v>
      </c>
      <c r="D132" s="1852" t="s">
        <v>927</v>
      </c>
      <c r="E132" s="1852" t="s">
        <v>1059</v>
      </c>
      <c r="F132" s="1852" t="s">
        <v>8</v>
      </c>
      <c r="G132" s="1856" t="s">
        <v>1013</v>
      </c>
      <c r="H132" s="1874">
        <v>2586.6799999999998</v>
      </c>
      <c r="I132" s="38">
        <v>2586.6799999999998</v>
      </c>
      <c r="J132" s="38">
        <v>0</v>
      </c>
      <c r="K132" s="38">
        <v>0</v>
      </c>
      <c r="L132" s="38">
        <v>2586.6799999999998</v>
      </c>
      <c r="M132" s="38">
        <v>0</v>
      </c>
      <c r="N132" s="38">
        <v>3008.94</v>
      </c>
      <c r="O132" s="38">
        <v>3008.94</v>
      </c>
      <c r="P132" s="38">
        <v>0</v>
      </c>
      <c r="Q132" s="38">
        <v>0</v>
      </c>
      <c r="R132" s="38">
        <v>3008.94</v>
      </c>
      <c r="S132" s="913">
        <v>0</v>
      </c>
    </row>
    <row r="133" spans="1:19" s="50" customFormat="1" ht="90" customHeight="1">
      <c r="A133" s="6" t="e">
        <f t="shared" si="31"/>
        <v>#REF!</v>
      </c>
      <c r="B133" s="1852" t="s">
        <v>47</v>
      </c>
      <c r="C133" s="1852" t="s">
        <v>56</v>
      </c>
      <c r="D133" s="1852" t="s">
        <v>54</v>
      </c>
      <c r="E133" s="1852">
        <v>4632068226</v>
      </c>
      <c r="F133" s="1852" t="s">
        <v>8</v>
      </c>
      <c r="G133" s="1856" t="s">
        <v>1014</v>
      </c>
      <c r="H133" s="1876">
        <v>1686.48</v>
      </c>
      <c r="I133" s="608">
        <v>1686.48</v>
      </c>
      <c r="J133" s="608">
        <v>1686.48</v>
      </c>
      <c r="K133" s="608">
        <v>1686.48</v>
      </c>
      <c r="L133" s="608">
        <v>1686.48</v>
      </c>
      <c r="M133" s="608">
        <v>1686.48</v>
      </c>
      <c r="N133" s="608">
        <v>1828.75</v>
      </c>
      <c r="O133" s="608">
        <v>1828.75</v>
      </c>
      <c r="P133" s="608">
        <v>1828.75</v>
      </c>
      <c r="Q133" s="608">
        <v>1828.75</v>
      </c>
      <c r="R133" s="608">
        <v>1828.75</v>
      </c>
      <c r="S133" s="913">
        <v>1828.75</v>
      </c>
    </row>
    <row r="134" spans="1:19" s="1313" customFormat="1" ht="85.5" customHeight="1">
      <c r="A134" s="6" t="e">
        <f t="shared" si="31"/>
        <v>#REF!</v>
      </c>
      <c r="B134" s="1852" t="s">
        <v>47</v>
      </c>
      <c r="C134" s="1852" t="s">
        <v>56</v>
      </c>
      <c r="D134" s="1852" t="s">
        <v>141</v>
      </c>
      <c r="E134" s="1852">
        <v>4632024035</v>
      </c>
      <c r="F134" s="1852" t="s">
        <v>8</v>
      </c>
      <c r="G134" s="1851" t="s">
        <v>1034</v>
      </c>
      <c r="H134" s="1888">
        <v>3314.9639999999995</v>
      </c>
      <c r="I134" s="1873">
        <f>H134</f>
        <v>3314.9639999999995</v>
      </c>
      <c r="J134" s="38">
        <v>2950.21</v>
      </c>
      <c r="K134" s="38">
        <v>2950.21</v>
      </c>
      <c r="L134" s="1872">
        <v>3314.9639999999995</v>
      </c>
      <c r="M134" s="38">
        <v>0</v>
      </c>
      <c r="N134" s="608">
        <f>3132.14*1.2</f>
        <v>3758.5679999999998</v>
      </c>
      <c r="O134" s="622">
        <f>N134</f>
        <v>3758.5679999999998</v>
      </c>
      <c r="P134" s="38">
        <v>2979.71</v>
      </c>
      <c r="Q134" s="38">
        <v>2979.71</v>
      </c>
      <c r="R134" s="622">
        <f>O134</f>
        <v>3758.5679999999998</v>
      </c>
      <c r="S134" s="913">
        <v>0</v>
      </c>
    </row>
    <row r="135" spans="1:19" s="1313" customFormat="1" ht="99" customHeight="1">
      <c r="A135" s="6" t="e">
        <f t="shared" si="31"/>
        <v>#REF!</v>
      </c>
      <c r="B135" s="1852" t="s">
        <v>47</v>
      </c>
      <c r="C135" s="1852" t="s">
        <v>56</v>
      </c>
      <c r="D135" s="1852" t="s">
        <v>1032</v>
      </c>
      <c r="E135" s="1852">
        <v>6829012680</v>
      </c>
      <c r="F135" s="1852" t="s">
        <v>8</v>
      </c>
      <c r="G135" s="1856" t="s">
        <v>1033</v>
      </c>
      <c r="H135" s="1874">
        <v>2326.752</v>
      </c>
      <c r="I135" s="38">
        <v>2326.752</v>
      </c>
      <c r="J135" s="38">
        <v>2231.2199999999998</v>
      </c>
      <c r="K135" s="38">
        <v>2231.2199999999998</v>
      </c>
      <c r="L135" s="38">
        <v>2326.752</v>
      </c>
      <c r="M135" s="38">
        <v>2326.752</v>
      </c>
      <c r="N135" s="608">
        <f>2165.81*1.2</f>
        <v>2598.9719999999998</v>
      </c>
      <c r="O135" s="622">
        <f>N135</f>
        <v>2598.9719999999998</v>
      </c>
      <c r="P135" s="622">
        <v>2403.02</v>
      </c>
      <c r="Q135" s="622">
        <f>P135</f>
        <v>2403.02</v>
      </c>
      <c r="R135" s="622">
        <f>O135</f>
        <v>2598.9719999999998</v>
      </c>
      <c r="S135" s="913">
        <f>R135</f>
        <v>2598.9719999999998</v>
      </c>
    </row>
    <row r="136" spans="1:19" s="50" customFormat="1" ht="81" customHeight="1">
      <c r="A136" s="6" t="e">
        <f t="shared" si="31"/>
        <v>#REF!</v>
      </c>
      <c r="B136" s="1852" t="s">
        <v>47</v>
      </c>
      <c r="C136" s="1852" t="s">
        <v>56</v>
      </c>
      <c r="D136" s="1852" t="s">
        <v>272</v>
      </c>
      <c r="E136" s="1852">
        <v>4630001280</v>
      </c>
      <c r="F136" s="1852" t="s">
        <v>8</v>
      </c>
      <c r="G136" s="1856" t="s">
        <v>1027</v>
      </c>
      <c r="H136" s="1874">
        <f>1947.25*1.2</f>
        <v>2336.6999999999998</v>
      </c>
      <c r="I136" s="38">
        <v>0</v>
      </c>
      <c r="J136" s="38">
        <v>2336.6999999999998</v>
      </c>
      <c r="K136" s="38">
        <v>0</v>
      </c>
      <c r="L136" s="38">
        <v>0</v>
      </c>
      <c r="M136" s="38">
        <v>0</v>
      </c>
      <c r="N136" s="608">
        <f>2200.21*1.2</f>
        <v>2640.252</v>
      </c>
      <c r="O136" s="622">
        <v>0</v>
      </c>
      <c r="P136" s="622">
        <v>2640.25</v>
      </c>
      <c r="Q136" s="622">
        <v>0</v>
      </c>
      <c r="R136" s="622">
        <v>0</v>
      </c>
      <c r="S136" s="913">
        <v>0</v>
      </c>
    </row>
    <row r="137" spans="1:19" s="81" customFormat="1" ht="81" customHeight="1">
      <c r="A137" s="6" t="e">
        <f t="shared" si="31"/>
        <v>#REF!</v>
      </c>
      <c r="B137" s="1852" t="s">
        <v>47</v>
      </c>
      <c r="C137" s="1852" t="s">
        <v>56</v>
      </c>
      <c r="D137" s="1852" t="s">
        <v>981</v>
      </c>
      <c r="E137" s="1852">
        <v>3123389689</v>
      </c>
      <c r="F137" s="1852" t="s">
        <v>8</v>
      </c>
      <c r="G137" s="1856" t="s">
        <v>1008</v>
      </c>
      <c r="H137" s="1874">
        <v>2270.29</v>
      </c>
      <c r="I137" s="38">
        <v>0</v>
      </c>
      <c r="J137" s="38">
        <v>2270.29</v>
      </c>
      <c r="K137" s="38">
        <v>2270.29</v>
      </c>
      <c r="L137" s="38">
        <v>2270.29</v>
      </c>
      <c r="M137" s="38">
        <v>0</v>
      </c>
      <c r="N137" s="608">
        <v>2470.62</v>
      </c>
      <c r="O137" s="622">
        <v>0</v>
      </c>
      <c r="P137" s="622">
        <v>2470.62</v>
      </c>
      <c r="Q137" s="622">
        <v>2470.62</v>
      </c>
      <c r="R137" s="622">
        <v>2470.62</v>
      </c>
      <c r="S137" s="913">
        <v>0</v>
      </c>
    </row>
    <row r="138" spans="1:19" s="81" customFormat="1" ht="75.75" customHeight="1">
      <c r="A138" s="6" t="e">
        <f t="shared" si="31"/>
        <v>#REF!</v>
      </c>
      <c r="B138" s="1852" t="s">
        <v>47</v>
      </c>
      <c r="C138" s="1852" t="s">
        <v>56</v>
      </c>
      <c r="D138" s="1852" t="s">
        <v>189</v>
      </c>
      <c r="E138" s="1852">
        <v>3666120176</v>
      </c>
      <c r="F138" s="1852" t="s">
        <v>8</v>
      </c>
      <c r="G138" s="1856" t="s">
        <v>1007</v>
      </c>
      <c r="H138" s="1874">
        <v>1844.2847200799181</v>
      </c>
      <c r="I138" s="38">
        <v>0</v>
      </c>
      <c r="J138" s="38">
        <v>1844.2847200799181</v>
      </c>
      <c r="K138" s="38">
        <v>1844.2847200799181</v>
      </c>
      <c r="L138" s="38">
        <v>1844.2847200799181</v>
      </c>
      <c r="M138" s="38">
        <v>0</v>
      </c>
      <c r="N138" s="608">
        <v>2069.2199999999998</v>
      </c>
      <c r="O138" s="622">
        <v>0</v>
      </c>
      <c r="P138" s="622">
        <v>2069.2199999999998</v>
      </c>
      <c r="Q138" s="622">
        <v>2069.2199999999998</v>
      </c>
      <c r="R138" s="622">
        <v>2069.2199999999998</v>
      </c>
      <c r="S138" s="913">
        <v>0</v>
      </c>
    </row>
    <row r="139" spans="1:19" s="50" customFormat="1" ht="83.25" customHeight="1">
      <c r="A139" s="6" t="e">
        <f t="shared" si="31"/>
        <v>#REF!</v>
      </c>
      <c r="B139" s="1852" t="s">
        <v>52</v>
      </c>
      <c r="C139" s="1852" t="s">
        <v>52</v>
      </c>
      <c r="D139" s="1852" t="s">
        <v>255</v>
      </c>
      <c r="E139" s="1852">
        <v>4634002573</v>
      </c>
      <c r="F139" s="1852" t="s">
        <v>8</v>
      </c>
      <c r="G139" s="1856" t="s">
        <v>1028</v>
      </c>
      <c r="H139" s="1874">
        <v>780.30450254239327</v>
      </c>
      <c r="I139" s="38">
        <f>650.25*1.2</f>
        <v>780.3</v>
      </c>
      <c r="J139" s="38">
        <v>780.30450254239327</v>
      </c>
      <c r="K139" s="38">
        <v>780.30450254239327</v>
      </c>
      <c r="L139" s="38">
        <v>780.30450254239327</v>
      </c>
      <c r="M139" s="38">
        <v>0</v>
      </c>
      <c r="N139" s="622">
        <v>826.91</v>
      </c>
      <c r="O139" s="622">
        <f>689.09*1.2</f>
        <v>826.90800000000002</v>
      </c>
      <c r="P139" s="622">
        <f>O139</f>
        <v>826.90800000000002</v>
      </c>
      <c r="Q139" s="622">
        <f>P139</f>
        <v>826.90800000000002</v>
      </c>
      <c r="R139" s="622">
        <f>Q139</f>
        <v>826.90800000000002</v>
      </c>
      <c r="S139" s="913">
        <v>0</v>
      </c>
    </row>
    <row r="140" spans="1:19" s="50" customFormat="1" ht="87" customHeight="1">
      <c r="A140" s="6" t="e">
        <f t="shared" si="31"/>
        <v>#REF!</v>
      </c>
      <c r="B140" s="1852" t="s">
        <v>52</v>
      </c>
      <c r="C140" s="1852" t="s">
        <v>52</v>
      </c>
      <c r="D140" s="1852" t="s">
        <v>135</v>
      </c>
      <c r="E140" s="2133">
        <v>7721632827</v>
      </c>
      <c r="F140" s="1852" t="s">
        <v>8</v>
      </c>
      <c r="G140" s="1856" t="s">
        <v>1063</v>
      </c>
      <c r="H140" s="1874">
        <v>321.43</v>
      </c>
      <c r="I140" s="38">
        <v>321.43</v>
      </c>
      <c r="J140" s="38">
        <v>321.43</v>
      </c>
      <c r="K140" s="38">
        <v>321.43</v>
      </c>
      <c r="L140" s="38">
        <v>321.43</v>
      </c>
      <c r="M140" s="38">
        <v>321.43</v>
      </c>
      <c r="N140" s="622">
        <f t="shared" ref="N140:S140" si="52">271.03*1.2</f>
        <v>325.23599999999993</v>
      </c>
      <c r="O140" s="38">
        <f t="shared" si="52"/>
        <v>325.23599999999993</v>
      </c>
      <c r="P140" s="622">
        <f t="shared" si="52"/>
        <v>325.23599999999993</v>
      </c>
      <c r="Q140" s="622">
        <f t="shared" si="52"/>
        <v>325.23599999999993</v>
      </c>
      <c r="R140" s="622">
        <f t="shared" si="52"/>
        <v>325.23599999999993</v>
      </c>
      <c r="S140" s="913">
        <f t="shared" si="52"/>
        <v>325.23599999999993</v>
      </c>
    </row>
    <row r="141" spans="1:19" s="50" customFormat="1" ht="85.5" customHeight="1" thickBot="1">
      <c r="A141" s="6" t="e">
        <f t="shared" ref="A141" si="53">A140+1</f>
        <v>#REF!</v>
      </c>
      <c r="B141" s="1866" t="s">
        <v>52</v>
      </c>
      <c r="C141" s="1866" t="s">
        <v>52</v>
      </c>
      <c r="D141" s="1866" t="s">
        <v>188</v>
      </c>
      <c r="E141" s="2134">
        <v>4629043694</v>
      </c>
      <c r="F141" s="1866" t="s">
        <v>8</v>
      </c>
      <c r="G141" s="1867" t="s">
        <v>1029</v>
      </c>
      <c r="H141" s="1871">
        <v>230.24</v>
      </c>
      <c r="I141" s="1889">
        <v>0</v>
      </c>
      <c r="J141" s="1889">
        <v>0</v>
      </c>
      <c r="K141" s="1889">
        <v>0</v>
      </c>
      <c r="L141" s="1889">
        <v>230.24</v>
      </c>
      <c r="M141" s="1889">
        <v>0</v>
      </c>
      <c r="N141" s="1889">
        <v>251.952</v>
      </c>
      <c r="O141" s="1889">
        <v>0</v>
      </c>
      <c r="P141" s="1889">
        <v>0</v>
      </c>
      <c r="Q141" s="1889">
        <v>0</v>
      </c>
      <c r="R141" s="1889">
        <f>209.96*1.2</f>
        <v>251.952</v>
      </c>
      <c r="S141" s="1870">
        <v>0</v>
      </c>
    </row>
    <row r="142" spans="1:19">
      <c r="S142" s="27"/>
    </row>
  </sheetData>
  <autoFilter ref="A13:S377"/>
  <dataConsolidate link="1"/>
  <mergeCells count="20">
    <mergeCell ref="A10:A13"/>
    <mergeCell ref="B10:B13"/>
    <mergeCell ref="C10:C13"/>
    <mergeCell ref="D10:D13"/>
    <mergeCell ref="F10:F13"/>
    <mergeCell ref="H10:S10"/>
    <mergeCell ref="E10:E13"/>
    <mergeCell ref="G10:G13"/>
    <mergeCell ref="J12:K12"/>
    <mergeCell ref="L12:L13"/>
    <mergeCell ref="M12:M13"/>
    <mergeCell ref="H11:M11"/>
    <mergeCell ref="H12:H13"/>
    <mergeCell ref="N11:S11"/>
    <mergeCell ref="R12:R13"/>
    <mergeCell ref="S12:S13"/>
    <mergeCell ref="I12:I13"/>
    <mergeCell ref="O12:O13"/>
    <mergeCell ref="P12:Q12"/>
    <mergeCell ref="N12:N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 filterMode="1"/>
  <dimension ref="A1:DL175"/>
  <sheetViews>
    <sheetView topLeftCell="A4" zoomScaleNormal="100" workbookViewId="0">
      <pane xSplit="4" ySplit="10" topLeftCell="AE115" activePane="bottomRight" state="frozen"/>
      <selection activeCell="B4" sqref="B4"/>
      <selection pane="topRight" activeCell="E4" sqref="E4"/>
      <selection pane="bottomLeft" activeCell="B10" sqref="B10"/>
      <selection pane="bottomRight" activeCell="AH14" sqref="AH14:AH135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3" style="6" customWidth="1"/>
    <col min="5" max="5" width="19.28515625" style="6" customWidth="1"/>
    <col min="6" max="6" width="10.5703125" style="6" customWidth="1"/>
    <col min="7" max="7" width="37.710937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1.140625" style="6" customWidth="1"/>
    <col min="20" max="20" width="16.7109375" style="30" customWidth="1"/>
    <col min="21" max="21" width="17.28515625" style="6" customWidth="1"/>
    <col min="22" max="22" width="13.85546875" style="222" customWidth="1"/>
    <col min="23" max="23" width="11.7109375" style="6" customWidth="1"/>
    <col min="24" max="24" width="12.5703125" style="6" customWidth="1"/>
    <col min="25" max="25" width="18.5703125" style="6" customWidth="1"/>
    <col min="26" max="26" width="16" style="6" customWidth="1"/>
    <col min="27" max="27" width="18.28515625" style="30" customWidth="1"/>
    <col min="28" max="28" width="17.85546875" style="6" customWidth="1"/>
    <col min="29" max="29" width="17.5703125" style="222" customWidth="1"/>
    <col min="30" max="30" width="14.5703125" style="6" customWidth="1"/>
    <col min="31" max="31" width="15" style="6" customWidth="1"/>
    <col min="32" max="32" width="12.5703125" style="6" customWidth="1"/>
    <col min="33" max="33" width="14.7109375" style="6" customWidth="1"/>
    <col min="34" max="34" width="24.42578125" style="6" customWidth="1"/>
    <col min="35" max="35" width="19.28515625" style="6" customWidth="1"/>
    <col min="36" max="36" width="19" style="6" customWidth="1"/>
    <col min="37" max="37" width="16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hidden="1" customWidth="1"/>
    <col min="45" max="45" width="19.140625" style="6" hidden="1" customWidth="1"/>
    <col min="46" max="46" width="19.28515625" style="6" hidden="1" customWidth="1"/>
    <col min="47" max="47" width="19.140625" style="6" hidden="1" customWidth="1"/>
    <col min="48" max="48" width="19.7109375" style="6" hidden="1" customWidth="1"/>
    <col min="49" max="49" width="20" style="6" hidden="1" customWidth="1"/>
    <col min="50" max="50" width="21.28515625" style="6" hidden="1" customWidth="1"/>
    <col min="51" max="51" width="20.42578125" style="6" hidden="1" customWidth="1"/>
    <col min="52" max="52" width="21.7109375" style="6" hidden="1" customWidth="1"/>
    <col min="53" max="53" width="20.140625" style="6" hidden="1" customWidth="1"/>
    <col min="54" max="54" width="18.5703125" style="6" hidden="1" customWidth="1"/>
    <col min="55" max="55" width="19.42578125" style="6" hidden="1" customWidth="1"/>
    <col min="56" max="56" width="17.5703125" style="6" hidden="1" customWidth="1"/>
    <col min="57" max="57" width="20.140625" style="6" hidden="1" customWidth="1"/>
    <col min="58" max="58" width="20.85546875" style="6" hidden="1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hidden="1" customWidth="1"/>
    <col min="65" max="65" width="19.85546875" style="6" hidden="1" customWidth="1"/>
    <col min="66" max="66" width="21.42578125" style="6" hidden="1" customWidth="1"/>
    <col min="67" max="67" width="20.5703125" style="6" hidden="1" customWidth="1"/>
    <col min="68" max="68" width="16.28515625" style="6" hidden="1" customWidth="1"/>
    <col min="69" max="70" width="16" style="6" hidden="1" customWidth="1"/>
    <col min="71" max="71" width="16.28515625" style="6" hidden="1" customWidth="1"/>
    <col min="72" max="72" width="17.140625" style="6" hidden="1" customWidth="1"/>
    <col min="73" max="73" width="16.7109375" style="6" hidden="1" customWidth="1"/>
    <col min="74" max="74" width="15.42578125" style="6" hidden="1" customWidth="1"/>
    <col min="75" max="75" width="16" style="6" hidden="1" customWidth="1"/>
    <col min="76" max="76" width="16.140625" style="6" hidden="1" customWidth="1"/>
    <col min="77" max="79" width="16.5703125" style="6" hidden="1" customWidth="1"/>
    <col min="80" max="80" width="21" style="6" hidden="1" customWidth="1"/>
    <col min="81" max="81" width="23.42578125" style="6" hidden="1" customWidth="1"/>
    <col min="82" max="82" width="17.140625" style="6" hidden="1" customWidth="1"/>
    <col min="83" max="83" width="22.7109375" style="6" hidden="1" customWidth="1"/>
    <col min="84" max="84" width="20.85546875" style="6" hidden="1" customWidth="1"/>
    <col min="85" max="85" width="20.28515625" style="6" hidden="1" customWidth="1"/>
    <col min="86" max="86" width="18.7109375" style="6" hidden="1" customWidth="1"/>
    <col min="87" max="87" width="9.140625" style="6" hidden="1" customWidth="1"/>
    <col min="88" max="88" width="22.85546875" style="6" customWidth="1"/>
    <col min="89" max="89" width="20.28515625" style="6" customWidth="1"/>
    <col min="90" max="90" width="21" style="6" customWidth="1"/>
    <col min="91" max="91" width="21.7109375" style="6" customWidth="1"/>
    <col min="92" max="92" width="21.140625" style="6" customWidth="1"/>
    <col min="93" max="94" width="18.28515625" style="6" customWidth="1"/>
    <col min="95" max="97" width="20" style="6" customWidth="1"/>
    <col min="98" max="98" width="19.140625" style="6" customWidth="1"/>
    <col min="99" max="99" width="26.28515625" style="6" customWidth="1"/>
    <col min="100" max="100" width="20.42578125" style="6" customWidth="1"/>
    <col min="101" max="102" width="21.28515625" style="6" customWidth="1"/>
    <col min="103" max="103" width="21" style="6" customWidth="1"/>
    <col min="104" max="104" width="20.28515625" style="6" customWidth="1"/>
    <col min="105" max="110" width="9.140625" style="6" customWidth="1"/>
    <col min="111" max="111" width="14.28515625" style="219" bestFit="1" customWidth="1"/>
    <col min="112" max="113" width="14.28515625" style="6" bestFit="1" customWidth="1"/>
    <col min="114" max="114" width="9.140625" style="6" customWidth="1"/>
    <col min="115" max="16384" width="9.140625" style="6"/>
  </cols>
  <sheetData>
    <row r="1" spans="1:114">
      <c r="A1" s="6">
        <v>1</v>
      </c>
      <c r="B1" s="6">
        <v>2</v>
      </c>
      <c r="C1" s="6">
        <f>B1+1</f>
        <v>3</v>
      </c>
      <c r="D1" s="6">
        <f t="shared" ref="D1:BO1" si="0">C1+1</f>
        <v>4</v>
      </c>
      <c r="E1" s="6">
        <f t="shared" si="0"/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CZ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M1" s="6">
        <f t="shared" si="1"/>
        <v>89</v>
      </c>
      <c r="CN1" s="6">
        <f t="shared" si="1"/>
        <v>90</v>
      </c>
      <c r="CO1" s="6">
        <f t="shared" si="1"/>
        <v>91</v>
      </c>
      <c r="CP1" s="6">
        <f t="shared" si="1"/>
        <v>92</v>
      </c>
      <c r="CQ1" s="6">
        <f t="shared" si="1"/>
        <v>93</v>
      </c>
      <c r="CR1" s="6">
        <f t="shared" si="1"/>
        <v>94</v>
      </c>
      <c r="CS1" s="6">
        <f t="shared" si="1"/>
        <v>95</v>
      </c>
      <c r="CT1" s="6">
        <f t="shared" si="1"/>
        <v>96</v>
      </c>
      <c r="CU1" s="6">
        <f t="shared" si="1"/>
        <v>97</v>
      </c>
      <c r="CV1" s="6">
        <f t="shared" si="1"/>
        <v>98</v>
      </c>
      <c r="CW1" s="6">
        <f t="shared" si="1"/>
        <v>99</v>
      </c>
      <c r="CX1" s="6">
        <f t="shared" si="1"/>
        <v>100</v>
      </c>
      <c r="CY1" s="6">
        <f t="shared" si="1"/>
        <v>101</v>
      </c>
      <c r="CZ1" s="6">
        <f t="shared" si="1"/>
        <v>102</v>
      </c>
    </row>
    <row r="3" spans="1:114">
      <c r="B3" s="2"/>
      <c r="C3" s="2"/>
      <c r="D3" s="2"/>
      <c r="E3" s="2"/>
      <c r="F3" s="2"/>
      <c r="G3" s="2"/>
    </row>
    <row r="4" spans="1:114" hidden="1">
      <c r="B4" s="2"/>
      <c r="C4" s="2"/>
      <c r="D4" s="2"/>
      <c r="E4" s="2"/>
      <c r="F4" s="2"/>
      <c r="G4" s="2"/>
      <c r="CJ4" s="25">
        <f>CJ6*1000-CJ5</f>
        <v>1776288.4019960165</v>
      </c>
      <c r="CK4" s="25">
        <f>CK6*1000-CK5</f>
        <v>8756991.5133160651</v>
      </c>
    </row>
    <row r="5" spans="1:114" hidden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</row>
    <row r="6" spans="1:114" hidden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62601.111574333692</v>
      </c>
      <c r="CG6" s="25"/>
      <c r="CH6" s="25"/>
      <c r="CJ6" s="8">
        <f>CJ8/1.2</f>
        <v>301584.40174275998</v>
      </c>
      <c r="CK6" s="8">
        <f>CK8/1.2</f>
        <v>212410.40661970008</v>
      </c>
      <c r="CL6" s="8">
        <f>CL8/1.2</f>
        <v>513994.80836246</v>
      </c>
    </row>
    <row r="7" spans="1:114">
      <c r="B7" s="2">
        <v>2023</v>
      </c>
      <c r="C7" s="2"/>
      <c r="D7" s="2"/>
      <c r="E7" s="2"/>
      <c r="F7" s="2"/>
      <c r="G7" s="2"/>
      <c r="H7" s="6">
        <f>H33/1.2</f>
        <v>2209.08</v>
      </c>
      <c r="I7" s="6">
        <f>2209.08*1.2</f>
        <v>2650.8959999999997</v>
      </c>
      <c r="N7" s="753">
        <f>2749.3*1.2</f>
        <v>3299.1600000000003</v>
      </c>
      <c r="O7" s="753">
        <f>2749.3*1.2</f>
        <v>3299.1600000000003</v>
      </c>
      <c r="P7" s="10"/>
      <c r="Q7" s="10"/>
      <c r="R7" s="753">
        <f>2749.3*1.2</f>
        <v>3299.1600000000003</v>
      </c>
      <c r="V7" s="231"/>
      <c r="Z7" s="8"/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4"/>
      <c r="CG7" s="25"/>
      <c r="CH7" s="25"/>
      <c r="CJ7" s="159"/>
      <c r="CK7" s="159"/>
      <c r="CL7" s="8"/>
    </row>
    <row r="8" spans="1:114" ht="26.25">
      <c r="B8" s="7" t="s">
        <v>914</v>
      </c>
      <c r="C8" s="7"/>
      <c r="D8" s="7"/>
      <c r="E8" s="7"/>
      <c r="F8" s="7"/>
      <c r="G8" s="7"/>
      <c r="T8" s="610">
        <f>SUBTOTAL(9,T14:T141)</f>
        <v>60725.184500000003</v>
      </c>
      <c r="U8" s="611">
        <f>SUBTOTAL(9,U14:U141)</f>
        <v>51920.231000000014</v>
      </c>
      <c r="V8" s="612">
        <f>SUBTOTAL(9,V14:V141)</f>
        <v>2080.3429999999998</v>
      </c>
      <c r="W8" s="181">
        <f>SUBTOTAL(9,W14:W141)</f>
        <v>0</v>
      </c>
      <c r="X8" s="181">
        <v>-6.0000001394655555E-4</v>
      </c>
      <c r="Y8" s="611">
        <f>114919.892-Z8</f>
        <v>194.13349999999627</v>
      </c>
      <c r="Z8" s="611">
        <f>SUBTOTAL(9,Z14:Z141)</f>
        <v>114725.75850000001</v>
      </c>
      <c r="AA8" s="611">
        <f>SUBTOTAL(9,AA14:AA141)</f>
        <v>36729.701000000001</v>
      </c>
      <c r="AB8" s="613">
        <f>SUBTOTAL(9,AB14:AB141)</f>
        <v>38940.140999999996</v>
      </c>
      <c r="AC8" s="614">
        <f>SUBTOTAL(9,AC14:AC141)</f>
        <v>1766.9269999999999</v>
      </c>
      <c r="AD8" s="181">
        <f>SUBTOTAL(9,AD14:AD141)</f>
        <v>0</v>
      </c>
      <c r="AE8" s="181">
        <v>0</v>
      </c>
      <c r="AF8" s="615">
        <f>77580.827-AG8</f>
        <v>144.05800000000454</v>
      </c>
      <c r="AG8" s="611">
        <f t="shared" ref="AG8:AQ8" si="2">SUBTOTAL(9,AG14:AG141)</f>
        <v>77436.769</v>
      </c>
      <c r="AH8" s="616">
        <f t="shared" si="2"/>
        <v>192162.5275</v>
      </c>
      <c r="AI8" s="613">
        <f t="shared" si="2"/>
        <v>97454.885500000004</v>
      </c>
      <c r="AJ8" s="613">
        <f t="shared" si="2"/>
        <v>90860.371999999974</v>
      </c>
      <c r="AK8" s="613">
        <f t="shared" si="2"/>
        <v>3847.27</v>
      </c>
      <c r="AL8" s="181">
        <f t="shared" si="2"/>
        <v>0</v>
      </c>
      <c r="AM8" s="181">
        <f t="shared" si="2"/>
        <v>0</v>
      </c>
      <c r="AN8" s="181">
        <f t="shared" si="2"/>
        <v>0</v>
      </c>
      <c r="AO8" s="611">
        <f t="shared" si="2"/>
        <v>192162.5275</v>
      </c>
      <c r="AP8" s="611">
        <f t="shared" si="2"/>
        <v>192162.5275</v>
      </c>
      <c r="AQ8" s="613">
        <f t="shared" si="2"/>
        <v>192162.5275</v>
      </c>
      <c r="BG8" s="611">
        <f>SUBTOTAL(9,BG14:BG141)</f>
        <v>42414.515530606674</v>
      </c>
      <c r="BH8" s="611">
        <f>SUBTOTAL(9,BH14:BH141)</f>
        <v>32706.818358593748</v>
      </c>
      <c r="BI8" s="611">
        <f>SUBTOTAL(9,BI14:BI141)</f>
        <v>75121.333889200425</v>
      </c>
      <c r="BJ8" s="754">
        <f>BK8-BI8</f>
        <v>152613.85910843336</v>
      </c>
      <c r="BK8" s="776">
        <v>227735.19299763377</v>
      </c>
      <c r="CF8" s="25"/>
      <c r="CG8" s="8"/>
      <c r="CH8" s="8"/>
      <c r="CJ8" s="611">
        <f>SUBTOTAL(9,CJ14:CJ141)</f>
        <v>361901.28209131194</v>
      </c>
      <c r="CK8" s="611">
        <f>SUBTOTAL(9,CK14:CK141)</f>
        <v>254892.4879436401</v>
      </c>
      <c r="CL8" s="611">
        <f>SUBTOTAL(9,CL14:CL141)</f>
        <v>616793.77003495197</v>
      </c>
      <c r="CM8" s="755">
        <f>CL8/1.2</f>
        <v>513994.80836246</v>
      </c>
      <c r="CN8" s="25"/>
      <c r="CO8" s="158">
        <f>503461.528447148*1000</f>
        <v>503461528.44714797</v>
      </c>
      <c r="DG8" s="6"/>
    </row>
    <row r="9" spans="1:114" s="817" customFormat="1" ht="14.25">
      <c r="A9" s="817">
        <v>1</v>
      </c>
      <c r="B9" s="817">
        <v>2</v>
      </c>
      <c r="C9" s="817">
        <f>B9+1</f>
        <v>3</v>
      </c>
      <c r="D9" s="817">
        <f t="shared" ref="D9:BO9" si="3">C9+1</f>
        <v>4</v>
      </c>
      <c r="E9" s="817">
        <f t="shared" si="3"/>
        <v>5</v>
      </c>
      <c r="F9" s="817">
        <f t="shared" si="3"/>
        <v>6</v>
      </c>
      <c r="G9" s="817">
        <f t="shared" si="3"/>
        <v>7</v>
      </c>
      <c r="H9" s="817">
        <f t="shared" si="3"/>
        <v>8</v>
      </c>
      <c r="I9" s="817">
        <f t="shared" si="3"/>
        <v>9</v>
      </c>
      <c r="J9" s="817">
        <f t="shared" si="3"/>
        <v>10</v>
      </c>
      <c r="K9" s="817">
        <f t="shared" si="3"/>
        <v>11</v>
      </c>
      <c r="L9" s="817">
        <f t="shared" si="3"/>
        <v>12</v>
      </c>
      <c r="M9" s="817">
        <f t="shared" si="3"/>
        <v>13</v>
      </c>
      <c r="N9" s="817">
        <f t="shared" si="3"/>
        <v>14</v>
      </c>
      <c r="O9" s="817">
        <f t="shared" si="3"/>
        <v>15</v>
      </c>
      <c r="P9" s="817">
        <f t="shared" si="3"/>
        <v>16</v>
      </c>
      <c r="Q9" s="817">
        <f t="shared" si="3"/>
        <v>17</v>
      </c>
      <c r="R9" s="817">
        <f t="shared" si="3"/>
        <v>18</v>
      </c>
      <c r="S9" s="817">
        <f t="shared" si="3"/>
        <v>19</v>
      </c>
      <c r="T9" s="817">
        <f t="shared" si="3"/>
        <v>20</v>
      </c>
      <c r="U9" s="817">
        <f t="shared" si="3"/>
        <v>21</v>
      </c>
      <c r="V9" s="818">
        <f t="shared" si="3"/>
        <v>22</v>
      </c>
      <c r="W9" s="817">
        <f t="shared" si="3"/>
        <v>23</v>
      </c>
      <c r="X9" s="817">
        <f t="shared" si="3"/>
        <v>24</v>
      </c>
      <c r="Y9" s="817">
        <f t="shared" si="3"/>
        <v>25</v>
      </c>
      <c r="Z9" s="817">
        <f t="shared" si="3"/>
        <v>26</v>
      </c>
      <c r="AA9" s="817">
        <f t="shared" si="3"/>
        <v>27</v>
      </c>
      <c r="AB9" s="817">
        <f t="shared" si="3"/>
        <v>28</v>
      </c>
      <c r="AC9" s="818">
        <f t="shared" si="3"/>
        <v>29</v>
      </c>
      <c r="AD9" s="817">
        <f t="shared" si="3"/>
        <v>30</v>
      </c>
      <c r="AE9" s="817">
        <f t="shared" si="3"/>
        <v>31</v>
      </c>
      <c r="AF9" s="817">
        <f t="shared" si="3"/>
        <v>32</v>
      </c>
      <c r="AG9" s="817">
        <f t="shared" si="3"/>
        <v>33</v>
      </c>
      <c r="AH9" s="817">
        <f t="shared" si="3"/>
        <v>34</v>
      </c>
      <c r="AI9" s="817">
        <f t="shared" si="3"/>
        <v>35</v>
      </c>
      <c r="AJ9" s="817">
        <f t="shared" si="3"/>
        <v>36</v>
      </c>
      <c r="AK9" s="817">
        <f t="shared" si="3"/>
        <v>37</v>
      </c>
      <c r="AL9" s="817">
        <f t="shared" si="3"/>
        <v>38</v>
      </c>
      <c r="AM9" s="817">
        <f t="shared" si="3"/>
        <v>39</v>
      </c>
      <c r="AN9" s="817">
        <f t="shared" si="3"/>
        <v>40</v>
      </c>
      <c r="AO9" s="817">
        <f t="shared" si="3"/>
        <v>41</v>
      </c>
      <c r="AP9" s="817">
        <f t="shared" si="3"/>
        <v>42</v>
      </c>
      <c r="AQ9" s="817">
        <f t="shared" si="3"/>
        <v>43</v>
      </c>
      <c r="AR9" s="817">
        <f t="shared" si="3"/>
        <v>44</v>
      </c>
      <c r="AS9" s="817">
        <f t="shared" si="3"/>
        <v>45</v>
      </c>
      <c r="AT9" s="817">
        <f t="shared" si="3"/>
        <v>46</v>
      </c>
      <c r="AU9" s="817">
        <f t="shared" si="3"/>
        <v>47</v>
      </c>
      <c r="AV9" s="817">
        <f t="shared" si="3"/>
        <v>48</v>
      </c>
      <c r="AW9" s="817">
        <f t="shared" si="3"/>
        <v>49</v>
      </c>
      <c r="AX9" s="817">
        <f t="shared" si="3"/>
        <v>50</v>
      </c>
      <c r="AY9" s="817">
        <f t="shared" si="3"/>
        <v>51</v>
      </c>
      <c r="AZ9" s="817">
        <f t="shared" si="3"/>
        <v>52</v>
      </c>
      <c r="BA9" s="817">
        <f t="shared" si="3"/>
        <v>53</v>
      </c>
      <c r="BB9" s="817">
        <f t="shared" si="3"/>
        <v>54</v>
      </c>
      <c r="BC9" s="817">
        <f t="shared" si="3"/>
        <v>55</v>
      </c>
      <c r="BD9" s="817">
        <f t="shared" si="3"/>
        <v>56</v>
      </c>
      <c r="BE9" s="817">
        <f t="shared" si="3"/>
        <v>57</v>
      </c>
      <c r="BF9" s="817">
        <f t="shared" si="3"/>
        <v>58</v>
      </c>
      <c r="BG9" s="817">
        <f t="shared" si="3"/>
        <v>59</v>
      </c>
      <c r="BH9" s="817">
        <f t="shared" si="3"/>
        <v>60</v>
      </c>
      <c r="BI9" s="817">
        <f t="shared" si="3"/>
        <v>61</v>
      </c>
      <c r="BL9" s="817">
        <f>BI9+1</f>
        <v>62</v>
      </c>
      <c r="BM9" s="817">
        <f t="shared" si="3"/>
        <v>63</v>
      </c>
      <c r="BN9" s="817">
        <f t="shared" si="3"/>
        <v>64</v>
      </c>
      <c r="BO9" s="817">
        <f t="shared" si="3"/>
        <v>65</v>
      </c>
      <c r="BP9" s="817">
        <f t="shared" ref="BP9:CZ9" si="4">BO9+1</f>
        <v>66</v>
      </c>
      <c r="BQ9" s="817">
        <f t="shared" si="4"/>
        <v>67</v>
      </c>
      <c r="BR9" s="817">
        <f t="shared" si="4"/>
        <v>68</v>
      </c>
      <c r="BS9" s="817">
        <f t="shared" si="4"/>
        <v>69</v>
      </c>
      <c r="BT9" s="817">
        <f t="shared" si="4"/>
        <v>70</v>
      </c>
      <c r="BU9" s="817">
        <f t="shared" si="4"/>
        <v>71</v>
      </c>
      <c r="BV9" s="817">
        <f t="shared" si="4"/>
        <v>72</v>
      </c>
      <c r="BW9" s="817">
        <f t="shared" si="4"/>
        <v>73</v>
      </c>
      <c r="BX9" s="817">
        <f t="shared" si="4"/>
        <v>74</v>
      </c>
      <c r="BY9" s="817">
        <f t="shared" si="4"/>
        <v>75</v>
      </c>
      <c r="BZ9" s="817">
        <f t="shared" si="4"/>
        <v>76</v>
      </c>
      <c r="CA9" s="817">
        <f t="shared" si="4"/>
        <v>77</v>
      </c>
      <c r="CB9" s="817">
        <f t="shared" si="4"/>
        <v>78</v>
      </c>
      <c r="CC9" s="817">
        <f t="shared" si="4"/>
        <v>79</v>
      </c>
      <c r="CD9" s="817">
        <f t="shared" si="4"/>
        <v>80</v>
      </c>
      <c r="CE9" s="817">
        <f t="shared" si="4"/>
        <v>81</v>
      </c>
      <c r="CF9" s="817">
        <f t="shared" si="4"/>
        <v>82</v>
      </c>
      <c r="CG9" s="817">
        <f t="shared" si="4"/>
        <v>83</v>
      </c>
      <c r="CH9" s="817">
        <f t="shared" si="4"/>
        <v>84</v>
      </c>
      <c r="CI9" s="817">
        <f t="shared" si="4"/>
        <v>85</v>
      </c>
      <c r="CJ9" s="817">
        <f t="shared" si="4"/>
        <v>86</v>
      </c>
      <c r="CK9" s="817">
        <f t="shared" si="4"/>
        <v>87</v>
      </c>
      <c r="CL9" s="817">
        <f t="shared" si="4"/>
        <v>88</v>
      </c>
      <c r="CM9" s="817">
        <f t="shared" si="4"/>
        <v>89</v>
      </c>
      <c r="CN9" s="817">
        <f t="shared" si="4"/>
        <v>90</v>
      </c>
      <c r="CO9" s="817">
        <f t="shared" si="4"/>
        <v>91</v>
      </c>
      <c r="CP9" s="817">
        <f t="shared" si="4"/>
        <v>92</v>
      </c>
      <c r="CQ9" s="817">
        <f t="shared" si="4"/>
        <v>93</v>
      </c>
      <c r="CR9" s="817">
        <f t="shared" si="4"/>
        <v>94</v>
      </c>
      <c r="CS9" s="817">
        <f t="shared" si="4"/>
        <v>95</v>
      </c>
      <c r="CT9" s="817">
        <f t="shared" si="4"/>
        <v>96</v>
      </c>
      <c r="CU9" s="817">
        <f t="shared" si="4"/>
        <v>97</v>
      </c>
      <c r="CV9" s="817">
        <f t="shared" si="4"/>
        <v>98</v>
      </c>
      <c r="CW9" s="817">
        <f t="shared" si="4"/>
        <v>99</v>
      </c>
      <c r="CX9" s="817">
        <f t="shared" si="4"/>
        <v>100</v>
      </c>
      <c r="CY9" s="817">
        <f t="shared" si="4"/>
        <v>101</v>
      </c>
      <c r="CZ9" s="817">
        <f t="shared" si="4"/>
        <v>102</v>
      </c>
    </row>
    <row r="10" spans="1:114" ht="38.25" customHeight="1">
      <c r="A10" s="1917" t="s">
        <v>233</v>
      </c>
      <c r="B10" s="1896" t="s">
        <v>134</v>
      </c>
      <c r="C10" s="1896" t="s">
        <v>1</v>
      </c>
      <c r="D10" s="1896" t="s">
        <v>0</v>
      </c>
      <c r="E10" s="1896" t="s">
        <v>223</v>
      </c>
      <c r="F10" s="1906" t="s">
        <v>2</v>
      </c>
      <c r="G10" s="1896" t="s">
        <v>3</v>
      </c>
      <c r="H10" s="1918" t="s">
        <v>230</v>
      </c>
      <c r="I10" s="1918"/>
      <c r="J10" s="1918"/>
      <c r="K10" s="1918"/>
      <c r="L10" s="1918"/>
      <c r="M10" s="1918"/>
      <c r="N10" s="1918"/>
      <c r="O10" s="1918"/>
      <c r="P10" s="1918"/>
      <c r="Q10" s="1918"/>
      <c r="R10" s="1918"/>
      <c r="S10" s="1918"/>
      <c r="T10" s="1919" t="s">
        <v>920</v>
      </c>
      <c r="U10" s="1919"/>
      <c r="V10" s="1919"/>
      <c r="W10" s="1919"/>
      <c r="X10" s="1919"/>
      <c r="Y10" s="1919"/>
      <c r="Z10" s="1919"/>
      <c r="AA10" s="1919"/>
      <c r="AB10" s="1919"/>
      <c r="AC10" s="1919"/>
      <c r="AD10" s="1919"/>
      <c r="AE10" s="1919"/>
      <c r="AF10" s="1919"/>
      <c r="AG10" s="1919"/>
      <c r="AH10" s="1923" t="s">
        <v>267</v>
      </c>
      <c r="AI10" s="1924"/>
      <c r="AJ10" s="1924"/>
      <c r="AK10" s="1924"/>
      <c r="AL10" s="1924"/>
      <c r="AM10" s="1924"/>
      <c r="AN10" s="1924"/>
      <c r="AO10" s="1924"/>
      <c r="AP10" s="1924"/>
      <c r="AQ10" s="1925"/>
      <c r="AR10" s="148"/>
      <c r="AS10" s="1926" t="s">
        <v>268</v>
      </c>
      <c r="AT10" s="1926"/>
      <c r="AU10" s="1926"/>
      <c r="AV10" s="1926"/>
      <c r="AW10" s="1926"/>
      <c r="AX10" s="1926"/>
      <c r="AY10" s="1926"/>
      <c r="AZ10" s="1926"/>
      <c r="BA10" s="1926"/>
      <c r="BB10" s="1926"/>
      <c r="BC10" s="1926"/>
      <c r="BD10" s="1926"/>
      <c r="BE10" s="1926"/>
      <c r="BF10" s="1926"/>
      <c r="BG10" s="1927" t="s">
        <v>269</v>
      </c>
      <c r="BH10" s="1928"/>
      <c r="BI10" s="1929"/>
      <c r="BJ10" s="149" t="s">
        <v>270</v>
      </c>
      <c r="BK10" s="149" t="s">
        <v>271</v>
      </c>
      <c r="BL10" s="1945" t="s">
        <v>190</v>
      </c>
      <c r="BM10" s="1945"/>
      <c r="BN10" s="1945"/>
      <c r="BO10" s="1945"/>
      <c r="BP10" s="1945"/>
      <c r="BQ10" s="1945"/>
      <c r="BR10" s="1945"/>
      <c r="BS10" s="1945"/>
      <c r="BT10" s="1945"/>
      <c r="BU10" s="1945"/>
      <c r="BV10" s="1945"/>
      <c r="BW10" s="1945"/>
      <c r="BX10" s="1945"/>
      <c r="BY10" s="1945"/>
      <c r="BZ10" s="1946" t="s">
        <v>192</v>
      </c>
      <c r="CA10" s="1946" t="s">
        <v>193</v>
      </c>
      <c r="CB10" s="1947" t="s">
        <v>201</v>
      </c>
      <c r="CC10" s="103" t="s">
        <v>191</v>
      </c>
      <c r="CD10" s="103" t="s">
        <v>191</v>
      </c>
      <c r="CE10" s="103" t="s">
        <v>202</v>
      </c>
      <c r="CF10" s="103" t="s">
        <v>197</v>
      </c>
      <c r="CG10" s="104" t="s">
        <v>199</v>
      </c>
      <c r="CH10" s="105" t="s">
        <v>198</v>
      </c>
      <c r="CI10" s="106"/>
      <c r="CJ10" s="1950" t="s">
        <v>277</v>
      </c>
      <c r="CK10" s="1951"/>
      <c r="CL10" s="1952"/>
      <c r="CM10" s="107" t="s">
        <v>211</v>
      </c>
      <c r="CN10" s="1932" t="s">
        <v>228</v>
      </c>
      <c r="CO10" s="1933"/>
      <c r="CP10" s="1933"/>
      <c r="CQ10" s="1933"/>
      <c r="CR10" s="1933"/>
      <c r="CS10" s="1933"/>
      <c r="CT10" s="1933"/>
      <c r="CU10" s="1934"/>
      <c r="CV10" s="1932" t="s">
        <v>229</v>
      </c>
      <c r="CW10" s="1933"/>
      <c r="CX10" s="1934"/>
      <c r="CY10" s="1926" t="s">
        <v>221</v>
      </c>
      <c r="CZ10" s="1926"/>
      <c r="DA10" s="106"/>
      <c r="DB10" s="106" t="s">
        <v>263</v>
      </c>
      <c r="DC10" s="106"/>
      <c r="DD10" s="106"/>
      <c r="DE10" s="106"/>
      <c r="DF10" s="106"/>
      <c r="DG10" s="106"/>
      <c r="DH10" s="106"/>
      <c r="DI10" s="106"/>
      <c r="DJ10" s="106"/>
    </row>
    <row r="11" spans="1:114" ht="28.5" customHeight="1">
      <c r="A11" s="1917"/>
      <c r="B11" s="1897"/>
      <c r="C11" s="1897"/>
      <c r="D11" s="1897"/>
      <c r="E11" s="1897"/>
      <c r="F11" s="1907"/>
      <c r="G11" s="1897"/>
      <c r="H11" s="1920" t="s">
        <v>918</v>
      </c>
      <c r="I11" s="1921"/>
      <c r="J11" s="1921"/>
      <c r="K11" s="1921"/>
      <c r="L11" s="1921"/>
      <c r="M11" s="1922"/>
      <c r="N11" s="1920" t="s">
        <v>919</v>
      </c>
      <c r="O11" s="1921"/>
      <c r="P11" s="1921"/>
      <c r="Q11" s="1921"/>
      <c r="R11" s="1921"/>
      <c r="S11" s="1922"/>
      <c r="T11" s="1935" t="s">
        <v>265</v>
      </c>
      <c r="U11" s="1936"/>
      <c r="V11" s="1936"/>
      <c r="W11" s="1936"/>
      <c r="X11" s="1936"/>
      <c r="Y11" s="1936"/>
      <c r="Z11" s="1937"/>
      <c r="AA11" s="1935" t="s">
        <v>266</v>
      </c>
      <c r="AB11" s="1936"/>
      <c r="AC11" s="1936"/>
      <c r="AD11" s="1936"/>
      <c r="AE11" s="1936"/>
      <c r="AF11" s="1936"/>
      <c r="AG11" s="1937"/>
      <c r="AH11" s="816" t="s">
        <v>208</v>
      </c>
      <c r="AI11" s="1938"/>
      <c r="AJ11" s="1939"/>
      <c r="AK11" s="1939"/>
      <c r="AL11" s="1939"/>
      <c r="AM11" s="1939"/>
      <c r="AN11" s="1939"/>
      <c r="AO11" s="1939"/>
      <c r="AP11" s="1939"/>
      <c r="AQ11" s="1940"/>
      <c r="AR11" s="815" t="s">
        <v>210</v>
      </c>
      <c r="AS11" s="1941" t="s">
        <v>265</v>
      </c>
      <c r="AT11" s="1942"/>
      <c r="AU11" s="1942"/>
      <c r="AV11" s="1942"/>
      <c r="AW11" s="1942"/>
      <c r="AX11" s="1942"/>
      <c r="AY11" s="1943"/>
      <c r="AZ11" s="1941" t="s">
        <v>266</v>
      </c>
      <c r="BA11" s="1942"/>
      <c r="BB11" s="1942"/>
      <c r="BC11" s="1942"/>
      <c r="BD11" s="1942"/>
      <c r="BE11" s="1942"/>
      <c r="BF11" s="1943"/>
      <c r="BG11" s="108" t="s">
        <v>225</v>
      </c>
      <c r="BH11" s="108" t="s">
        <v>226</v>
      </c>
      <c r="BI11" s="109" t="s">
        <v>163</v>
      </c>
      <c r="BJ11" s="109"/>
      <c r="BK11" s="109"/>
      <c r="BL11" s="1944" t="s">
        <v>273</v>
      </c>
      <c r="BM11" s="1944"/>
      <c r="BN11" s="1944"/>
      <c r="BO11" s="1944"/>
      <c r="BP11" s="1944"/>
      <c r="BQ11" s="1944"/>
      <c r="BR11" s="1944"/>
      <c r="BS11" s="1944" t="s">
        <v>274</v>
      </c>
      <c r="BT11" s="1944"/>
      <c r="BU11" s="1944"/>
      <c r="BV11" s="1944"/>
      <c r="BW11" s="1944"/>
      <c r="BX11" s="1944"/>
      <c r="BY11" s="1944"/>
      <c r="BZ11" s="1946"/>
      <c r="CA11" s="1946"/>
      <c r="CB11" s="1948"/>
      <c r="CC11" s="109" t="s">
        <v>194</v>
      </c>
      <c r="CD11" s="110" t="s">
        <v>195</v>
      </c>
      <c r="CE11" s="109" t="s">
        <v>200</v>
      </c>
      <c r="CF11" s="109"/>
      <c r="CG11" s="111"/>
      <c r="CH11" s="106"/>
      <c r="CI11" s="106"/>
      <c r="CJ11" s="1953" t="s">
        <v>203</v>
      </c>
      <c r="CK11" s="1953" t="s">
        <v>204</v>
      </c>
      <c r="CL11" s="1953" t="s">
        <v>205</v>
      </c>
      <c r="CM11" s="1956"/>
      <c r="CN11" s="112"/>
      <c r="CO11" s="112"/>
      <c r="CP11" s="112"/>
      <c r="CQ11" s="112"/>
      <c r="CR11" s="112"/>
      <c r="CS11" s="112"/>
      <c r="CT11" s="112"/>
      <c r="CU11" s="112"/>
      <c r="CV11" s="112" t="s">
        <v>218</v>
      </c>
      <c r="CW11" s="112" t="s">
        <v>218</v>
      </c>
      <c r="CX11" s="112" t="s">
        <v>218</v>
      </c>
      <c r="CY11" s="1956" t="s">
        <v>203</v>
      </c>
      <c r="CZ11" s="1956" t="s">
        <v>204</v>
      </c>
      <c r="DA11" s="106"/>
      <c r="DB11" s="106" t="s">
        <v>264</v>
      </c>
      <c r="DC11" s="106"/>
      <c r="DD11" s="106"/>
      <c r="DE11" s="106"/>
      <c r="DF11" s="106"/>
      <c r="DG11" s="106"/>
      <c r="DH11" s="106"/>
      <c r="DI11" s="106"/>
      <c r="DJ11" s="106"/>
    </row>
    <row r="12" spans="1:114" ht="45" customHeight="1">
      <c r="A12" s="1917"/>
      <c r="B12" s="1897"/>
      <c r="C12" s="1897"/>
      <c r="D12" s="1897"/>
      <c r="E12" s="1897"/>
      <c r="F12" s="1907"/>
      <c r="G12" s="1897"/>
      <c r="H12" s="1896" t="s">
        <v>207</v>
      </c>
      <c r="I12" s="1896" t="s">
        <v>909</v>
      </c>
      <c r="J12" s="1901" t="s">
        <v>139</v>
      </c>
      <c r="K12" s="1902"/>
      <c r="L12" s="1896" t="s">
        <v>5</v>
      </c>
      <c r="M12" s="1896" t="s">
        <v>6</v>
      </c>
      <c r="N12" s="1896" t="s">
        <v>207</v>
      </c>
      <c r="O12" s="1896" t="s">
        <v>909</v>
      </c>
      <c r="P12" s="1901" t="s">
        <v>139</v>
      </c>
      <c r="Q12" s="1902"/>
      <c r="R12" s="1896" t="s">
        <v>5</v>
      </c>
      <c r="S12" s="1896" t="s">
        <v>6</v>
      </c>
      <c r="T12" s="1930" t="s">
        <v>909</v>
      </c>
      <c r="U12" s="1901" t="s">
        <v>139</v>
      </c>
      <c r="V12" s="1902"/>
      <c r="W12" s="1896" t="s">
        <v>5</v>
      </c>
      <c r="X12" s="1896" t="s">
        <v>6</v>
      </c>
      <c r="Y12" s="1896" t="s">
        <v>164</v>
      </c>
      <c r="Z12" s="1896" t="s">
        <v>206</v>
      </c>
      <c r="AA12" s="1930" t="s">
        <v>909</v>
      </c>
      <c r="AB12" s="1901" t="s">
        <v>139</v>
      </c>
      <c r="AC12" s="1902"/>
      <c r="AD12" s="1896" t="s">
        <v>5</v>
      </c>
      <c r="AE12" s="1896" t="s">
        <v>6</v>
      </c>
      <c r="AF12" s="1896" t="s">
        <v>164</v>
      </c>
      <c r="AG12" s="1896" t="s">
        <v>206</v>
      </c>
      <c r="AH12" s="804" t="s">
        <v>209</v>
      </c>
      <c r="AI12" s="1896" t="s">
        <v>909</v>
      </c>
      <c r="AJ12" s="1901" t="s">
        <v>139</v>
      </c>
      <c r="AK12" s="1902"/>
      <c r="AL12" s="1896" t="s">
        <v>5</v>
      </c>
      <c r="AM12" s="1896" t="s">
        <v>6</v>
      </c>
      <c r="AN12" s="1896" t="s">
        <v>164</v>
      </c>
      <c r="AO12" s="1896" t="s">
        <v>173</v>
      </c>
      <c r="AP12" s="1896" t="s">
        <v>174</v>
      </c>
      <c r="AQ12" s="1896" t="s">
        <v>175</v>
      </c>
      <c r="AR12" s="813"/>
      <c r="AS12" s="1959" t="s">
        <v>4</v>
      </c>
      <c r="AT12" s="1961" t="s">
        <v>139</v>
      </c>
      <c r="AU12" s="1962"/>
      <c r="AV12" s="1959" t="s">
        <v>5</v>
      </c>
      <c r="AW12" s="1959" t="s">
        <v>6</v>
      </c>
      <c r="AX12" s="1959" t="s">
        <v>171</v>
      </c>
      <c r="AY12" s="1959" t="s">
        <v>172</v>
      </c>
      <c r="AZ12" s="1959" t="s">
        <v>4</v>
      </c>
      <c r="BA12" s="1961" t="s">
        <v>139</v>
      </c>
      <c r="BB12" s="1962"/>
      <c r="BC12" s="1959" t="s">
        <v>5</v>
      </c>
      <c r="BD12" s="1967" t="s">
        <v>6</v>
      </c>
      <c r="BE12" s="1959" t="s">
        <v>171</v>
      </c>
      <c r="BF12" s="1959" t="s">
        <v>172</v>
      </c>
      <c r="BG12" s="112"/>
      <c r="BH12" s="112"/>
      <c r="BI12" s="112">
        <f>BG12+BH12</f>
        <v>0</v>
      </c>
      <c r="BJ12" s="150"/>
      <c r="BK12" s="150"/>
      <c r="BL12" s="1959" t="s">
        <v>4</v>
      </c>
      <c r="BM12" s="1961" t="s">
        <v>139</v>
      </c>
      <c r="BN12" s="1962"/>
      <c r="BO12" s="1959" t="s">
        <v>5</v>
      </c>
      <c r="BP12" s="1959" t="s">
        <v>6</v>
      </c>
      <c r="BQ12" s="1959" t="s">
        <v>171</v>
      </c>
      <c r="BR12" s="1959" t="s">
        <v>172</v>
      </c>
      <c r="BS12" s="1959" t="s">
        <v>4</v>
      </c>
      <c r="BT12" s="1961" t="s">
        <v>139</v>
      </c>
      <c r="BU12" s="1962"/>
      <c r="BV12" s="1959" t="s">
        <v>5</v>
      </c>
      <c r="BW12" s="1967" t="s">
        <v>6</v>
      </c>
      <c r="BX12" s="1959" t="s">
        <v>171</v>
      </c>
      <c r="BY12" s="1959" t="s">
        <v>172</v>
      </c>
      <c r="BZ12" s="1946"/>
      <c r="CA12" s="1946"/>
      <c r="CB12" s="1948"/>
      <c r="CC12" s="112"/>
      <c r="CD12" s="112"/>
      <c r="CE12" s="112"/>
      <c r="CF12" s="112"/>
      <c r="CG12" s="113"/>
      <c r="CH12" s="106"/>
      <c r="CI12" s="106"/>
      <c r="CJ12" s="1954"/>
      <c r="CK12" s="1954"/>
      <c r="CL12" s="1954"/>
      <c r="CM12" s="1957"/>
      <c r="CN12" s="107" t="s">
        <v>216</v>
      </c>
      <c r="CO12" s="107" t="s">
        <v>217</v>
      </c>
      <c r="CP12" s="112" t="s">
        <v>215</v>
      </c>
      <c r="CQ12" s="107" t="s">
        <v>216</v>
      </c>
      <c r="CR12" s="107" t="s">
        <v>217</v>
      </c>
      <c r="CS12" s="112" t="s">
        <v>215</v>
      </c>
      <c r="CT12" s="107" t="s">
        <v>216</v>
      </c>
      <c r="CU12" s="112"/>
      <c r="CV12" s="112" t="s">
        <v>203</v>
      </c>
      <c r="CW12" s="112" t="s">
        <v>204</v>
      </c>
      <c r="CX12" s="112" t="s">
        <v>205</v>
      </c>
      <c r="CY12" s="1957"/>
      <c r="CZ12" s="1957"/>
      <c r="DA12" s="106"/>
      <c r="DB12" s="106"/>
      <c r="DC12" s="106"/>
      <c r="DD12" s="106"/>
      <c r="DE12" s="106"/>
      <c r="DF12" s="106"/>
      <c r="DG12" s="220" t="s">
        <v>285</v>
      </c>
      <c r="DH12" s="220"/>
      <c r="DI12" s="220"/>
      <c r="DJ12" s="106"/>
    </row>
    <row r="13" spans="1:114" ht="42" customHeight="1">
      <c r="A13" s="1917"/>
      <c r="B13" s="1905"/>
      <c r="C13" s="1905"/>
      <c r="D13" s="1905"/>
      <c r="E13" s="1905"/>
      <c r="F13" s="1908"/>
      <c r="G13" s="1905"/>
      <c r="H13" s="1905"/>
      <c r="I13" s="1905"/>
      <c r="J13" s="806" t="s">
        <v>149</v>
      </c>
      <c r="K13" s="806" t="s">
        <v>150</v>
      </c>
      <c r="L13" s="1905"/>
      <c r="M13" s="1905"/>
      <c r="N13" s="1905"/>
      <c r="O13" s="1905"/>
      <c r="P13" s="806" t="s">
        <v>149</v>
      </c>
      <c r="Q13" s="806" t="s">
        <v>150</v>
      </c>
      <c r="R13" s="1905"/>
      <c r="S13" s="1905"/>
      <c r="T13" s="1931"/>
      <c r="U13" s="806" t="s">
        <v>149</v>
      </c>
      <c r="V13" s="223" t="s">
        <v>150</v>
      </c>
      <c r="W13" s="1905"/>
      <c r="X13" s="1905"/>
      <c r="Y13" s="1905"/>
      <c r="Z13" s="1905"/>
      <c r="AA13" s="1931"/>
      <c r="AB13" s="806" t="s">
        <v>149</v>
      </c>
      <c r="AC13" s="223" t="s">
        <v>150</v>
      </c>
      <c r="AD13" s="1905"/>
      <c r="AE13" s="1905"/>
      <c r="AF13" s="1905"/>
      <c r="AG13" s="1905"/>
      <c r="AH13" s="805"/>
      <c r="AI13" s="1905"/>
      <c r="AJ13" s="806" t="s">
        <v>149</v>
      </c>
      <c r="AK13" s="806" t="s">
        <v>150</v>
      </c>
      <c r="AL13" s="1905"/>
      <c r="AM13" s="1905"/>
      <c r="AN13" s="1905"/>
      <c r="AO13" s="1905"/>
      <c r="AP13" s="1905"/>
      <c r="AQ13" s="1905"/>
      <c r="AR13" s="814"/>
      <c r="AS13" s="1960"/>
      <c r="AT13" s="114" t="s">
        <v>149</v>
      </c>
      <c r="AU13" s="114" t="s">
        <v>150</v>
      </c>
      <c r="AV13" s="1960"/>
      <c r="AW13" s="1960"/>
      <c r="AX13" s="1960"/>
      <c r="AY13" s="1960"/>
      <c r="AZ13" s="1960"/>
      <c r="BA13" s="114" t="s">
        <v>149</v>
      </c>
      <c r="BB13" s="114" t="s">
        <v>150</v>
      </c>
      <c r="BC13" s="1960"/>
      <c r="BD13" s="1968"/>
      <c r="BE13" s="1960"/>
      <c r="BF13" s="1960"/>
      <c r="BG13" s="112"/>
      <c r="BH13" s="112"/>
      <c r="BI13" s="112">
        <f t="shared" ref="BI13:BI67" si="5">BG13+BH13</f>
        <v>0</v>
      </c>
      <c r="BJ13" s="151"/>
      <c r="BK13" s="151"/>
      <c r="BL13" s="1960"/>
      <c r="BM13" s="114" t="s">
        <v>149</v>
      </c>
      <c r="BN13" s="114" t="s">
        <v>150</v>
      </c>
      <c r="BO13" s="1960"/>
      <c r="BP13" s="1960"/>
      <c r="BQ13" s="1960"/>
      <c r="BR13" s="1960"/>
      <c r="BS13" s="1960"/>
      <c r="BT13" s="114" t="s">
        <v>149</v>
      </c>
      <c r="BU13" s="114" t="s">
        <v>150</v>
      </c>
      <c r="BV13" s="1960"/>
      <c r="BW13" s="1968"/>
      <c r="BX13" s="1960"/>
      <c r="BY13" s="1960"/>
      <c r="BZ13" s="1946"/>
      <c r="CA13" s="1946"/>
      <c r="CB13" s="1949"/>
      <c r="CC13" s="112"/>
      <c r="CD13" s="112"/>
      <c r="CE13" s="112"/>
      <c r="CF13" s="112"/>
      <c r="CG13" s="113"/>
      <c r="CH13" s="106"/>
      <c r="CI13" s="106"/>
      <c r="CJ13" s="1955"/>
      <c r="CK13" s="1955"/>
      <c r="CL13" s="1955"/>
      <c r="CM13" s="1958"/>
      <c r="CN13" s="112" t="s">
        <v>212</v>
      </c>
      <c r="CO13" s="112"/>
      <c r="CP13" s="112"/>
      <c r="CQ13" s="112" t="s">
        <v>213</v>
      </c>
      <c r="CR13" s="112"/>
      <c r="CS13" s="112"/>
      <c r="CT13" s="112" t="s">
        <v>227</v>
      </c>
      <c r="CU13" s="107" t="s">
        <v>214</v>
      </c>
      <c r="CV13" s="112"/>
      <c r="CW13" s="112"/>
      <c r="CX13" s="112"/>
      <c r="CY13" s="1958"/>
      <c r="CZ13" s="1958"/>
      <c r="DA13" s="106"/>
      <c r="DB13" s="106"/>
      <c r="DC13" s="106"/>
      <c r="DD13" s="106"/>
      <c r="DE13" s="106"/>
      <c r="DF13" s="221"/>
      <c r="DG13" s="221" t="s">
        <v>203</v>
      </c>
      <c r="DH13" s="221" t="s">
        <v>204</v>
      </c>
      <c r="DI13" s="221" t="s">
        <v>208</v>
      </c>
      <c r="DJ13" s="221"/>
    </row>
    <row r="14" spans="1:114" s="20" customFormat="1" ht="67.5" customHeight="1">
      <c r="A14" s="20">
        <v>1</v>
      </c>
      <c r="B14" s="1896" t="s">
        <v>7</v>
      </c>
      <c r="C14" s="22" t="s">
        <v>69</v>
      </c>
      <c r="D14" s="749" t="s">
        <v>141</v>
      </c>
      <c r="E14" s="617">
        <v>4632024035</v>
      </c>
      <c r="F14" s="806" t="s">
        <v>8</v>
      </c>
      <c r="G14" s="752" t="s">
        <v>890</v>
      </c>
      <c r="H14" s="16">
        <f>2653.36*1.2</f>
        <v>3184.0320000000002</v>
      </c>
      <c r="I14" s="16">
        <f>2653.36*1.2</f>
        <v>3184.0320000000002</v>
      </c>
      <c r="J14" s="38"/>
      <c r="K14" s="38"/>
      <c r="L14" s="16">
        <f>2653.36*1.2</f>
        <v>3184.0320000000002</v>
      </c>
      <c r="M14" s="10"/>
      <c r="N14" s="622">
        <f>2749.3*1.2</f>
        <v>3299.1600000000003</v>
      </c>
      <c r="O14" s="622">
        <f>2749.3*1.2</f>
        <v>3299.1600000000003</v>
      </c>
      <c r="P14" s="10"/>
      <c r="Q14" s="10"/>
      <c r="R14" s="622">
        <f>2749.3*1.2</f>
        <v>3299.1600000000003</v>
      </c>
      <c r="S14" s="10"/>
      <c r="T14" s="35">
        <v>667.96299999999997</v>
      </c>
      <c r="U14" s="15"/>
      <c r="V14" s="208"/>
      <c r="W14" s="15"/>
      <c r="X14" s="15"/>
      <c r="Y14" s="15"/>
      <c r="Z14" s="35">
        <f>SUM(T14:W14)</f>
        <v>667.96299999999997</v>
      </c>
      <c r="AA14" s="35">
        <v>392.226</v>
      </c>
      <c r="AB14" s="15"/>
      <c r="AC14" s="208"/>
      <c r="AD14" s="15"/>
      <c r="AE14" s="15"/>
      <c r="AF14" s="15"/>
      <c r="AG14" s="35">
        <f>SUM(AA14:AD14)</f>
        <v>392.226</v>
      </c>
      <c r="AH14" s="35">
        <f>Z14+AG14</f>
        <v>1060.1889999999999</v>
      </c>
      <c r="AI14" s="15">
        <f t="shared" ref="AI14:AM29" si="6">T14+AA14</f>
        <v>1060.1889999999999</v>
      </c>
      <c r="AJ14" s="15">
        <f t="shared" si="6"/>
        <v>0</v>
      </c>
      <c r="AK14" s="15">
        <f t="shared" si="6"/>
        <v>0</v>
      </c>
      <c r="AL14" s="15">
        <f t="shared" si="6"/>
        <v>0</v>
      </c>
      <c r="AM14" s="15">
        <f t="shared" si="6"/>
        <v>0</v>
      </c>
      <c r="AN14" s="15"/>
      <c r="AO14" s="15">
        <f t="shared" ref="AO14:AO75" si="7">SUM(AI14:AN14)</f>
        <v>1060.1889999999999</v>
      </c>
      <c r="AP14" s="15">
        <f>SUM(AI14:AM14)</f>
        <v>1060.1889999999999</v>
      </c>
      <c r="AQ14" s="15">
        <f>SUM(AI14:AL14)</f>
        <v>1060.1889999999999</v>
      </c>
      <c r="AR14" s="127">
        <f>AQ14-AH14</f>
        <v>0</v>
      </c>
      <c r="AS14" s="112">
        <f t="shared" ref="AS14:AW44" si="8">I14*AI14</f>
        <v>3375675.7020479995</v>
      </c>
      <c r="AT14" s="112">
        <f t="shared" si="8"/>
        <v>0</v>
      </c>
      <c r="AU14" s="112">
        <f t="shared" si="8"/>
        <v>0</v>
      </c>
      <c r="AV14" s="112">
        <f t="shared" si="8"/>
        <v>0</v>
      </c>
      <c r="AW14" s="112">
        <f t="shared" si="8"/>
        <v>0</v>
      </c>
      <c r="AX14" s="112">
        <f>SUM(AS14:AW14)</f>
        <v>3375675.7020479995</v>
      </c>
      <c r="AY14" s="112">
        <f>SUM(AS14:AV14)</f>
        <v>3375675.7020479995</v>
      </c>
      <c r="AZ14" s="112">
        <f t="shared" ref="AZ14:BD44" si="9">O14*AI14</f>
        <v>3497733.1412399998</v>
      </c>
      <c r="BA14" s="112">
        <f t="shared" si="9"/>
        <v>0</v>
      </c>
      <c r="BB14" s="112">
        <f t="shared" si="9"/>
        <v>0</v>
      </c>
      <c r="BC14" s="112">
        <f t="shared" si="9"/>
        <v>0</v>
      </c>
      <c r="BD14" s="112">
        <f t="shared" si="9"/>
        <v>0</v>
      </c>
      <c r="BE14" s="112">
        <f>SUM(AZ14:BD14)</f>
        <v>3497733.1412399998</v>
      </c>
      <c r="BF14" s="112">
        <f>SUM(AZ14:BC14)</f>
        <v>3497733.1412399998</v>
      </c>
      <c r="BG14" s="112"/>
      <c r="BH14" s="112"/>
      <c r="BI14" s="112">
        <f t="shared" si="5"/>
        <v>0</v>
      </c>
      <c r="BJ14" s="112"/>
      <c r="BK14" s="112"/>
      <c r="BL14" s="112">
        <f t="shared" ref="BL14:BP44" si="10">I14*T14</f>
        <v>2126815.5668159998</v>
      </c>
      <c r="BM14" s="112">
        <f t="shared" si="10"/>
        <v>0</v>
      </c>
      <c r="BN14" s="112">
        <f t="shared" si="10"/>
        <v>0</v>
      </c>
      <c r="BO14" s="112">
        <f t="shared" si="10"/>
        <v>0</v>
      </c>
      <c r="BP14" s="112">
        <f t="shared" si="10"/>
        <v>0</v>
      </c>
      <c r="BQ14" s="112">
        <f>BL14+BM14+BN14+BO14+BP14</f>
        <v>2126815.5668159998</v>
      </c>
      <c r="BR14" s="112">
        <f>BQ14-BP14</f>
        <v>2126815.5668159998</v>
      </c>
      <c r="BS14" s="112">
        <f t="shared" ref="BS14:BU44" si="11">O14*AA14</f>
        <v>1294016.3301600001</v>
      </c>
      <c r="BT14" s="112">
        <f t="shared" si="11"/>
        <v>0</v>
      </c>
      <c r="BU14" s="112">
        <f t="shared" si="11"/>
        <v>0</v>
      </c>
      <c r="BV14" s="112">
        <f t="shared" ref="BV14:BV77" si="12">R14*W14</f>
        <v>0</v>
      </c>
      <c r="BW14" s="112">
        <f t="shared" ref="BW14:BW77" si="13">S14*AE14</f>
        <v>0</v>
      </c>
      <c r="BX14" s="112">
        <f>BS14+BT14+BU14+BV14+BW14</f>
        <v>1294016.3301600001</v>
      </c>
      <c r="BY14" s="112">
        <f>BX14-BW14</f>
        <v>1294016.3301600001</v>
      </c>
      <c r="BZ14" s="113">
        <f>BM14+BT14</f>
        <v>0</v>
      </c>
      <c r="CA14" s="113">
        <f>BN14+BU14</f>
        <v>0</v>
      </c>
      <c r="CB14" s="113">
        <f>BZ14+CA14</f>
        <v>0</v>
      </c>
      <c r="CC14" s="113" t="e">
        <f>BZ14/AJ14</f>
        <v>#DIV/0!</v>
      </c>
      <c r="CD14" s="113" t="e">
        <f>CA14/AK14</f>
        <v>#DIV/0!</v>
      </c>
      <c r="CE14" s="113" t="e">
        <f>CB14/(AJ14+AK14)</f>
        <v>#DIV/0!</v>
      </c>
      <c r="CF14" s="113" t="e">
        <f t="shared" ref="CF14:CF77" si="14">CB14/(U14+V14+AB14+AC14)</f>
        <v>#DIV/0!</v>
      </c>
      <c r="CG14" s="113">
        <f t="shared" ref="CG14:CG77" si="15">I14*(U14+V14)+O14*(AB14+AC14)</f>
        <v>0</v>
      </c>
      <c r="CH14" s="106" t="e">
        <f>CG14/(AJ14+AK14)</f>
        <v>#DIV/0!</v>
      </c>
      <c r="CI14" s="106"/>
      <c r="CJ14" s="208">
        <f t="shared" ref="CJ14:CJ77" si="16">H14*Z14/1000</f>
        <v>2126.8155668159998</v>
      </c>
      <c r="CK14" s="208">
        <f t="shared" ref="CK14:CK77" si="17">N14*AG14/1000</f>
        <v>1294.0163301600001</v>
      </c>
      <c r="CL14" s="208">
        <f>CJ14+CK14</f>
        <v>3420.8318969759998</v>
      </c>
      <c r="CM14" s="112">
        <f t="shared" ref="CM14:CM77" si="18">H14*Z14+N14*AG14</f>
        <v>3420831.8969759997</v>
      </c>
      <c r="CN14" s="112">
        <f t="shared" ref="CN14:CN77" si="19">I14*AI14+J14*AJ14+K14*AK14+L14*AL14</f>
        <v>3375675.7020479995</v>
      </c>
      <c r="CO14" s="112">
        <f t="shared" ref="CO14:CO77" si="20">I14*AI14+J14*(AJ14+AK14)+L14*AL14</f>
        <v>3375675.7020479995</v>
      </c>
      <c r="CP14" s="112">
        <f t="shared" ref="CP14:CP77" si="21">I14*T14+J14*U14+K14*V14+L14*W14</f>
        <v>2126815.5668159998</v>
      </c>
      <c r="CQ14" s="112">
        <f t="shared" ref="CQ14:CQ77" si="22">O14*AI14+P14*AJ14+Q14*AK14+R14*AL14</f>
        <v>3497733.1412399998</v>
      </c>
      <c r="CR14" s="112">
        <f t="shared" ref="CR14:CR77" si="23">O14*AI14+P14*(AJ14+AK14)+R14*AL14</f>
        <v>3497733.1412399998</v>
      </c>
      <c r="CS14" s="112">
        <f t="shared" ref="CS14:CS77" si="24">O14*AA14+P14*AB14+Q14*AC14+R14*AD14</f>
        <v>1294016.3301600001</v>
      </c>
      <c r="CT14" s="112">
        <f>CN14+CQ14</f>
        <v>6873408.8432879988</v>
      </c>
      <c r="CU14" s="124">
        <f>CT14/AH14*1000</f>
        <v>6483192</v>
      </c>
      <c r="CV14" s="112">
        <f t="shared" ref="CV14:CV77" si="25">J14*AJ14+K14*AK14</f>
        <v>0</v>
      </c>
      <c r="CW14" s="112">
        <f t="shared" ref="CW14:CW77" si="26">P14*AJ14+Q14*AK14</f>
        <v>0</v>
      </c>
      <c r="CX14" s="112">
        <f>CV14+CW14</f>
        <v>0</v>
      </c>
      <c r="CY14" s="112">
        <f t="shared" ref="CY14:CY77" si="27">H14*AI14+H14*AJ14+H14*AK14+H14*AL14</f>
        <v>3375675.7020479995</v>
      </c>
      <c r="CZ14" s="112">
        <f t="shared" ref="CZ14:CZ77" si="28">N14*AI14+N14*AJ14+N14*AK14+N14*AL14</f>
        <v>3497733.1412399998</v>
      </c>
      <c r="DA14" s="106"/>
      <c r="DB14" s="128" t="e">
        <f>N14/J14*100</f>
        <v>#DIV/0!</v>
      </c>
      <c r="DC14" s="106"/>
      <c r="DD14" s="106"/>
      <c r="DE14" s="106"/>
      <c r="DF14" s="106"/>
      <c r="DG14" s="618">
        <f t="shared" ref="DG14:DG77" si="29">M14*X14/1000</f>
        <v>0</v>
      </c>
      <c r="DH14" s="618">
        <f t="shared" ref="DH14:DH77" si="30">S14*AE14/1000</f>
        <v>0</v>
      </c>
      <c r="DI14" s="618">
        <f t="shared" ref="DI14:DI77" si="31">DG14+DH14</f>
        <v>0</v>
      </c>
      <c r="DJ14" s="115"/>
    </row>
    <row r="15" spans="1:114" s="20" customFormat="1" ht="69" customHeight="1">
      <c r="A15" s="20">
        <f>A14+1</f>
        <v>2</v>
      </c>
      <c r="B15" s="1897"/>
      <c r="C15" s="806" t="s">
        <v>70</v>
      </c>
      <c r="D15" s="749" t="s">
        <v>141</v>
      </c>
      <c r="E15" s="617">
        <v>4632024035</v>
      </c>
      <c r="F15" s="806" t="s">
        <v>8</v>
      </c>
      <c r="G15" s="752" t="s">
        <v>890</v>
      </c>
      <c r="H15" s="16">
        <f t="shared" ref="H15:I17" si="32">2653.36*1.2</f>
        <v>3184.0320000000002</v>
      </c>
      <c r="I15" s="16">
        <f t="shared" si="32"/>
        <v>3184.0320000000002</v>
      </c>
      <c r="J15" s="38"/>
      <c r="K15" s="38"/>
      <c r="L15" s="16">
        <f>2653.36*1.2</f>
        <v>3184.0320000000002</v>
      </c>
      <c r="M15" s="10"/>
      <c r="N15" s="622">
        <f t="shared" ref="N15:O17" si="33">2749.3*1.2</f>
        <v>3299.1600000000003</v>
      </c>
      <c r="O15" s="622">
        <f t="shared" si="33"/>
        <v>3299.1600000000003</v>
      </c>
      <c r="P15" s="10"/>
      <c r="Q15" s="10"/>
      <c r="R15" s="622">
        <f>2749.3*1.2</f>
        <v>3299.1600000000003</v>
      </c>
      <c r="S15" s="10"/>
      <c r="T15" s="35">
        <v>215.745</v>
      </c>
      <c r="U15" s="15"/>
      <c r="V15" s="208"/>
      <c r="W15" s="15"/>
      <c r="X15" s="15"/>
      <c r="Y15" s="15"/>
      <c r="Z15" s="35">
        <f t="shared" ref="Z15:Z76" si="34">SUM(T15:W15)</f>
        <v>215.745</v>
      </c>
      <c r="AA15" s="35">
        <v>125.27999999999999</v>
      </c>
      <c r="AB15" s="15"/>
      <c r="AC15" s="208"/>
      <c r="AD15" s="15"/>
      <c r="AE15" s="15"/>
      <c r="AF15" s="15"/>
      <c r="AG15" s="35">
        <f t="shared" ref="AG15:AG76" si="35">SUM(AA15:AD15)</f>
        <v>125.27999999999999</v>
      </c>
      <c r="AH15" s="35">
        <f t="shared" ref="AH15:AH78" si="36">Z15+AG15</f>
        <v>341.02499999999998</v>
      </c>
      <c r="AI15" s="15">
        <f t="shared" si="6"/>
        <v>341.02499999999998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/>
      <c r="AO15" s="15">
        <f t="shared" si="7"/>
        <v>341.02499999999998</v>
      </c>
      <c r="AP15" s="15">
        <f t="shared" ref="AP15:AP75" si="37">SUM(AI15:AM15)</f>
        <v>341.02499999999998</v>
      </c>
      <c r="AQ15" s="15">
        <f t="shared" ref="AQ15:AQ71" si="38">SUM(AI15:AL15)</f>
        <v>341.02499999999998</v>
      </c>
      <c r="AR15" s="127">
        <f t="shared" ref="AR15:AR78" si="39">AQ15-AH15</f>
        <v>0</v>
      </c>
      <c r="AS15" s="112">
        <f t="shared" si="8"/>
        <v>1085834.5127999999</v>
      </c>
      <c r="AT15" s="112">
        <f t="shared" si="8"/>
        <v>0</v>
      </c>
      <c r="AU15" s="112">
        <f t="shared" si="8"/>
        <v>0</v>
      </c>
      <c r="AV15" s="112">
        <f t="shared" si="8"/>
        <v>0</v>
      </c>
      <c r="AW15" s="112">
        <f t="shared" si="8"/>
        <v>0</v>
      </c>
      <c r="AX15" s="112">
        <f t="shared" ref="AX15:AX78" si="40">SUM(AS15:AW15)</f>
        <v>1085834.5127999999</v>
      </c>
      <c r="AY15" s="112">
        <f t="shared" ref="AY15:AY78" si="41">SUM(AS15:AV15)</f>
        <v>1085834.5127999999</v>
      </c>
      <c r="AZ15" s="112">
        <f t="shared" si="9"/>
        <v>1125096.0390000001</v>
      </c>
      <c r="BA15" s="112">
        <f t="shared" si="9"/>
        <v>0</v>
      </c>
      <c r="BB15" s="112">
        <f t="shared" si="9"/>
        <v>0</v>
      </c>
      <c r="BC15" s="112">
        <f t="shared" si="9"/>
        <v>0</v>
      </c>
      <c r="BD15" s="112">
        <f t="shared" si="9"/>
        <v>0</v>
      </c>
      <c r="BE15" s="112">
        <f t="shared" ref="BE15:BE78" si="42">SUM(AZ15:BD15)</f>
        <v>1125096.0390000001</v>
      </c>
      <c r="BF15" s="112">
        <f t="shared" ref="BF15:BF78" si="43">SUM(AZ15:BC15)</f>
        <v>1125096.0390000001</v>
      </c>
      <c r="BG15" s="112"/>
      <c r="BH15" s="112"/>
      <c r="BI15" s="112">
        <f t="shared" si="5"/>
        <v>0</v>
      </c>
      <c r="BJ15" s="112"/>
      <c r="BK15" s="112"/>
      <c r="BL15" s="112">
        <f t="shared" si="10"/>
        <v>686938.98384</v>
      </c>
      <c r="BM15" s="112">
        <f t="shared" si="10"/>
        <v>0</v>
      </c>
      <c r="BN15" s="112">
        <f t="shared" si="10"/>
        <v>0</v>
      </c>
      <c r="BO15" s="112">
        <f t="shared" si="10"/>
        <v>0</v>
      </c>
      <c r="BP15" s="112">
        <f t="shared" si="10"/>
        <v>0</v>
      </c>
      <c r="BQ15" s="112">
        <f t="shared" ref="BQ15:BQ78" si="44">BL15+BM15+BN15+BO15+BP15</f>
        <v>686938.98384</v>
      </c>
      <c r="BR15" s="112">
        <f t="shared" ref="BR15:BR78" si="45">BQ15-BP15</f>
        <v>686938.98384</v>
      </c>
      <c r="BS15" s="112">
        <f t="shared" si="11"/>
        <v>413318.7648</v>
      </c>
      <c r="BT15" s="112">
        <f t="shared" si="11"/>
        <v>0</v>
      </c>
      <c r="BU15" s="112">
        <f t="shared" si="11"/>
        <v>0</v>
      </c>
      <c r="BV15" s="112">
        <f t="shared" si="12"/>
        <v>0</v>
      </c>
      <c r="BW15" s="112">
        <f t="shared" si="13"/>
        <v>0</v>
      </c>
      <c r="BX15" s="112">
        <f t="shared" ref="BX15:BX78" si="46">BS15+BT15+BU15+BV15+BW15</f>
        <v>413318.7648</v>
      </c>
      <c r="BY15" s="112">
        <f t="shared" ref="BY15:BY78" si="47">BX15-BW15</f>
        <v>413318.7648</v>
      </c>
      <c r="BZ15" s="113">
        <f t="shared" ref="BZ15:CA75" si="48">BM15+BT15</f>
        <v>0</v>
      </c>
      <c r="CA15" s="113">
        <f t="shared" si="48"/>
        <v>0</v>
      </c>
      <c r="CB15" s="113">
        <f t="shared" ref="CB15:CB78" si="49">BZ15+CA15</f>
        <v>0</v>
      </c>
      <c r="CC15" s="113" t="e">
        <f t="shared" ref="CC15:CD75" si="50">BZ15/AJ15</f>
        <v>#DIV/0!</v>
      </c>
      <c r="CD15" s="113" t="e">
        <f t="shared" si="50"/>
        <v>#DIV/0!</v>
      </c>
      <c r="CE15" s="113" t="e">
        <f t="shared" ref="CE15:CE78" si="51">CB15/(AJ15+AK15)</f>
        <v>#DIV/0!</v>
      </c>
      <c r="CF15" s="113" t="e">
        <f t="shared" si="14"/>
        <v>#DIV/0!</v>
      </c>
      <c r="CG15" s="113">
        <f t="shared" si="15"/>
        <v>0</v>
      </c>
      <c r="CH15" s="106" t="e">
        <f t="shared" ref="CH15:CH78" si="52">CG15/(AJ15+AK15)</f>
        <v>#DIV/0!</v>
      </c>
      <c r="CI15" s="106"/>
      <c r="CJ15" s="208">
        <f t="shared" si="16"/>
        <v>686.93898383999999</v>
      </c>
      <c r="CK15" s="208">
        <f t="shared" si="17"/>
        <v>413.3187648</v>
      </c>
      <c r="CL15" s="208">
        <f t="shared" ref="CL15:CL71" si="53">CJ15+CK15</f>
        <v>1100.25774864</v>
      </c>
      <c r="CM15" s="112">
        <f t="shared" si="18"/>
        <v>1100257.7486399999</v>
      </c>
      <c r="CN15" s="112">
        <f t="shared" si="19"/>
        <v>1085834.5127999999</v>
      </c>
      <c r="CO15" s="112">
        <f t="shared" si="20"/>
        <v>1085834.5127999999</v>
      </c>
      <c r="CP15" s="112">
        <f t="shared" si="21"/>
        <v>686938.98384</v>
      </c>
      <c r="CQ15" s="112">
        <f t="shared" si="22"/>
        <v>1125096.0390000001</v>
      </c>
      <c r="CR15" s="112">
        <f t="shared" si="23"/>
        <v>1125096.0390000001</v>
      </c>
      <c r="CS15" s="112">
        <f t="shared" si="24"/>
        <v>413318.7648</v>
      </c>
      <c r="CT15" s="112">
        <f t="shared" ref="CT15:CT78" si="54">CN15+CQ15</f>
        <v>2210930.5518</v>
      </c>
      <c r="CU15" s="124">
        <f t="shared" ref="CU15:CU78" si="55">CT15/AH15*1000</f>
        <v>6483192.0000000009</v>
      </c>
      <c r="CV15" s="112">
        <f t="shared" si="25"/>
        <v>0</v>
      </c>
      <c r="CW15" s="112">
        <f t="shared" si="26"/>
        <v>0</v>
      </c>
      <c r="CX15" s="112">
        <f t="shared" ref="CX15:CX78" si="56">CV15+CW15</f>
        <v>0</v>
      </c>
      <c r="CY15" s="112">
        <f t="shared" si="27"/>
        <v>1085834.5127999999</v>
      </c>
      <c r="CZ15" s="112">
        <f t="shared" si="28"/>
        <v>1125096.0390000001</v>
      </c>
      <c r="DA15" s="106"/>
      <c r="DB15" s="128" t="e">
        <f t="shared" ref="DB15:DB78" si="57">N15/J15*100</f>
        <v>#DIV/0!</v>
      </c>
      <c r="DC15" s="106"/>
      <c r="DD15" s="106"/>
      <c r="DE15" s="106"/>
      <c r="DF15" s="106"/>
      <c r="DG15" s="618">
        <f t="shared" si="29"/>
        <v>0</v>
      </c>
      <c r="DH15" s="618">
        <f t="shared" si="30"/>
        <v>0</v>
      </c>
      <c r="DI15" s="618">
        <f t="shared" si="31"/>
        <v>0</v>
      </c>
      <c r="DJ15" s="115"/>
    </row>
    <row r="16" spans="1:114" s="20" customFormat="1" ht="63.75" customHeight="1">
      <c r="A16" s="20">
        <f t="shared" ref="A16:A79" si="58">A15+1</f>
        <v>3</v>
      </c>
      <c r="B16" s="1897"/>
      <c r="C16" s="806" t="s">
        <v>71</v>
      </c>
      <c r="D16" s="749" t="s">
        <v>141</v>
      </c>
      <c r="E16" s="617">
        <v>4632024035</v>
      </c>
      <c r="F16" s="806" t="s">
        <v>8</v>
      </c>
      <c r="G16" s="752" t="s">
        <v>890</v>
      </c>
      <c r="H16" s="16">
        <f t="shared" si="32"/>
        <v>3184.0320000000002</v>
      </c>
      <c r="I16" s="16">
        <f t="shared" si="32"/>
        <v>3184.0320000000002</v>
      </c>
      <c r="J16" s="38"/>
      <c r="K16" s="38"/>
      <c r="L16" s="16">
        <f>2653.36*1.2</f>
        <v>3184.0320000000002</v>
      </c>
      <c r="M16" s="10"/>
      <c r="N16" s="622">
        <f t="shared" si="33"/>
        <v>3299.1600000000003</v>
      </c>
      <c r="O16" s="622">
        <f t="shared" si="33"/>
        <v>3299.1600000000003</v>
      </c>
      <c r="P16" s="10"/>
      <c r="Q16" s="10"/>
      <c r="R16" s="622">
        <f>2749.3*1.2</f>
        <v>3299.1600000000003</v>
      </c>
      <c r="S16" s="10"/>
      <c r="T16" s="35">
        <v>179.78700000000003</v>
      </c>
      <c r="U16" s="15"/>
      <c r="V16" s="208"/>
      <c r="W16" s="15"/>
      <c r="X16" s="15"/>
      <c r="Y16" s="15"/>
      <c r="Z16" s="35">
        <f t="shared" si="34"/>
        <v>179.78700000000003</v>
      </c>
      <c r="AA16" s="35">
        <v>104.4</v>
      </c>
      <c r="AB16" s="15"/>
      <c r="AC16" s="208"/>
      <c r="AD16" s="15"/>
      <c r="AE16" s="15"/>
      <c r="AF16" s="15"/>
      <c r="AG16" s="35">
        <f t="shared" si="35"/>
        <v>104.4</v>
      </c>
      <c r="AH16" s="35">
        <f t="shared" si="36"/>
        <v>284.18700000000001</v>
      </c>
      <c r="AI16" s="15">
        <f t="shared" si="6"/>
        <v>284.18700000000001</v>
      </c>
      <c r="AJ16" s="15">
        <f t="shared" si="6"/>
        <v>0</v>
      </c>
      <c r="AK16" s="15">
        <f t="shared" si="6"/>
        <v>0</v>
      </c>
      <c r="AL16" s="15">
        <f t="shared" si="6"/>
        <v>0</v>
      </c>
      <c r="AM16" s="15">
        <f t="shared" si="6"/>
        <v>0</v>
      </c>
      <c r="AN16" s="15"/>
      <c r="AO16" s="15">
        <f t="shared" si="7"/>
        <v>284.18700000000001</v>
      </c>
      <c r="AP16" s="15">
        <f t="shared" si="37"/>
        <v>284.18700000000001</v>
      </c>
      <c r="AQ16" s="15">
        <f t="shared" si="38"/>
        <v>284.18700000000001</v>
      </c>
      <c r="AR16" s="127">
        <f t="shared" si="39"/>
        <v>0</v>
      </c>
      <c r="AS16" s="112">
        <f t="shared" si="8"/>
        <v>904860.50198400009</v>
      </c>
      <c r="AT16" s="112">
        <f t="shared" si="8"/>
        <v>0</v>
      </c>
      <c r="AU16" s="112">
        <f t="shared" si="8"/>
        <v>0</v>
      </c>
      <c r="AV16" s="112">
        <f t="shared" si="8"/>
        <v>0</v>
      </c>
      <c r="AW16" s="112">
        <f t="shared" si="8"/>
        <v>0</v>
      </c>
      <c r="AX16" s="112">
        <f t="shared" si="40"/>
        <v>904860.50198400009</v>
      </c>
      <c r="AY16" s="112">
        <f t="shared" si="41"/>
        <v>904860.50198400009</v>
      </c>
      <c r="AZ16" s="112">
        <f t="shared" si="9"/>
        <v>937578.38292000012</v>
      </c>
      <c r="BA16" s="112">
        <f t="shared" si="9"/>
        <v>0</v>
      </c>
      <c r="BB16" s="112">
        <f t="shared" si="9"/>
        <v>0</v>
      </c>
      <c r="BC16" s="112">
        <f t="shared" si="9"/>
        <v>0</v>
      </c>
      <c r="BD16" s="112">
        <f t="shared" si="9"/>
        <v>0</v>
      </c>
      <c r="BE16" s="112">
        <f t="shared" si="42"/>
        <v>937578.38292000012</v>
      </c>
      <c r="BF16" s="112">
        <f t="shared" si="43"/>
        <v>937578.38292000012</v>
      </c>
      <c r="BG16" s="112"/>
      <c r="BH16" s="112"/>
      <c r="BI16" s="112">
        <f t="shared" si="5"/>
        <v>0</v>
      </c>
      <c r="BJ16" s="112"/>
      <c r="BK16" s="112"/>
      <c r="BL16" s="112">
        <f t="shared" si="10"/>
        <v>572447.56118400011</v>
      </c>
      <c r="BM16" s="112">
        <f t="shared" si="10"/>
        <v>0</v>
      </c>
      <c r="BN16" s="112">
        <f t="shared" si="10"/>
        <v>0</v>
      </c>
      <c r="BO16" s="112">
        <f t="shared" si="10"/>
        <v>0</v>
      </c>
      <c r="BP16" s="112">
        <f t="shared" si="10"/>
        <v>0</v>
      </c>
      <c r="BQ16" s="112">
        <f t="shared" si="44"/>
        <v>572447.56118400011</v>
      </c>
      <c r="BR16" s="112">
        <f t="shared" si="45"/>
        <v>572447.56118400011</v>
      </c>
      <c r="BS16" s="112">
        <f t="shared" si="11"/>
        <v>344432.30400000006</v>
      </c>
      <c r="BT16" s="112">
        <f t="shared" si="11"/>
        <v>0</v>
      </c>
      <c r="BU16" s="112">
        <f t="shared" si="11"/>
        <v>0</v>
      </c>
      <c r="BV16" s="112">
        <f t="shared" si="12"/>
        <v>0</v>
      </c>
      <c r="BW16" s="112">
        <f t="shared" si="13"/>
        <v>0</v>
      </c>
      <c r="BX16" s="112">
        <f t="shared" si="46"/>
        <v>344432.30400000006</v>
      </c>
      <c r="BY16" s="112">
        <f t="shared" si="47"/>
        <v>344432.30400000006</v>
      </c>
      <c r="BZ16" s="113">
        <f t="shared" si="48"/>
        <v>0</v>
      </c>
      <c r="CA16" s="113">
        <f t="shared" si="48"/>
        <v>0</v>
      </c>
      <c r="CB16" s="113">
        <f t="shared" si="49"/>
        <v>0</v>
      </c>
      <c r="CC16" s="113" t="e">
        <f t="shared" si="50"/>
        <v>#DIV/0!</v>
      </c>
      <c r="CD16" s="113" t="e">
        <f t="shared" si="50"/>
        <v>#DIV/0!</v>
      </c>
      <c r="CE16" s="113" t="e">
        <f t="shared" si="51"/>
        <v>#DIV/0!</v>
      </c>
      <c r="CF16" s="113" t="e">
        <f t="shared" si="14"/>
        <v>#DIV/0!</v>
      </c>
      <c r="CG16" s="113">
        <f t="shared" si="15"/>
        <v>0</v>
      </c>
      <c r="CH16" s="106" t="e">
        <f t="shared" si="52"/>
        <v>#DIV/0!</v>
      </c>
      <c r="CI16" s="106"/>
      <c r="CJ16" s="208">
        <f t="shared" si="16"/>
        <v>572.44756118400005</v>
      </c>
      <c r="CK16" s="208">
        <f t="shared" si="17"/>
        <v>344.43230400000004</v>
      </c>
      <c r="CL16" s="208">
        <f t="shared" si="53"/>
        <v>916.8798651840001</v>
      </c>
      <c r="CM16" s="112">
        <f t="shared" si="18"/>
        <v>916879.86518400023</v>
      </c>
      <c r="CN16" s="112">
        <f t="shared" si="19"/>
        <v>904860.50198400009</v>
      </c>
      <c r="CO16" s="112">
        <f t="shared" si="20"/>
        <v>904860.50198400009</v>
      </c>
      <c r="CP16" s="112">
        <f t="shared" si="21"/>
        <v>572447.56118400011</v>
      </c>
      <c r="CQ16" s="112">
        <f t="shared" si="22"/>
        <v>937578.38292000012</v>
      </c>
      <c r="CR16" s="112">
        <f t="shared" si="23"/>
        <v>937578.38292000012</v>
      </c>
      <c r="CS16" s="112">
        <f t="shared" si="24"/>
        <v>344432.30400000006</v>
      </c>
      <c r="CT16" s="112">
        <f t="shared" si="54"/>
        <v>1842438.8849040002</v>
      </c>
      <c r="CU16" s="124">
        <f t="shared" si="55"/>
        <v>6483192.0000000009</v>
      </c>
      <c r="CV16" s="112">
        <f t="shared" si="25"/>
        <v>0</v>
      </c>
      <c r="CW16" s="112">
        <f t="shared" si="26"/>
        <v>0</v>
      </c>
      <c r="CX16" s="112">
        <f t="shared" si="56"/>
        <v>0</v>
      </c>
      <c r="CY16" s="112">
        <f t="shared" si="27"/>
        <v>904860.50198400009</v>
      </c>
      <c r="CZ16" s="112">
        <f t="shared" si="28"/>
        <v>937578.38292000012</v>
      </c>
      <c r="DA16" s="106"/>
      <c r="DB16" s="128" t="e">
        <f t="shared" si="57"/>
        <v>#DIV/0!</v>
      </c>
      <c r="DC16" s="106"/>
      <c r="DD16" s="106"/>
      <c r="DE16" s="106"/>
      <c r="DF16" s="106"/>
      <c r="DG16" s="618">
        <f t="shared" si="29"/>
        <v>0</v>
      </c>
      <c r="DH16" s="618">
        <f t="shared" si="30"/>
        <v>0</v>
      </c>
      <c r="DI16" s="618">
        <f t="shared" si="31"/>
        <v>0</v>
      </c>
      <c r="DJ16" s="115"/>
    </row>
    <row r="17" spans="1:114" s="20" customFormat="1" ht="63.75" customHeight="1">
      <c r="A17" s="20">
        <f t="shared" si="58"/>
        <v>4</v>
      </c>
      <c r="B17" s="1905"/>
      <c r="C17" s="806" t="s">
        <v>72</v>
      </c>
      <c r="D17" s="749" t="s">
        <v>141</v>
      </c>
      <c r="E17" s="617">
        <v>4632024035</v>
      </c>
      <c r="F17" s="806" t="s">
        <v>8</v>
      </c>
      <c r="G17" s="752" t="s">
        <v>890</v>
      </c>
      <c r="H17" s="16">
        <f t="shared" si="32"/>
        <v>3184.0320000000002</v>
      </c>
      <c r="I17" s="16">
        <f t="shared" si="32"/>
        <v>3184.0320000000002</v>
      </c>
      <c r="J17" s="38"/>
      <c r="K17" s="38"/>
      <c r="L17" s="16">
        <f>2653.36*1.2</f>
        <v>3184.0320000000002</v>
      </c>
      <c r="M17" s="10"/>
      <c r="N17" s="622">
        <f t="shared" si="33"/>
        <v>3299.1600000000003</v>
      </c>
      <c r="O17" s="622">
        <f t="shared" si="33"/>
        <v>3299.1600000000003</v>
      </c>
      <c r="P17" s="10"/>
      <c r="Q17" s="10"/>
      <c r="R17" s="622">
        <f>2749.3*1.2</f>
        <v>3299.1600000000003</v>
      </c>
      <c r="S17" s="10"/>
      <c r="T17" s="35">
        <v>371.82</v>
      </c>
      <c r="U17" s="15"/>
      <c r="V17" s="208"/>
      <c r="W17" s="15"/>
      <c r="X17" s="15"/>
      <c r="Y17" s="15"/>
      <c r="Z17" s="35">
        <f t="shared" si="34"/>
        <v>371.82</v>
      </c>
      <c r="AA17" s="35">
        <v>259.10500000000002</v>
      </c>
      <c r="AB17" s="15"/>
      <c r="AC17" s="208"/>
      <c r="AD17" s="15"/>
      <c r="AE17" s="15"/>
      <c r="AF17" s="15"/>
      <c r="AG17" s="35">
        <f t="shared" si="35"/>
        <v>259.10500000000002</v>
      </c>
      <c r="AH17" s="35">
        <f t="shared" si="36"/>
        <v>630.92499999999995</v>
      </c>
      <c r="AI17" s="15">
        <f t="shared" si="6"/>
        <v>630.92499999999995</v>
      </c>
      <c r="AJ17" s="15">
        <f t="shared" si="6"/>
        <v>0</v>
      </c>
      <c r="AK17" s="15">
        <f t="shared" si="6"/>
        <v>0</v>
      </c>
      <c r="AL17" s="15">
        <f t="shared" si="6"/>
        <v>0</v>
      </c>
      <c r="AM17" s="15">
        <f t="shared" si="6"/>
        <v>0</v>
      </c>
      <c r="AN17" s="15"/>
      <c r="AO17" s="15">
        <f t="shared" si="7"/>
        <v>630.92499999999995</v>
      </c>
      <c r="AP17" s="15">
        <f t="shared" si="37"/>
        <v>630.92499999999995</v>
      </c>
      <c r="AQ17" s="15">
        <f t="shared" si="38"/>
        <v>630.92499999999995</v>
      </c>
      <c r="AR17" s="127">
        <f t="shared" si="39"/>
        <v>0</v>
      </c>
      <c r="AS17" s="112">
        <f t="shared" si="8"/>
        <v>2008885.3895999999</v>
      </c>
      <c r="AT17" s="112">
        <f t="shared" si="8"/>
        <v>0</v>
      </c>
      <c r="AU17" s="112">
        <f t="shared" si="8"/>
        <v>0</v>
      </c>
      <c r="AV17" s="112">
        <f t="shared" si="8"/>
        <v>0</v>
      </c>
      <c r="AW17" s="112">
        <f t="shared" si="8"/>
        <v>0</v>
      </c>
      <c r="AX17" s="112">
        <f t="shared" si="40"/>
        <v>2008885.3895999999</v>
      </c>
      <c r="AY17" s="112">
        <f t="shared" si="41"/>
        <v>2008885.3895999999</v>
      </c>
      <c r="AZ17" s="112">
        <f t="shared" si="9"/>
        <v>2081522.523</v>
      </c>
      <c r="BA17" s="112">
        <f t="shared" si="9"/>
        <v>0</v>
      </c>
      <c r="BB17" s="112">
        <f t="shared" si="9"/>
        <v>0</v>
      </c>
      <c r="BC17" s="112">
        <f t="shared" si="9"/>
        <v>0</v>
      </c>
      <c r="BD17" s="112">
        <f t="shared" si="9"/>
        <v>0</v>
      </c>
      <c r="BE17" s="112">
        <f t="shared" si="42"/>
        <v>2081522.523</v>
      </c>
      <c r="BF17" s="112">
        <f t="shared" si="43"/>
        <v>2081522.523</v>
      </c>
      <c r="BG17" s="112"/>
      <c r="BH17" s="112"/>
      <c r="BI17" s="112">
        <f t="shared" si="5"/>
        <v>0</v>
      </c>
      <c r="BJ17" s="112"/>
      <c r="BK17" s="112"/>
      <c r="BL17" s="112">
        <f t="shared" si="10"/>
        <v>1183886.7782400001</v>
      </c>
      <c r="BM17" s="112">
        <f t="shared" si="10"/>
        <v>0</v>
      </c>
      <c r="BN17" s="112">
        <f t="shared" si="10"/>
        <v>0</v>
      </c>
      <c r="BO17" s="112">
        <f t="shared" si="10"/>
        <v>0</v>
      </c>
      <c r="BP17" s="112">
        <f t="shared" si="10"/>
        <v>0</v>
      </c>
      <c r="BQ17" s="112">
        <f t="shared" si="44"/>
        <v>1183886.7782400001</v>
      </c>
      <c r="BR17" s="112">
        <f t="shared" si="45"/>
        <v>1183886.7782400001</v>
      </c>
      <c r="BS17" s="112">
        <f t="shared" si="11"/>
        <v>854828.85180000018</v>
      </c>
      <c r="BT17" s="112">
        <f t="shared" si="11"/>
        <v>0</v>
      </c>
      <c r="BU17" s="112">
        <f t="shared" si="11"/>
        <v>0</v>
      </c>
      <c r="BV17" s="112">
        <f t="shared" si="12"/>
        <v>0</v>
      </c>
      <c r="BW17" s="112">
        <f t="shared" si="13"/>
        <v>0</v>
      </c>
      <c r="BX17" s="112">
        <f t="shared" si="46"/>
        <v>854828.85180000018</v>
      </c>
      <c r="BY17" s="112">
        <f t="shared" si="47"/>
        <v>854828.85180000018</v>
      </c>
      <c r="BZ17" s="113">
        <f t="shared" si="48"/>
        <v>0</v>
      </c>
      <c r="CA17" s="113">
        <f t="shared" si="48"/>
        <v>0</v>
      </c>
      <c r="CB17" s="113">
        <f t="shared" si="49"/>
        <v>0</v>
      </c>
      <c r="CC17" s="113" t="e">
        <f t="shared" si="50"/>
        <v>#DIV/0!</v>
      </c>
      <c r="CD17" s="113" t="e">
        <f t="shared" si="50"/>
        <v>#DIV/0!</v>
      </c>
      <c r="CE17" s="113" t="e">
        <f t="shared" si="51"/>
        <v>#DIV/0!</v>
      </c>
      <c r="CF17" s="113" t="e">
        <f t="shared" si="14"/>
        <v>#DIV/0!</v>
      </c>
      <c r="CG17" s="113">
        <f t="shared" si="15"/>
        <v>0</v>
      </c>
      <c r="CH17" s="106" t="e">
        <f t="shared" si="52"/>
        <v>#DIV/0!</v>
      </c>
      <c r="CI17" s="106"/>
      <c r="CJ17" s="208">
        <f t="shared" si="16"/>
        <v>1183.8867782400002</v>
      </c>
      <c r="CK17" s="208">
        <f t="shared" si="17"/>
        <v>854.82885180000017</v>
      </c>
      <c r="CL17" s="208">
        <f t="shared" si="53"/>
        <v>2038.7156300400004</v>
      </c>
      <c r="CM17" s="112">
        <f t="shared" si="18"/>
        <v>2038715.6300400002</v>
      </c>
      <c r="CN17" s="112">
        <f t="shared" si="19"/>
        <v>2008885.3895999999</v>
      </c>
      <c r="CO17" s="112">
        <f t="shared" si="20"/>
        <v>2008885.3895999999</v>
      </c>
      <c r="CP17" s="112">
        <f t="shared" si="21"/>
        <v>1183886.7782400001</v>
      </c>
      <c r="CQ17" s="112">
        <f t="shared" si="22"/>
        <v>2081522.523</v>
      </c>
      <c r="CR17" s="112">
        <f t="shared" si="23"/>
        <v>2081522.523</v>
      </c>
      <c r="CS17" s="112">
        <f t="shared" si="24"/>
        <v>854828.85180000018</v>
      </c>
      <c r="CT17" s="112">
        <f t="shared" si="54"/>
        <v>4090407.9125999999</v>
      </c>
      <c r="CU17" s="124">
        <f t="shared" si="55"/>
        <v>6483192</v>
      </c>
      <c r="CV17" s="112">
        <f t="shared" si="25"/>
        <v>0</v>
      </c>
      <c r="CW17" s="112">
        <f t="shared" si="26"/>
        <v>0</v>
      </c>
      <c r="CX17" s="112">
        <f t="shared" si="56"/>
        <v>0</v>
      </c>
      <c r="CY17" s="112">
        <f t="shared" si="27"/>
        <v>2008885.3895999999</v>
      </c>
      <c r="CZ17" s="112">
        <f t="shared" si="28"/>
        <v>2081522.523</v>
      </c>
      <c r="DA17" s="106"/>
      <c r="DB17" s="128" t="e">
        <f t="shared" si="57"/>
        <v>#DIV/0!</v>
      </c>
      <c r="DC17" s="106"/>
      <c r="DD17" s="106"/>
      <c r="DE17" s="106"/>
      <c r="DF17" s="106"/>
      <c r="DG17" s="618">
        <f t="shared" si="29"/>
        <v>0</v>
      </c>
      <c r="DH17" s="618">
        <f t="shared" si="30"/>
        <v>0</v>
      </c>
      <c r="DI17" s="618">
        <f t="shared" si="31"/>
        <v>0</v>
      </c>
      <c r="DJ17" s="115"/>
    </row>
    <row r="18" spans="1:114" s="8" customFormat="1" ht="96" hidden="1" customHeight="1">
      <c r="A18" s="20">
        <f t="shared" si="58"/>
        <v>5</v>
      </c>
      <c r="B18" s="1963" t="s">
        <v>9</v>
      </c>
      <c r="C18" s="736" t="s">
        <v>73</v>
      </c>
      <c r="D18" s="736" t="s">
        <v>10</v>
      </c>
      <c r="E18" s="737">
        <v>4603009064</v>
      </c>
      <c r="F18" s="736" t="s">
        <v>8</v>
      </c>
      <c r="G18" s="736" t="s">
        <v>879</v>
      </c>
      <c r="H18" s="607">
        <v>2651.47</v>
      </c>
      <c r="I18" s="607">
        <v>2651.47</v>
      </c>
      <c r="J18" s="607">
        <v>2639.84</v>
      </c>
      <c r="K18" s="607">
        <v>0</v>
      </c>
      <c r="L18" s="607">
        <v>2651.47</v>
      </c>
      <c r="M18" s="36">
        <v>0</v>
      </c>
      <c r="N18" s="36">
        <v>2661.73</v>
      </c>
      <c r="O18" s="36">
        <v>2661.73</v>
      </c>
      <c r="P18" s="36">
        <v>2661.73</v>
      </c>
      <c r="Q18" s="36"/>
      <c r="R18" s="36">
        <v>2661.73</v>
      </c>
      <c r="S18" s="36"/>
      <c r="T18" s="173">
        <v>1077</v>
      </c>
      <c r="U18" s="173">
        <v>1388</v>
      </c>
      <c r="V18" s="224">
        <v>0</v>
      </c>
      <c r="W18" s="173">
        <v>170</v>
      </c>
      <c r="X18" s="173">
        <v>0</v>
      </c>
      <c r="Y18" s="173">
        <v>0</v>
      </c>
      <c r="Z18" s="35">
        <f>SUM(T18:W18)</f>
        <v>2635</v>
      </c>
      <c r="AA18" s="173">
        <v>827.06</v>
      </c>
      <c r="AB18" s="173">
        <v>816.18</v>
      </c>
      <c r="AC18" s="224">
        <v>0</v>
      </c>
      <c r="AD18" s="173">
        <v>87.33</v>
      </c>
      <c r="AE18" s="173">
        <v>0</v>
      </c>
      <c r="AF18" s="173">
        <v>0</v>
      </c>
      <c r="AG18" s="35">
        <f>SUM(AA18:AD18)</f>
        <v>1730.5699999999997</v>
      </c>
      <c r="AH18" s="35">
        <f>Z18+AG18</f>
        <v>4365.57</v>
      </c>
      <c r="AI18" s="23">
        <f>T18+AA18</f>
        <v>1904.06</v>
      </c>
      <c r="AJ18" s="23">
        <f>U18+AB18</f>
        <v>2204.1799999999998</v>
      </c>
      <c r="AK18" s="23">
        <f>V18+AC18</f>
        <v>0</v>
      </c>
      <c r="AL18" s="23">
        <f>W18+AD18</f>
        <v>257.33</v>
      </c>
      <c r="AM18" s="15">
        <f t="shared" si="6"/>
        <v>0</v>
      </c>
      <c r="AN18" s="15"/>
      <c r="AO18" s="23">
        <f>SUM(AI18:AN18)</f>
        <v>4365.57</v>
      </c>
      <c r="AP18" s="23">
        <f>SUM(AI18:AM18)</f>
        <v>4365.57</v>
      </c>
      <c r="AQ18" s="23">
        <f>SUM(AI18:AL18)</f>
        <v>4365.57</v>
      </c>
      <c r="AR18" s="127">
        <f t="shared" si="39"/>
        <v>0</v>
      </c>
      <c r="AS18" s="112">
        <f t="shared" si="8"/>
        <v>5048557.9681999991</v>
      </c>
      <c r="AT18" s="112">
        <f t="shared" si="8"/>
        <v>5818682.5312000001</v>
      </c>
      <c r="AU18" s="112">
        <f t="shared" si="8"/>
        <v>0</v>
      </c>
      <c r="AV18" s="112">
        <f t="shared" si="8"/>
        <v>682302.77509999985</v>
      </c>
      <c r="AW18" s="112">
        <f t="shared" si="8"/>
        <v>0</v>
      </c>
      <c r="AX18" s="112">
        <f t="shared" si="40"/>
        <v>11549543.274499999</v>
      </c>
      <c r="AY18" s="112">
        <f t="shared" si="41"/>
        <v>11549543.274499999</v>
      </c>
      <c r="AZ18" s="112">
        <f t="shared" si="9"/>
        <v>5068093.6238000002</v>
      </c>
      <c r="BA18" s="112">
        <f t="shared" si="9"/>
        <v>5866932.0313999997</v>
      </c>
      <c r="BB18" s="112">
        <f t="shared" si="9"/>
        <v>0</v>
      </c>
      <c r="BC18" s="112">
        <f t="shared" si="9"/>
        <v>684942.98089999997</v>
      </c>
      <c r="BD18" s="112">
        <f t="shared" si="9"/>
        <v>0</v>
      </c>
      <c r="BE18" s="112">
        <f t="shared" si="42"/>
        <v>11619968.636100002</v>
      </c>
      <c r="BF18" s="112">
        <f t="shared" si="43"/>
        <v>11619968.636100002</v>
      </c>
      <c r="BG18" s="156">
        <v>16.138999999999999</v>
      </c>
      <c r="BH18" s="118">
        <v>0</v>
      </c>
      <c r="BI18" s="157">
        <f>BG18+BH18</f>
        <v>16.138999999999999</v>
      </c>
      <c r="BJ18" s="112">
        <v>11824.02</v>
      </c>
      <c r="BK18" s="112">
        <v>12321.16</v>
      </c>
      <c r="BL18" s="112">
        <f>I18*T18</f>
        <v>2855633.19</v>
      </c>
      <c r="BM18" s="112">
        <f>J18*U18</f>
        <v>3664097.9200000004</v>
      </c>
      <c r="BN18" s="112">
        <f t="shared" si="10"/>
        <v>0</v>
      </c>
      <c r="BO18" s="112">
        <f>L18*W18</f>
        <v>450749.89999999997</v>
      </c>
      <c r="BP18" s="112">
        <f t="shared" si="10"/>
        <v>0</v>
      </c>
      <c r="BQ18" s="112">
        <f>BL18+BM18+BN18+BO18+BP18</f>
        <v>6970481.0100000007</v>
      </c>
      <c r="BR18" s="112">
        <f>BQ18-BP18</f>
        <v>6970481.0100000007</v>
      </c>
      <c r="BS18" s="112">
        <f>O18*AA18</f>
        <v>2201410.4137999997</v>
      </c>
      <c r="BT18" s="112">
        <f>P18*AB18</f>
        <v>2172450.7914</v>
      </c>
      <c r="BU18" s="112">
        <f t="shared" si="11"/>
        <v>0</v>
      </c>
      <c r="BV18" s="112">
        <f>R18*W18</f>
        <v>452494.1</v>
      </c>
      <c r="BW18" s="112">
        <f t="shared" si="13"/>
        <v>0</v>
      </c>
      <c r="BX18" s="112">
        <f>BS18+BT18+BU18+BV18+BW18</f>
        <v>4826355.3051999994</v>
      </c>
      <c r="BY18" s="112">
        <f>BX18-BW18</f>
        <v>4826355.3051999994</v>
      </c>
      <c r="BZ18" s="113">
        <f>BM18+BT18</f>
        <v>5836548.7114000004</v>
      </c>
      <c r="CA18" s="113">
        <f t="shared" si="48"/>
        <v>0</v>
      </c>
      <c r="CB18" s="113">
        <f>BZ18+CA18</f>
        <v>5836548.7114000004</v>
      </c>
      <c r="CC18" s="119">
        <f>BZ18/AJ18</f>
        <v>2647.9455903782818</v>
      </c>
      <c r="CD18" s="119" t="e">
        <f t="shared" si="50"/>
        <v>#DIV/0!</v>
      </c>
      <c r="CE18" s="119">
        <f t="shared" si="51"/>
        <v>2647.9455903782818</v>
      </c>
      <c r="CF18" s="119">
        <f t="shared" si="14"/>
        <v>2647.9455903782818</v>
      </c>
      <c r="CG18" s="619">
        <f t="shared" si="15"/>
        <v>5852691.1513999999</v>
      </c>
      <c r="CH18" s="132">
        <f t="shared" si="52"/>
        <v>2655.2691483454164</v>
      </c>
      <c r="CI18" s="120"/>
      <c r="CJ18" s="112">
        <f t="shared" si="16"/>
        <v>6986.6234499999991</v>
      </c>
      <c r="CK18" s="112">
        <f t="shared" si="17"/>
        <v>4606.3100860999994</v>
      </c>
      <c r="CL18" s="112">
        <f t="shared" si="53"/>
        <v>11592.933536099998</v>
      </c>
      <c r="CM18" s="112">
        <f t="shared" si="18"/>
        <v>11592933.536099998</v>
      </c>
      <c r="CN18" s="112">
        <f t="shared" si="19"/>
        <v>11549543.274499999</v>
      </c>
      <c r="CO18" s="112">
        <f t="shared" si="20"/>
        <v>11549543.274499999</v>
      </c>
      <c r="CP18" s="112">
        <f t="shared" si="21"/>
        <v>6970481.0100000007</v>
      </c>
      <c r="CQ18" s="112">
        <f t="shared" si="22"/>
        <v>11619968.636100002</v>
      </c>
      <c r="CR18" s="112">
        <f t="shared" si="23"/>
        <v>11619968.636100002</v>
      </c>
      <c r="CS18" s="112">
        <f t="shared" si="24"/>
        <v>4606310.0861</v>
      </c>
      <c r="CT18" s="112">
        <f t="shared" si="54"/>
        <v>23169511.910599999</v>
      </c>
      <c r="CU18" s="124">
        <f t="shared" si="55"/>
        <v>5307328.0031244485</v>
      </c>
      <c r="CV18" s="112">
        <f t="shared" si="25"/>
        <v>5818682.5312000001</v>
      </c>
      <c r="CW18" s="112">
        <f t="shared" si="26"/>
        <v>5866932.0313999997</v>
      </c>
      <c r="CX18" s="112">
        <f t="shared" si="56"/>
        <v>11685614.5626</v>
      </c>
      <c r="CY18" s="112">
        <f t="shared" si="27"/>
        <v>11575177.887899999</v>
      </c>
      <c r="CZ18" s="112">
        <f t="shared" si="28"/>
        <v>11619968.636100002</v>
      </c>
      <c r="DA18" s="120"/>
      <c r="DB18" s="128">
        <f t="shared" si="57"/>
        <v>100.82921692223769</v>
      </c>
      <c r="DC18" s="120"/>
      <c r="DD18" s="120"/>
      <c r="DE18" s="120"/>
      <c r="DF18" s="120"/>
      <c r="DG18" s="618">
        <f t="shared" si="29"/>
        <v>0</v>
      </c>
      <c r="DH18" s="618">
        <f t="shared" si="30"/>
        <v>0</v>
      </c>
      <c r="DI18" s="618">
        <f t="shared" si="31"/>
        <v>0</v>
      </c>
      <c r="DJ18" s="120"/>
    </row>
    <row r="19" spans="1:114" s="724" customFormat="1" ht="89.25" hidden="1" customHeight="1">
      <c r="A19" s="695">
        <f t="shared" si="58"/>
        <v>6</v>
      </c>
      <c r="B19" s="1964"/>
      <c r="C19" s="713" t="s">
        <v>167</v>
      </c>
      <c r="D19" s="696" t="s">
        <v>232</v>
      </c>
      <c r="E19" s="696">
        <v>4603004186</v>
      </c>
      <c r="F19" s="696" t="s">
        <v>8</v>
      </c>
      <c r="G19" s="808" t="s">
        <v>869</v>
      </c>
      <c r="H19" s="697">
        <v>2312.06</v>
      </c>
      <c r="I19" s="697">
        <v>2312.06</v>
      </c>
      <c r="J19" s="697">
        <v>2312.06</v>
      </c>
      <c r="K19" s="697">
        <v>0</v>
      </c>
      <c r="L19" s="697">
        <v>2312.06</v>
      </c>
      <c r="M19" s="714">
        <v>0</v>
      </c>
      <c r="N19" s="714">
        <v>2344.94</v>
      </c>
      <c r="O19" s="714">
        <v>2344.94</v>
      </c>
      <c r="P19" s="714">
        <v>2344.94</v>
      </c>
      <c r="Q19" s="714">
        <v>0</v>
      </c>
      <c r="R19" s="714">
        <v>2344.94</v>
      </c>
      <c r="S19" s="714">
        <v>0</v>
      </c>
      <c r="T19" s="715">
        <v>2356.9499999999998</v>
      </c>
      <c r="U19" s="715">
        <v>1254</v>
      </c>
      <c r="V19" s="715">
        <v>0</v>
      </c>
      <c r="W19" s="715">
        <v>346.56</v>
      </c>
      <c r="X19" s="716">
        <v>0</v>
      </c>
      <c r="Y19" s="716">
        <v>0</v>
      </c>
      <c r="Z19" s="717">
        <f t="shared" si="34"/>
        <v>3957.5099999999998</v>
      </c>
      <c r="AA19" s="715">
        <v>1778.05</v>
      </c>
      <c r="AB19" s="715">
        <v>946</v>
      </c>
      <c r="AC19" s="715">
        <v>0</v>
      </c>
      <c r="AD19" s="715">
        <v>261.44</v>
      </c>
      <c r="AE19" s="716">
        <v>0</v>
      </c>
      <c r="AF19" s="716">
        <v>0</v>
      </c>
      <c r="AG19" s="714">
        <f t="shared" si="35"/>
        <v>2985.4900000000002</v>
      </c>
      <c r="AH19" s="714">
        <f t="shared" si="36"/>
        <v>6943</v>
      </c>
      <c r="AI19" s="714">
        <f t="shared" si="6"/>
        <v>4135</v>
      </c>
      <c r="AJ19" s="714">
        <f t="shared" si="6"/>
        <v>2200</v>
      </c>
      <c r="AK19" s="716">
        <f t="shared" si="6"/>
        <v>0</v>
      </c>
      <c r="AL19" s="714">
        <f t="shared" si="6"/>
        <v>608</v>
      </c>
      <c r="AM19" s="716">
        <f t="shared" si="6"/>
        <v>0</v>
      </c>
      <c r="AN19" s="716">
        <v>0</v>
      </c>
      <c r="AO19" s="714">
        <f>SUM(AI19:AN19)</f>
        <v>6943</v>
      </c>
      <c r="AP19" s="714">
        <f>SUM(AI19:AM19)</f>
        <v>6943</v>
      </c>
      <c r="AQ19" s="714">
        <f>SUM(AI19:AL19)</f>
        <v>6943</v>
      </c>
      <c r="AR19" s="717">
        <f t="shared" si="39"/>
        <v>0</v>
      </c>
      <c r="AS19" s="716">
        <f t="shared" si="8"/>
        <v>9560368.0999999996</v>
      </c>
      <c r="AT19" s="716">
        <f t="shared" si="8"/>
        <v>5086532</v>
      </c>
      <c r="AU19" s="716">
        <f t="shared" si="8"/>
        <v>0</v>
      </c>
      <c r="AV19" s="716">
        <f t="shared" si="8"/>
        <v>1405732.48</v>
      </c>
      <c r="AW19" s="716">
        <f t="shared" si="8"/>
        <v>0</v>
      </c>
      <c r="AX19" s="716">
        <f t="shared" si="40"/>
        <v>16052632.58</v>
      </c>
      <c r="AY19" s="716">
        <f t="shared" si="41"/>
        <v>16052632.58</v>
      </c>
      <c r="AZ19" s="716">
        <f t="shared" si="9"/>
        <v>9696326.9000000004</v>
      </c>
      <c r="BA19" s="716">
        <f t="shared" si="9"/>
        <v>5158868</v>
      </c>
      <c r="BB19" s="716">
        <f t="shared" si="9"/>
        <v>0</v>
      </c>
      <c r="BC19" s="716">
        <f t="shared" si="9"/>
        <v>1425723.52</v>
      </c>
      <c r="BD19" s="716">
        <f t="shared" si="9"/>
        <v>0</v>
      </c>
      <c r="BE19" s="716">
        <f t="shared" si="42"/>
        <v>16280918.42</v>
      </c>
      <c r="BF19" s="716">
        <f t="shared" si="43"/>
        <v>16280918.42</v>
      </c>
      <c r="BG19" s="716">
        <v>0</v>
      </c>
      <c r="BH19" s="716">
        <v>0</v>
      </c>
      <c r="BI19" s="716">
        <f t="shared" si="5"/>
        <v>0</v>
      </c>
      <c r="BJ19" s="716">
        <v>16150.79</v>
      </c>
      <c r="BK19" s="716">
        <v>17925.28</v>
      </c>
      <c r="BL19" s="716">
        <f t="shared" si="10"/>
        <v>5449409.8169999998</v>
      </c>
      <c r="BM19" s="716">
        <f t="shared" si="10"/>
        <v>2899323.2399999998</v>
      </c>
      <c r="BN19" s="716">
        <f t="shared" si="10"/>
        <v>0</v>
      </c>
      <c r="BO19" s="716">
        <f t="shared" si="10"/>
        <v>801267.51359999995</v>
      </c>
      <c r="BP19" s="716">
        <f t="shared" si="10"/>
        <v>0</v>
      </c>
      <c r="BQ19" s="716">
        <f t="shared" si="44"/>
        <v>9150000.5705999993</v>
      </c>
      <c r="BR19" s="716">
        <f t="shared" si="45"/>
        <v>9150000.5705999993</v>
      </c>
      <c r="BS19" s="716">
        <f t="shared" si="11"/>
        <v>4169420.5669999998</v>
      </c>
      <c r="BT19" s="716">
        <f t="shared" si="11"/>
        <v>2218313.2400000002</v>
      </c>
      <c r="BU19" s="716">
        <f t="shared" si="11"/>
        <v>0</v>
      </c>
      <c r="BV19" s="716">
        <f t="shared" si="12"/>
        <v>812662.40639999998</v>
      </c>
      <c r="BW19" s="716">
        <f t="shared" si="13"/>
        <v>0</v>
      </c>
      <c r="BX19" s="716">
        <f t="shared" si="46"/>
        <v>7200396.2133999998</v>
      </c>
      <c r="BY19" s="716">
        <f t="shared" si="47"/>
        <v>7200396.2133999998</v>
      </c>
      <c r="BZ19" s="718">
        <f t="shared" si="48"/>
        <v>5117636.4800000004</v>
      </c>
      <c r="CA19" s="718">
        <f t="shared" si="48"/>
        <v>0</v>
      </c>
      <c r="CB19" s="718">
        <f t="shared" si="49"/>
        <v>5117636.4800000004</v>
      </c>
      <c r="CC19" s="719">
        <f t="shared" si="50"/>
        <v>2326.1984000000002</v>
      </c>
      <c r="CD19" s="719" t="e">
        <f t="shared" si="50"/>
        <v>#DIV/0!</v>
      </c>
      <c r="CE19" s="719">
        <f t="shared" si="51"/>
        <v>2326.1984000000002</v>
      </c>
      <c r="CF19" s="720">
        <f t="shared" si="14"/>
        <v>2326.1984000000002</v>
      </c>
      <c r="CG19" s="721">
        <f t="shared" si="15"/>
        <v>5117636.4800000004</v>
      </c>
      <c r="CH19" s="722">
        <f t="shared" si="52"/>
        <v>2326.1984000000002</v>
      </c>
      <c r="CI19" s="723"/>
      <c r="CJ19" s="716">
        <f t="shared" si="16"/>
        <v>9150.0005705999993</v>
      </c>
      <c r="CK19" s="716">
        <f t="shared" si="17"/>
        <v>7000.7949206000012</v>
      </c>
      <c r="CL19" s="716">
        <f t="shared" si="53"/>
        <v>16150.7954912</v>
      </c>
      <c r="CM19" s="716">
        <f t="shared" si="18"/>
        <v>16150795.4912</v>
      </c>
      <c r="CN19" s="716">
        <f t="shared" si="19"/>
        <v>16052632.58</v>
      </c>
      <c r="CO19" s="716">
        <f t="shared" si="20"/>
        <v>16052632.58</v>
      </c>
      <c r="CP19" s="716">
        <f t="shared" si="21"/>
        <v>9150000.5705999993</v>
      </c>
      <c r="CQ19" s="716">
        <f t="shared" si="22"/>
        <v>16280918.42</v>
      </c>
      <c r="CR19" s="716">
        <f t="shared" si="23"/>
        <v>16280918.42</v>
      </c>
      <c r="CS19" s="716">
        <f t="shared" si="24"/>
        <v>7000794.9205999998</v>
      </c>
      <c r="CT19" s="716">
        <f t="shared" si="54"/>
        <v>32333551</v>
      </c>
      <c r="CU19" s="714">
        <f t="shared" si="55"/>
        <v>4657000</v>
      </c>
      <c r="CV19" s="716">
        <f t="shared" si="25"/>
        <v>5086532</v>
      </c>
      <c r="CW19" s="716">
        <f t="shared" si="26"/>
        <v>5158868</v>
      </c>
      <c r="CX19" s="716">
        <f t="shared" si="56"/>
        <v>10245400</v>
      </c>
      <c r="CY19" s="716">
        <f t="shared" si="27"/>
        <v>16052632.58</v>
      </c>
      <c r="CZ19" s="716">
        <f t="shared" si="28"/>
        <v>16280918.42</v>
      </c>
      <c r="DA19" s="723"/>
      <c r="DB19" s="653">
        <f t="shared" si="57"/>
        <v>101.42210842279181</v>
      </c>
      <c r="DC19" s="723"/>
      <c r="DD19" s="723"/>
      <c r="DE19" s="723"/>
      <c r="DF19" s="723"/>
      <c r="DG19" s="701">
        <f t="shared" si="29"/>
        <v>0</v>
      </c>
      <c r="DH19" s="701">
        <f t="shared" si="30"/>
        <v>0</v>
      </c>
      <c r="DI19" s="701">
        <f t="shared" si="31"/>
        <v>0</v>
      </c>
    </row>
    <row r="20" spans="1:114" s="20" customFormat="1" ht="67.5" customHeight="1">
      <c r="A20" s="20">
        <f t="shared" si="58"/>
        <v>7</v>
      </c>
      <c r="B20" s="1964"/>
      <c r="C20" s="806" t="s">
        <v>132</v>
      </c>
      <c r="D20" s="749" t="s">
        <v>142</v>
      </c>
      <c r="E20" s="617">
        <v>4632024035</v>
      </c>
      <c r="F20" s="806" t="s">
        <v>8</v>
      </c>
      <c r="G20" s="752" t="s">
        <v>890</v>
      </c>
      <c r="H20" s="819">
        <f t="shared" ref="H20:I28" si="59">2653.36*1.2</f>
        <v>3184.0320000000002</v>
      </c>
      <c r="I20" s="819">
        <f t="shared" si="59"/>
        <v>3184.0320000000002</v>
      </c>
      <c r="J20" s="38"/>
      <c r="K20" s="38"/>
      <c r="L20" s="819">
        <f t="shared" ref="L20:L28" si="60">2653.36*1.2</f>
        <v>3184.0320000000002</v>
      </c>
      <c r="M20" s="10"/>
      <c r="N20" s="622">
        <f t="shared" ref="N20:O22" si="61">2749.3*1.2</f>
        <v>3299.1600000000003</v>
      </c>
      <c r="O20" s="622">
        <f t="shared" si="61"/>
        <v>3299.1600000000003</v>
      </c>
      <c r="P20" s="10"/>
      <c r="Q20" s="10"/>
      <c r="R20" s="622">
        <f t="shared" ref="R20:R28" si="62">2749.3*1.2</f>
        <v>3299.1600000000003</v>
      </c>
      <c r="S20" s="10"/>
      <c r="T20" s="35">
        <v>540</v>
      </c>
      <c r="U20" s="15"/>
      <c r="V20" s="208"/>
      <c r="W20" s="15"/>
      <c r="X20" s="15"/>
      <c r="Y20" s="15"/>
      <c r="Z20" s="35">
        <f t="shared" si="34"/>
        <v>540</v>
      </c>
      <c r="AA20" s="35">
        <v>375</v>
      </c>
      <c r="AB20" s="15"/>
      <c r="AC20" s="208"/>
      <c r="AD20" s="15"/>
      <c r="AE20" s="15"/>
      <c r="AF20" s="15"/>
      <c r="AG20" s="35">
        <f t="shared" si="35"/>
        <v>375</v>
      </c>
      <c r="AH20" s="35">
        <f t="shared" si="36"/>
        <v>915</v>
      </c>
      <c r="AI20" s="15">
        <f t="shared" si="6"/>
        <v>915</v>
      </c>
      <c r="AJ20" s="15">
        <f t="shared" si="6"/>
        <v>0</v>
      </c>
      <c r="AK20" s="15">
        <f t="shared" si="6"/>
        <v>0</v>
      </c>
      <c r="AL20" s="15">
        <f t="shared" si="6"/>
        <v>0</v>
      </c>
      <c r="AM20" s="15">
        <f t="shared" si="6"/>
        <v>0</v>
      </c>
      <c r="AN20" s="15"/>
      <c r="AO20" s="15">
        <f t="shared" si="7"/>
        <v>915</v>
      </c>
      <c r="AP20" s="15">
        <f t="shared" si="37"/>
        <v>915</v>
      </c>
      <c r="AQ20" s="15">
        <f t="shared" si="38"/>
        <v>915</v>
      </c>
      <c r="AR20" s="127">
        <f t="shared" si="39"/>
        <v>0</v>
      </c>
      <c r="AS20" s="112">
        <f t="shared" si="8"/>
        <v>2913389.2800000003</v>
      </c>
      <c r="AT20" s="112">
        <f t="shared" si="8"/>
        <v>0</v>
      </c>
      <c r="AU20" s="112">
        <f t="shared" si="8"/>
        <v>0</v>
      </c>
      <c r="AV20" s="112">
        <f t="shared" si="8"/>
        <v>0</v>
      </c>
      <c r="AW20" s="112">
        <f t="shared" si="8"/>
        <v>0</v>
      </c>
      <c r="AX20" s="112">
        <f t="shared" si="40"/>
        <v>2913389.2800000003</v>
      </c>
      <c r="AY20" s="112">
        <f t="shared" si="41"/>
        <v>2913389.2800000003</v>
      </c>
      <c r="AZ20" s="112">
        <f t="shared" si="9"/>
        <v>3018731.4000000004</v>
      </c>
      <c r="BA20" s="112">
        <f t="shared" si="9"/>
        <v>0</v>
      </c>
      <c r="BB20" s="112">
        <f t="shared" si="9"/>
        <v>0</v>
      </c>
      <c r="BC20" s="112">
        <f t="shared" si="9"/>
        <v>0</v>
      </c>
      <c r="BD20" s="112">
        <f t="shared" si="9"/>
        <v>0</v>
      </c>
      <c r="BE20" s="112">
        <f t="shared" si="42"/>
        <v>3018731.4000000004</v>
      </c>
      <c r="BF20" s="112">
        <f t="shared" si="43"/>
        <v>3018731.4000000004</v>
      </c>
      <c r="BG20" s="112"/>
      <c r="BH20" s="112"/>
      <c r="BI20" s="112">
        <f t="shared" si="5"/>
        <v>0</v>
      </c>
      <c r="BJ20" s="112"/>
      <c r="BK20" s="112"/>
      <c r="BL20" s="112">
        <f t="shared" si="10"/>
        <v>1719377.28</v>
      </c>
      <c r="BM20" s="112">
        <f t="shared" si="10"/>
        <v>0</v>
      </c>
      <c r="BN20" s="112">
        <f t="shared" si="10"/>
        <v>0</v>
      </c>
      <c r="BO20" s="112">
        <f t="shared" si="10"/>
        <v>0</v>
      </c>
      <c r="BP20" s="112">
        <f t="shared" si="10"/>
        <v>0</v>
      </c>
      <c r="BQ20" s="112">
        <f t="shared" si="44"/>
        <v>1719377.28</v>
      </c>
      <c r="BR20" s="112">
        <f t="shared" si="45"/>
        <v>1719377.28</v>
      </c>
      <c r="BS20" s="112">
        <f t="shared" si="11"/>
        <v>1237185</v>
      </c>
      <c r="BT20" s="112">
        <f t="shared" si="11"/>
        <v>0</v>
      </c>
      <c r="BU20" s="112">
        <f t="shared" si="11"/>
        <v>0</v>
      </c>
      <c r="BV20" s="112">
        <f t="shared" si="12"/>
        <v>0</v>
      </c>
      <c r="BW20" s="112">
        <f t="shared" si="13"/>
        <v>0</v>
      </c>
      <c r="BX20" s="112">
        <f t="shared" si="46"/>
        <v>1237185</v>
      </c>
      <c r="BY20" s="112">
        <f t="shared" si="47"/>
        <v>1237185</v>
      </c>
      <c r="BZ20" s="113">
        <f t="shared" si="48"/>
        <v>0</v>
      </c>
      <c r="CA20" s="113">
        <f t="shared" si="48"/>
        <v>0</v>
      </c>
      <c r="CB20" s="113">
        <f t="shared" si="49"/>
        <v>0</v>
      </c>
      <c r="CC20" s="122" t="e">
        <f t="shared" si="50"/>
        <v>#DIV/0!</v>
      </c>
      <c r="CD20" s="122" t="e">
        <f t="shared" si="50"/>
        <v>#DIV/0!</v>
      </c>
      <c r="CE20" s="122" t="e">
        <f t="shared" si="51"/>
        <v>#DIV/0!</v>
      </c>
      <c r="CF20" s="113" t="e">
        <f t="shared" si="14"/>
        <v>#DIV/0!</v>
      </c>
      <c r="CG20" s="619">
        <f t="shared" si="15"/>
        <v>0</v>
      </c>
      <c r="CH20" s="132" t="e">
        <f t="shared" si="52"/>
        <v>#DIV/0!</v>
      </c>
      <c r="CI20" s="106"/>
      <c r="CJ20" s="208">
        <f t="shared" si="16"/>
        <v>1719.3772799999999</v>
      </c>
      <c r="CK20" s="208">
        <f t="shared" si="17"/>
        <v>1237.1849999999999</v>
      </c>
      <c r="CL20" s="208">
        <f t="shared" si="53"/>
        <v>2956.5622800000001</v>
      </c>
      <c r="CM20" s="112">
        <f t="shared" si="18"/>
        <v>2956562.2800000003</v>
      </c>
      <c r="CN20" s="112">
        <f t="shared" si="19"/>
        <v>2913389.2800000003</v>
      </c>
      <c r="CO20" s="112">
        <f t="shared" si="20"/>
        <v>2913389.2800000003</v>
      </c>
      <c r="CP20" s="112">
        <f t="shared" si="21"/>
        <v>1719377.28</v>
      </c>
      <c r="CQ20" s="112">
        <f t="shared" si="22"/>
        <v>3018731.4000000004</v>
      </c>
      <c r="CR20" s="112">
        <f t="shared" si="23"/>
        <v>3018731.4000000004</v>
      </c>
      <c r="CS20" s="112">
        <f t="shared" si="24"/>
        <v>1237185</v>
      </c>
      <c r="CT20" s="112">
        <f t="shared" si="54"/>
        <v>5932120.6800000006</v>
      </c>
      <c r="CU20" s="124">
        <f t="shared" si="55"/>
        <v>6483192.0000000009</v>
      </c>
      <c r="CV20" s="112">
        <f t="shared" si="25"/>
        <v>0</v>
      </c>
      <c r="CW20" s="112">
        <f t="shared" si="26"/>
        <v>0</v>
      </c>
      <c r="CX20" s="112">
        <f t="shared" si="56"/>
        <v>0</v>
      </c>
      <c r="CY20" s="112">
        <f t="shared" si="27"/>
        <v>2913389.2800000003</v>
      </c>
      <c r="CZ20" s="112">
        <f t="shared" si="28"/>
        <v>3018731.4000000004</v>
      </c>
      <c r="DA20" s="106"/>
      <c r="DB20" s="128" t="e">
        <f t="shared" si="57"/>
        <v>#DIV/0!</v>
      </c>
      <c r="DC20" s="106"/>
      <c r="DD20" s="106"/>
      <c r="DE20" s="106"/>
      <c r="DF20" s="106"/>
      <c r="DG20" s="618">
        <f t="shared" si="29"/>
        <v>0</v>
      </c>
      <c r="DH20" s="618">
        <f t="shared" si="30"/>
        <v>0</v>
      </c>
      <c r="DI20" s="618">
        <f t="shared" si="31"/>
        <v>0</v>
      </c>
      <c r="DJ20" s="115"/>
    </row>
    <row r="21" spans="1:114" s="20" customFormat="1" ht="66" customHeight="1">
      <c r="A21" s="20">
        <f t="shared" si="58"/>
        <v>8</v>
      </c>
      <c r="B21" s="1965"/>
      <c r="C21" s="806" t="s">
        <v>74</v>
      </c>
      <c r="D21" s="749" t="s">
        <v>141</v>
      </c>
      <c r="E21" s="617">
        <v>4632024035</v>
      </c>
      <c r="F21" s="806" t="s">
        <v>8</v>
      </c>
      <c r="G21" s="752" t="s">
        <v>890</v>
      </c>
      <c r="H21" s="819">
        <f t="shared" si="59"/>
        <v>3184.0320000000002</v>
      </c>
      <c r="I21" s="819">
        <f t="shared" si="59"/>
        <v>3184.0320000000002</v>
      </c>
      <c r="J21" s="38"/>
      <c r="K21" s="38"/>
      <c r="L21" s="819">
        <f t="shared" si="60"/>
        <v>3184.0320000000002</v>
      </c>
      <c r="M21" s="10"/>
      <c r="N21" s="622">
        <f t="shared" si="61"/>
        <v>3299.1600000000003</v>
      </c>
      <c r="O21" s="622">
        <f t="shared" si="61"/>
        <v>3299.1600000000003</v>
      </c>
      <c r="P21" s="10"/>
      <c r="Q21" s="10"/>
      <c r="R21" s="622">
        <f t="shared" si="62"/>
        <v>3299.1600000000003</v>
      </c>
      <c r="S21" s="10"/>
      <c r="T21" s="35">
        <v>375.15600000000001</v>
      </c>
      <c r="U21" s="15"/>
      <c r="V21" s="208"/>
      <c r="W21" s="15"/>
      <c r="X21" s="15"/>
      <c r="Y21" s="15"/>
      <c r="Z21" s="35">
        <f t="shared" si="34"/>
        <v>375.15600000000001</v>
      </c>
      <c r="AA21" s="35">
        <v>217.84800000000001</v>
      </c>
      <c r="AB21" s="15"/>
      <c r="AC21" s="208"/>
      <c r="AD21" s="15"/>
      <c r="AE21" s="15"/>
      <c r="AF21" s="15"/>
      <c r="AG21" s="35">
        <f t="shared" si="35"/>
        <v>217.84800000000001</v>
      </c>
      <c r="AH21" s="35">
        <f t="shared" si="36"/>
        <v>593.00400000000002</v>
      </c>
      <c r="AI21" s="15">
        <f t="shared" si="6"/>
        <v>593.00400000000002</v>
      </c>
      <c r="AJ21" s="15">
        <f t="shared" si="6"/>
        <v>0</v>
      </c>
      <c r="AK21" s="15">
        <f t="shared" si="6"/>
        <v>0</v>
      </c>
      <c r="AL21" s="15">
        <f t="shared" si="6"/>
        <v>0</v>
      </c>
      <c r="AM21" s="15">
        <f t="shared" si="6"/>
        <v>0</v>
      </c>
      <c r="AN21" s="15"/>
      <c r="AO21" s="15">
        <f t="shared" si="7"/>
        <v>593.00400000000002</v>
      </c>
      <c r="AP21" s="15">
        <f t="shared" si="37"/>
        <v>593.00400000000002</v>
      </c>
      <c r="AQ21" s="15">
        <f t="shared" si="38"/>
        <v>593.00400000000002</v>
      </c>
      <c r="AR21" s="127">
        <f t="shared" si="39"/>
        <v>0</v>
      </c>
      <c r="AS21" s="112">
        <f t="shared" si="8"/>
        <v>1888143.7121280001</v>
      </c>
      <c r="AT21" s="112">
        <f t="shared" si="8"/>
        <v>0</v>
      </c>
      <c r="AU21" s="112">
        <f t="shared" si="8"/>
        <v>0</v>
      </c>
      <c r="AV21" s="112">
        <f t="shared" si="8"/>
        <v>0</v>
      </c>
      <c r="AW21" s="112">
        <f t="shared" si="8"/>
        <v>0</v>
      </c>
      <c r="AX21" s="112">
        <f t="shared" si="40"/>
        <v>1888143.7121280001</v>
      </c>
      <c r="AY21" s="112">
        <f t="shared" si="41"/>
        <v>1888143.7121280001</v>
      </c>
      <c r="AZ21" s="112">
        <f t="shared" si="9"/>
        <v>1956415.0766400003</v>
      </c>
      <c r="BA21" s="112">
        <f t="shared" si="9"/>
        <v>0</v>
      </c>
      <c r="BB21" s="112">
        <f t="shared" si="9"/>
        <v>0</v>
      </c>
      <c r="BC21" s="112">
        <f t="shared" si="9"/>
        <v>0</v>
      </c>
      <c r="BD21" s="112">
        <f t="shared" si="9"/>
        <v>0</v>
      </c>
      <c r="BE21" s="112">
        <f t="shared" si="42"/>
        <v>1956415.0766400003</v>
      </c>
      <c r="BF21" s="112">
        <f t="shared" si="43"/>
        <v>1956415.0766400003</v>
      </c>
      <c r="BG21" s="112"/>
      <c r="BH21" s="112"/>
      <c r="BI21" s="112">
        <f t="shared" si="5"/>
        <v>0</v>
      </c>
      <c r="BJ21" s="112"/>
      <c r="BK21" s="112"/>
      <c r="BL21" s="112">
        <f t="shared" si="10"/>
        <v>1194508.708992</v>
      </c>
      <c r="BM21" s="112">
        <f t="shared" si="10"/>
        <v>0</v>
      </c>
      <c r="BN21" s="112">
        <f t="shared" si="10"/>
        <v>0</v>
      </c>
      <c r="BO21" s="112">
        <f t="shared" si="10"/>
        <v>0</v>
      </c>
      <c r="BP21" s="112">
        <f t="shared" si="10"/>
        <v>0</v>
      </c>
      <c r="BQ21" s="112">
        <f t="shared" si="44"/>
        <v>1194508.708992</v>
      </c>
      <c r="BR21" s="112">
        <f t="shared" si="45"/>
        <v>1194508.708992</v>
      </c>
      <c r="BS21" s="112">
        <f t="shared" si="11"/>
        <v>718715.40768000006</v>
      </c>
      <c r="BT21" s="112">
        <f t="shared" si="11"/>
        <v>0</v>
      </c>
      <c r="BU21" s="112">
        <f t="shared" si="11"/>
        <v>0</v>
      </c>
      <c r="BV21" s="112">
        <f t="shared" si="12"/>
        <v>0</v>
      </c>
      <c r="BW21" s="112">
        <f t="shared" si="13"/>
        <v>0</v>
      </c>
      <c r="BX21" s="112">
        <f t="shared" si="46"/>
        <v>718715.40768000006</v>
      </c>
      <c r="BY21" s="112">
        <f t="shared" si="47"/>
        <v>718715.40768000006</v>
      </c>
      <c r="BZ21" s="113">
        <f t="shared" si="48"/>
        <v>0</v>
      </c>
      <c r="CA21" s="113">
        <f t="shared" si="48"/>
        <v>0</v>
      </c>
      <c r="CB21" s="113">
        <f t="shared" si="49"/>
        <v>0</v>
      </c>
      <c r="CC21" s="122" t="e">
        <f t="shared" si="50"/>
        <v>#DIV/0!</v>
      </c>
      <c r="CD21" s="122" t="e">
        <f t="shared" si="50"/>
        <v>#DIV/0!</v>
      </c>
      <c r="CE21" s="122" t="e">
        <f t="shared" si="51"/>
        <v>#DIV/0!</v>
      </c>
      <c r="CF21" s="113" t="e">
        <f t="shared" si="14"/>
        <v>#DIV/0!</v>
      </c>
      <c r="CG21" s="619">
        <f t="shared" si="15"/>
        <v>0</v>
      </c>
      <c r="CH21" s="132" t="e">
        <f t="shared" si="52"/>
        <v>#DIV/0!</v>
      </c>
      <c r="CI21" s="106"/>
      <c r="CJ21" s="208">
        <f t="shared" si="16"/>
        <v>1194.508708992</v>
      </c>
      <c r="CK21" s="208">
        <f t="shared" si="17"/>
        <v>718.71540768000011</v>
      </c>
      <c r="CL21" s="208">
        <f t="shared" si="53"/>
        <v>1913.224116672</v>
      </c>
      <c r="CM21" s="112">
        <f t="shared" si="18"/>
        <v>1913224.1166719999</v>
      </c>
      <c r="CN21" s="112">
        <f t="shared" si="19"/>
        <v>1888143.7121280001</v>
      </c>
      <c r="CO21" s="112">
        <f t="shared" si="20"/>
        <v>1888143.7121280001</v>
      </c>
      <c r="CP21" s="112">
        <f t="shared" si="21"/>
        <v>1194508.708992</v>
      </c>
      <c r="CQ21" s="112">
        <f t="shared" si="22"/>
        <v>1956415.0766400003</v>
      </c>
      <c r="CR21" s="112">
        <f t="shared" si="23"/>
        <v>1956415.0766400003</v>
      </c>
      <c r="CS21" s="112">
        <f t="shared" si="24"/>
        <v>718715.40768000006</v>
      </c>
      <c r="CT21" s="112">
        <f t="shared" si="54"/>
        <v>3844558.7887680004</v>
      </c>
      <c r="CU21" s="124">
        <f t="shared" si="55"/>
        <v>6483192.0000000009</v>
      </c>
      <c r="CV21" s="112">
        <f t="shared" si="25"/>
        <v>0</v>
      </c>
      <c r="CW21" s="112">
        <f t="shared" si="26"/>
        <v>0</v>
      </c>
      <c r="CX21" s="112">
        <f t="shared" si="56"/>
        <v>0</v>
      </c>
      <c r="CY21" s="112">
        <f t="shared" si="27"/>
        <v>1888143.7121280001</v>
      </c>
      <c r="CZ21" s="112">
        <f t="shared" si="28"/>
        <v>1956415.0766400003</v>
      </c>
      <c r="DA21" s="106"/>
      <c r="DB21" s="128" t="e">
        <f t="shared" si="57"/>
        <v>#DIV/0!</v>
      </c>
      <c r="DC21" s="106"/>
      <c r="DD21" s="106"/>
      <c r="DE21" s="106"/>
      <c r="DF21" s="106"/>
      <c r="DG21" s="618">
        <f t="shared" si="29"/>
        <v>0</v>
      </c>
      <c r="DH21" s="618">
        <f t="shared" si="30"/>
        <v>0</v>
      </c>
      <c r="DI21" s="618">
        <f t="shared" si="31"/>
        <v>0</v>
      </c>
      <c r="DJ21" s="115"/>
    </row>
    <row r="22" spans="1:114" s="32" customFormat="1" ht="63.75" customHeight="1">
      <c r="A22" s="20">
        <f t="shared" si="58"/>
        <v>9</v>
      </c>
      <c r="B22" s="1896" t="s">
        <v>11</v>
      </c>
      <c r="C22" s="806" t="s">
        <v>75</v>
      </c>
      <c r="D22" s="749" t="s">
        <v>142</v>
      </c>
      <c r="E22" s="617">
        <v>4632024035</v>
      </c>
      <c r="F22" s="806" t="s">
        <v>8</v>
      </c>
      <c r="G22" s="752" t="s">
        <v>890</v>
      </c>
      <c r="H22" s="819">
        <f t="shared" si="59"/>
        <v>3184.0320000000002</v>
      </c>
      <c r="I22" s="819">
        <f t="shared" si="59"/>
        <v>3184.0320000000002</v>
      </c>
      <c r="J22" s="38">
        <v>2103.35</v>
      </c>
      <c r="K22" s="38"/>
      <c r="L22" s="819">
        <f t="shared" si="60"/>
        <v>3184.0320000000002</v>
      </c>
      <c r="M22" s="38"/>
      <c r="N22" s="622">
        <f t="shared" si="61"/>
        <v>3299.1600000000003</v>
      </c>
      <c r="O22" s="622">
        <f t="shared" si="61"/>
        <v>3299.1600000000003</v>
      </c>
      <c r="P22" s="38">
        <v>2239.86</v>
      </c>
      <c r="Q22" s="38"/>
      <c r="R22" s="622">
        <f t="shared" si="62"/>
        <v>3299.1600000000003</v>
      </c>
      <c r="S22" s="38"/>
      <c r="T22" s="16">
        <f>3184.688+141.433</f>
        <v>3326.1210000000001</v>
      </c>
      <c r="U22" s="16">
        <v>565.57600000000002</v>
      </c>
      <c r="V22" s="227"/>
      <c r="W22" s="16"/>
      <c r="X22" s="16"/>
      <c r="Y22" s="16"/>
      <c r="Z22" s="178">
        <f t="shared" si="34"/>
        <v>3891.6970000000001</v>
      </c>
      <c r="AA22" s="16">
        <f>1810.608+82.128</f>
        <v>1892.7359999999999</v>
      </c>
      <c r="AB22" s="16">
        <v>424.18200000000002</v>
      </c>
      <c r="AC22" s="227"/>
      <c r="AD22" s="16"/>
      <c r="AE22" s="16"/>
      <c r="AF22" s="16"/>
      <c r="AG22" s="178">
        <f t="shared" si="35"/>
        <v>2316.9179999999997</v>
      </c>
      <c r="AH22" s="178">
        <f t="shared" si="36"/>
        <v>6208.6149999999998</v>
      </c>
      <c r="AI22" s="16">
        <f t="shared" si="6"/>
        <v>5218.857</v>
      </c>
      <c r="AJ22" s="16">
        <f t="shared" si="6"/>
        <v>989.75800000000004</v>
      </c>
      <c r="AK22" s="16">
        <f t="shared" si="6"/>
        <v>0</v>
      </c>
      <c r="AL22" s="16">
        <f t="shared" si="6"/>
        <v>0</v>
      </c>
      <c r="AM22" s="16">
        <f t="shared" si="6"/>
        <v>0</v>
      </c>
      <c r="AN22" s="16"/>
      <c r="AO22" s="16">
        <f t="shared" si="7"/>
        <v>6208.6149999999998</v>
      </c>
      <c r="AP22" s="16">
        <f t="shared" si="37"/>
        <v>6208.6149999999998</v>
      </c>
      <c r="AQ22" s="16">
        <f t="shared" si="38"/>
        <v>6208.6149999999998</v>
      </c>
      <c r="AR22" s="127">
        <f t="shared" si="39"/>
        <v>0</v>
      </c>
      <c r="AS22" s="112">
        <f t="shared" si="8"/>
        <v>16617007.691424001</v>
      </c>
      <c r="AT22" s="112">
        <f t="shared" si="8"/>
        <v>2081807.4893</v>
      </c>
      <c r="AU22" s="112">
        <f t="shared" si="8"/>
        <v>0</v>
      </c>
      <c r="AV22" s="112">
        <f t="shared" si="8"/>
        <v>0</v>
      </c>
      <c r="AW22" s="112">
        <f t="shared" si="8"/>
        <v>0</v>
      </c>
      <c r="AX22" s="112">
        <f t="shared" si="40"/>
        <v>18698815.180724002</v>
      </c>
      <c r="AY22" s="112">
        <f t="shared" si="41"/>
        <v>18698815.180724002</v>
      </c>
      <c r="AZ22" s="112">
        <f t="shared" si="9"/>
        <v>17217844.260120001</v>
      </c>
      <c r="BA22" s="112">
        <f t="shared" si="9"/>
        <v>2216919.3538800003</v>
      </c>
      <c r="BB22" s="112">
        <f t="shared" si="9"/>
        <v>0</v>
      </c>
      <c r="BC22" s="112">
        <f t="shared" si="9"/>
        <v>0</v>
      </c>
      <c r="BD22" s="112">
        <f t="shared" si="9"/>
        <v>0</v>
      </c>
      <c r="BE22" s="112">
        <f t="shared" si="42"/>
        <v>19434763.614</v>
      </c>
      <c r="BF22" s="112">
        <f t="shared" si="43"/>
        <v>19434763.614</v>
      </c>
      <c r="BG22" s="623">
        <f>(I22-J22)/1.2*U22/1000</f>
        <v>509.33983569333355</v>
      </c>
      <c r="BH22" s="624">
        <f>(O22-P22)/1.2*AB22/1000</f>
        <v>374.44666050000012</v>
      </c>
      <c r="BI22" s="623">
        <f t="shared" si="5"/>
        <v>883.78649619333373</v>
      </c>
      <c r="BJ22" s="169"/>
      <c r="BK22" s="169"/>
      <c r="BL22" s="112">
        <f t="shared" si="10"/>
        <v>10590475.699872</v>
      </c>
      <c r="BM22" s="112">
        <f t="shared" si="10"/>
        <v>1189604.2796</v>
      </c>
      <c r="BN22" s="112">
        <f t="shared" si="10"/>
        <v>0</v>
      </c>
      <c r="BO22" s="112">
        <f t="shared" si="10"/>
        <v>0</v>
      </c>
      <c r="BP22" s="112">
        <f t="shared" si="10"/>
        <v>0</v>
      </c>
      <c r="BQ22" s="112">
        <f t="shared" si="44"/>
        <v>11780079.979472</v>
      </c>
      <c r="BR22" s="112">
        <f t="shared" si="45"/>
        <v>11780079.979472</v>
      </c>
      <c r="BS22" s="112">
        <f t="shared" si="11"/>
        <v>6244438.9017599998</v>
      </c>
      <c r="BT22" s="112">
        <f t="shared" si="11"/>
        <v>950108.29452000011</v>
      </c>
      <c r="BU22" s="112">
        <f t="shared" si="11"/>
        <v>0</v>
      </c>
      <c r="BV22" s="112">
        <f t="shared" si="12"/>
        <v>0</v>
      </c>
      <c r="BW22" s="112">
        <f t="shared" si="13"/>
        <v>0</v>
      </c>
      <c r="BX22" s="112">
        <f t="shared" si="46"/>
        <v>7194547.1962799998</v>
      </c>
      <c r="BY22" s="112">
        <f t="shared" si="47"/>
        <v>7194547.1962799998</v>
      </c>
      <c r="BZ22" s="113">
        <f t="shared" si="48"/>
        <v>2139712.57412</v>
      </c>
      <c r="CA22" s="113">
        <f t="shared" si="48"/>
        <v>0</v>
      </c>
      <c r="CB22" s="113">
        <f t="shared" si="49"/>
        <v>2139712.57412</v>
      </c>
      <c r="CC22" s="119">
        <f t="shared" si="50"/>
        <v>2161.8542857142857</v>
      </c>
      <c r="CD22" s="119" t="e">
        <f t="shared" si="50"/>
        <v>#DIV/0!</v>
      </c>
      <c r="CE22" s="119">
        <f t="shared" si="51"/>
        <v>2161.8542857142857</v>
      </c>
      <c r="CF22" s="119">
        <f t="shared" si="14"/>
        <v>2161.8542857142857</v>
      </c>
      <c r="CG22" s="619">
        <f t="shared" si="15"/>
        <v>3200256.3695520004</v>
      </c>
      <c r="CH22" s="132">
        <f t="shared" si="52"/>
        <v>3233.3725714285715</v>
      </c>
      <c r="CI22" s="625"/>
      <c r="CJ22" s="208">
        <f t="shared" si="16"/>
        <v>12391.287782304</v>
      </c>
      <c r="CK22" s="208">
        <f t="shared" si="17"/>
        <v>7643.8831888799996</v>
      </c>
      <c r="CL22" s="208">
        <f t="shared" si="53"/>
        <v>20035.170971184001</v>
      </c>
      <c r="CM22" s="112">
        <f t="shared" si="18"/>
        <v>20035170.971184</v>
      </c>
      <c r="CN22" s="112">
        <f t="shared" si="19"/>
        <v>18698815.180724002</v>
      </c>
      <c r="CO22" s="112">
        <f t="shared" si="20"/>
        <v>18698815.180724002</v>
      </c>
      <c r="CP22" s="112">
        <f t="shared" si="21"/>
        <v>11780079.979472</v>
      </c>
      <c r="CQ22" s="112">
        <f t="shared" si="22"/>
        <v>19434763.614</v>
      </c>
      <c r="CR22" s="112">
        <f t="shared" si="23"/>
        <v>19434763.614</v>
      </c>
      <c r="CS22" s="112">
        <f t="shared" si="24"/>
        <v>7194547.1962799998</v>
      </c>
      <c r="CT22" s="112">
        <f t="shared" si="54"/>
        <v>38133578.794724002</v>
      </c>
      <c r="CU22" s="124">
        <f t="shared" si="55"/>
        <v>6142042.7574787615</v>
      </c>
      <c r="CV22" s="112">
        <f t="shared" si="25"/>
        <v>2081807.4893</v>
      </c>
      <c r="CW22" s="112">
        <f t="shared" si="26"/>
        <v>2216919.3538800003</v>
      </c>
      <c r="CX22" s="112">
        <f t="shared" si="56"/>
        <v>4298726.8431800008</v>
      </c>
      <c r="CY22" s="112">
        <f t="shared" si="27"/>
        <v>19768428.83568</v>
      </c>
      <c r="CZ22" s="112">
        <f t="shared" si="28"/>
        <v>20483214.2634</v>
      </c>
      <c r="DA22" s="625"/>
      <c r="DB22" s="128">
        <f t="shared" si="57"/>
        <v>156.8526398364514</v>
      </c>
      <c r="DC22" s="625"/>
      <c r="DD22" s="625"/>
      <c r="DE22" s="625"/>
      <c r="DF22" s="625"/>
      <c r="DG22" s="618">
        <f t="shared" si="29"/>
        <v>0</v>
      </c>
      <c r="DH22" s="618">
        <f t="shared" si="30"/>
        <v>0</v>
      </c>
      <c r="DI22" s="618">
        <f t="shared" si="31"/>
        <v>0</v>
      </c>
      <c r="DJ22" s="123"/>
    </row>
    <row r="23" spans="1:114" s="20" customFormat="1" ht="63.75" customHeight="1">
      <c r="A23" s="20">
        <f t="shared" si="58"/>
        <v>10</v>
      </c>
      <c r="B23" s="1897"/>
      <c r="C23" s="806" t="s">
        <v>76</v>
      </c>
      <c r="D23" s="749" t="s">
        <v>141</v>
      </c>
      <c r="E23" s="617">
        <v>4632024035</v>
      </c>
      <c r="F23" s="806" t="s">
        <v>8</v>
      </c>
      <c r="G23" s="752" t="s">
        <v>890</v>
      </c>
      <c r="H23" s="819">
        <f t="shared" si="59"/>
        <v>3184.0320000000002</v>
      </c>
      <c r="I23" s="819">
        <f t="shared" si="59"/>
        <v>3184.0320000000002</v>
      </c>
      <c r="J23" s="38"/>
      <c r="K23" s="38"/>
      <c r="L23" s="819">
        <f t="shared" si="60"/>
        <v>3184.0320000000002</v>
      </c>
      <c r="M23" s="10"/>
      <c r="N23" s="622">
        <f t="shared" ref="N23:O27" si="63">2749.3*1.2</f>
        <v>3299.1600000000003</v>
      </c>
      <c r="O23" s="622">
        <f t="shared" si="63"/>
        <v>3299.1600000000003</v>
      </c>
      <c r="P23" s="10"/>
      <c r="Q23" s="10"/>
      <c r="R23" s="622">
        <f t="shared" si="62"/>
        <v>3299.1600000000003</v>
      </c>
      <c r="S23" s="10"/>
      <c r="T23" s="35">
        <f>203.758</f>
        <v>203.75800000000001</v>
      </c>
      <c r="U23" s="15"/>
      <c r="V23" s="208"/>
      <c r="W23" s="15"/>
      <c r="X23" s="15"/>
      <c r="Y23" s="15"/>
      <c r="Z23" s="35">
        <f t="shared" si="34"/>
        <v>203.75800000000001</v>
      </c>
      <c r="AA23" s="35">
        <v>118.32000000000001</v>
      </c>
      <c r="AB23" s="15"/>
      <c r="AC23" s="208"/>
      <c r="AD23" s="15"/>
      <c r="AE23" s="15"/>
      <c r="AF23" s="15"/>
      <c r="AG23" s="35">
        <f t="shared" si="35"/>
        <v>118.32000000000001</v>
      </c>
      <c r="AH23" s="35">
        <f t="shared" si="36"/>
        <v>322.07800000000003</v>
      </c>
      <c r="AI23" s="15">
        <f t="shared" si="6"/>
        <v>322.07800000000003</v>
      </c>
      <c r="AJ23" s="15">
        <f t="shared" si="6"/>
        <v>0</v>
      </c>
      <c r="AK23" s="15">
        <f t="shared" si="6"/>
        <v>0</v>
      </c>
      <c r="AL23" s="15">
        <f t="shared" si="6"/>
        <v>0</v>
      </c>
      <c r="AM23" s="15">
        <f t="shared" si="6"/>
        <v>0</v>
      </c>
      <c r="AN23" s="15"/>
      <c r="AO23" s="15">
        <f t="shared" si="7"/>
        <v>322.07800000000003</v>
      </c>
      <c r="AP23" s="15">
        <f t="shared" si="37"/>
        <v>322.07800000000003</v>
      </c>
      <c r="AQ23" s="15">
        <f t="shared" si="38"/>
        <v>322.07800000000003</v>
      </c>
      <c r="AR23" s="127">
        <f t="shared" si="39"/>
        <v>0</v>
      </c>
      <c r="AS23" s="112">
        <f t="shared" si="8"/>
        <v>1025506.6584960001</v>
      </c>
      <c r="AT23" s="112">
        <f t="shared" si="8"/>
        <v>0</v>
      </c>
      <c r="AU23" s="112">
        <f t="shared" si="8"/>
        <v>0</v>
      </c>
      <c r="AV23" s="112">
        <f t="shared" si="8"/>
        <v>0</v>
      </c>
      <c r="AW23" s="112">
        <f t="shared" si="8"/>
        <v>0</v>
      </c>
      <c r="AX23" s="112">
        <f t="shared" si="40"/>
        <v>1025506.6584960001</v>
      </c>
      <c r="AY23" s="112">
        <f t="shared" si="41"/>
        <v>1025506.6584960001</v>
      </c>
      <c r="AZ23" s="112">
        <f t="shared" si="9"/>
        <v>1062586.8544800002</v>
      </c>
      <c r="BA23" s="112">
        <f t="shared" si="9"/>
        <v>0</v>
      </c>
      <c r="BB23" s="112">
        <f t="shared" si="9"/>
        <v>0</v>
      </c>
      <c r="BC23" s="112">
        <f t="shared" si="9"/>
        <v>0</v>
      </c>
      <c r="BD23" s="112">
        <f t="shared" si="9"/>
        <v>0</v>
      </c>
      <c r="BE23" s="112">
        <f t="shared" si="42"/>
        <v>1062586.8544800002</v>
      </c>
      <c r="BF23" s="112">
        <f t="shared" si="43"/>
        <v>1062586.8544800002</v>
      </c>
      <c r="BG23" s="112"/>
      <c r="BH23" s="112"/>
      <c r="BI23" s="112">
        <f t="shared" si="5"/>
        <v>0</v>
      </c>
      <c r="BJ23" s="112"/>
      <c r="BK23" s="112"/>
      <c r="BL23" s="112">
        <f t="shared" si="10"/>
        <v>648771.99225600006</v>
      </c>
      <c r="BM23" s="112">
        <f t="shared" si="10"/>
        <v>0</v>
      </c>
      <c r="BN23" s="112">
        <f t="shared" si="10"/>
        <v>0</v>
      </c>
      <c r="BO23" s="112">
        <f t="shared" si="10"/>
        <v>0</v>
      </c>
      <c r="BP23" s="112">
        <f t="shared" si="10"/>
        <v>0</v>
      </c>
      <c r="BQ23" s="112">
        <f t="shared" si="44"/>
        <v>648771.99225600006</v>
      </c>
      <c r="BR23" s="112">
        <f t="shared" si="45"/>
        <v>648771.99225600006</v>
      </c>
      <c r="BS23" s="112">
        <f t="shared" si="11"/>
        <v>390356.61120000004</v>
      </c>
      <c r="BT23" s="112">
        <f t="shared" si="11"/>
        <v>0</v>
      </c>
      <c r="BU23" s="112">
        <f t="shared" si="11"/>
        <v>0</v>
      </c>
      <c r="BV23" s="112">
        <f t="shared" si="12"/>
        <v>0</v>
      </c>
      <c r="BW23" s="112">
        <f t="shared" si="13"/>
        <v>0</v>
      </c>
      <c r="BX23" s="112">
        <f t="shared" si="46"/>
        <v>390356.61120000004</v>
      </c>
      <c r="BY23" s="112">
        <f t="shared" si="47"/>
        <v>390356.61120000004</v>
      </c>
      <c r="BZ23" s="113">
        <f t="shared" si="48"/>
        <v>0</v>
      </c>
      <c r="CA23" s="113">
        <f t="shared" si="48"/>
        <v>0</v>
      </c>
      <c r="CB23" s="113">
        <f t="shared" si="49"/>
        <v>0</v>
      </c>
      <c r="CC23" s="119" t="e">
        <f t="shared" si="50"/>
        <v>#DIV/0!</v>
      </c>
      <c r="CD23" s="119" t="e">
        <f t="shared" si="50"/>
        <v>#DIV/0!</v>
      </c>
      <c r="CE23" s="119" t="e">
        <f t="shared" si="51"/>
        <v>#DIV/0!</v>
      </c>
      <c r="CF23" s="113" t="e">
        <f t="shared" si="14"/>
        <v>#DIV/0!</v>
      </c>
      <c r="CG23" s="619">
        <f t="shared" si="15"/>
        <v>0</v>
      </c>
      <c r="CH23" s="132" t="e">
        <f t="shared" si="52"/>
        <v>#DIV/0!</v>
      </c>
      <c r="CI23" s="106"/>
      <c r="CJ23" s="208">
        <f t="shared" si="16"/>
        <v>648.77199225600009</v>
      </c>
      <c r="CK23" s="208">
        <f t="shared" si="17"/>
        <v>390.35661120000003</v>
      </c>
      <c r="CL23" s="208">
        <f t="shared" si="53"/>
        <v>1039.1286034560001</v>
      </c>
      <c r="CM23" s="112">
        <f t="shared" si="18"/>
        <v>1039128.6034560001</v>
      </c>
      <c r="CN23" s="112">
        <f t="shared" si="19"/>
        <v>1025506.6584960001</v>
      </c>
      <c r="CO23" s="112">
        <f t="shared" si="20"/>
        <v>1025506.6584960001</v>
      </c>
      <c r="CP23" s="112">
        <f t="shared" si="21"/>
        <v>648771.99225600006</v>
      </c>
      <c r="CQ23" s="112">
        <f t="shared" si="22"/>
        <v>1062586.8544800002</v>
      </c>
      <c r="CR23" s="112">
        <f t="shared" si="23"/>
        <v>1062586.8544800002</v>
      </c>
      <c r="CS23" s="112">
        <f t="shared" si="24"/>
        <v>390356.61120000004</v>
      </c>
      <c r="CT23" s="112">
        <f t="shared" si="54"/>
        <v>2088093.5129760003</v>
      </c>
      <c r="CU23" s="124">
        <f t="shared" si="55"/>
        <v>6483192</v>
      </c>
      <c r="CV23" s="112">
        <f t="shared" si="25"/>
        <v>0</v>
      </c>
      <c r="CW23" s="112">
        <f t="shared" si="26"/>
        <v>0</v>
      </c>
      <c r="CX23" s="112">
        <f t="shared" si="56"/>
        <v>0</v>
      </c>
      <c r="CY23" s="112">
        <f t="shared" si="27"/>
        <v>1025506.6584960001</v>
      </c>
      <c r="CZ23" s="112">
        <f t="shared" si="28"/>
        <v>1062586.8544800002</v>
      </c>
      <c r="DA23" s="106"/>
      <c r="DB23" s="128" t="e">
        <f t="shared" si="57"/>
        <v>#DIV/0!</v>
      </c>
      <c r="DC23" s="106"/>
      <c r="DD23" s="106"/>
      <c r="DE23" s="106"/>
      <c r="DF23" s="106"/>
      <c r="DG23" s="618">
        <f t="shared" si="29"/>
        <v>0</v>
      </c>
      <c r="DH23" s="618">
        <f t="shared" si="30"/>
        <v>0</v>
      </c>
      <c r="DI23" s="618">
        <f t="shared" si="31"/>
        <v>0</v>
      </c>
      <c r="DJ23" s="115"/>
    </row>
    <row r="24" spans="1:114" s="20" customFormat="1" ht="63.75" customHeight="1">
      <c r="A24" s="20">
        <f t="shared" si="58"/>
        <v>11</v>
      </c>
      <c r="B24" s="1897"/>
      <c r="C24" s="806" t="s">
        <v>77</v>
      </c>
      <c r="D24" s="749" t="s">
        <v>141</v>
      </c>
      <c r="E24" s="617">
        <v>4632024035</v>
      </c>
      <c r="F24" s="806" t="s">
        <v>8</v>
      </c>
      <c r="G24" s="752" t="s">
        <v>890</v>
      </c>
      <c r="H24" s="819">
        <f t="shared" si="59"/>
        <v>3184.0320000000002</v>
      </c>
      <c r="I24" s="819">
        <f t="shared" si="59"/>
        <v>3184.0320000000002</v>
      </c>
      <c r="J24" s="38"/>
      <c r="K24" s="38"/>
      <c r="L24" s="819">
        <f t="shared" si="60"/>
        <v>3184.0320000000002</v>
      </c>
      <c r="M24" s="10"/>
      <c r="N24" s="622">
        <f t="shared" si="63"/>
        <v>3299.1600000000003</v>
      </c>
      <c r="O24" s="622">
        <f t="shared" si="63"/>
        <v>3299.1600000000003</v>
      </c>
      <c r="P24" s="10"/>
      <c r="Q24" s="10"/>
      <c r="R24" s="622">
        <f t="shared" si="62"/>
        <v>3299.1600000000003</v>
      </c>
      <c r="S24" s="10"/>
      <c r="T24" s="35">
        <v>239.71700000000001</v>
      </c>
      <c r="U24" s="15"/>
      <c r="V24" s="208"/>
      <c r="W24" s="15"/>
      <c r="X24" s="15"/>
      <c r="Y24" s="15"/>
      <c r="Z24" s="35">
        <f t="shared" si="34"/>
        <v>239.71700000000001</v>
      </c>
      <c r="AA24" s="35">
        <v>139.20000000000002</v>
      </c>
      <c r="AB24" s="15"/>
      <c r="AC24" s="208"/>
      <c r="AD24" s="15"/>
      <c r="AE24" s="15"/>
      <c r="AF24" s="15"/>
      <c r="AG24" s="35">
        <f t="shared" si="35"/>
        <v>139.20000000000002</v>
      </c>
      <c r="AH24" s="35">
        <f t="shared" si="36"/>
        <v>378.91700000000003</v>
      </c>
      <c r="AI24" s="15">
        <f t="shared" si="6"/>
        <v>378.91700000000003</v>
      </c>
      <c r="AJ24" s="15">
        <f t="shared" si="6"/>
        <v>0</v>
      </c>
      <c r="AK24" s="15">
        <f t="shared" si="6"/>
        <v>0</v>
      </c>
      <c r="AL24" s="15">
        <f t="shared" si="6"/>
        <v>0</v>
      </c>
      <c r="AM24" s="15">
        <f t="shared" si="6"/>
        <v>0</v>
      </c>
      <c r="AN24" s="15"/>
      <c r="AO24" s="15">
        <f t="shared" si="7"/>
        <v>378.91700000000003</v>
      </c>
      <c r="AP24" s="15">
        <f t="shared" si="37"/>
        <v>378.91700000000003</v>
      </c>
      <c r="AQ24" s="15">
        <f t="shared" si="38"/>
        <v>378.91700000000003</v>
      </c>
      <c r="AR24" s="127">
        <f t="shared" si="39"/>
        <v>0</v>
      </c>
      <c r="AS24" s="112">
        <f t="shared" si="8"/>
        <v>1206483.8533440002</v>
      </c>
      <c r="AT24" s="112">
        <f t="shared" si="8"/>
        <v>0</v>
      </c>
      <c r="AU24" s="112">
        <f t="shared" si="8"/>
        <v>0</v>
      </c>
      <c r="AV24" s="112">
        <f t="shared" si="8"/>
        <v>0</v>
      </c>
      <c r="AW24" s="112">
        <f t="shared" si="8"/>
        <v>0</v>
      </c>
      <c r="AX24" s="112">
        <f t="shared" si="40"/>
        <v>1206483.8533440002</v>
      </c>
      <c r="AY24" s="112">
        <f t="shared" si="41"/>
        <v>1206483.8533440002</v>
      </c>
      <c r="AZ24" s="112">
        <f t="shared" si="9"/>
        <v>1250107.8097200003</v>
      </c>
      <c r="BA24" s="112">
        <f t="shared" si="9"/>
        <v>0</v>
      </c>
      <c r="BB24" s="112">
        <f t="shared" si="9"/>
        <v>0</v>
      </c>
      <c r="BC24" s="112">
        <f t="shared" si="9"/>
        <v>0</v>
      </c>
      <c r="BD24" s="112">
        <f t="shared" si="9"/>
        <v>0</v>
      </c>
      <c r="BE24" s="112">
        <f t="shared" si="42"/>
        <v>1250107.8097200003</v>
      </c>
      <c r="BF24" s="112">
        <f t="shared" si="43"/>
        <v>1250107.8097200003</v>
      </c>
      <c r="BG24" s="112"/>
      <c r="BH24" s="112"/>
      <c r="BI24" s="112">
        <f t="shared" si="5"/>
        <v>0</v>
      </c>
      <c r="BJ24" s="112"/>
      <c r="BK24" s="112"/>
      <c r="BL24" s="112">
        <f t="shared" si="10"/>
        <v>763266.59894400008</v>
      </c>
      <c r="BM24" s="112">
        <f t="shared" si="10"/>
        <v>0</v>
      </c>
      <c r="BN24" s="112">
        <f t="shared" si="10"/>
        <v>0</v>
      </c>
      <c r="BO24" s="112">
        <f t="shared" si="10"/>
        <v>0</v>
      </c>
      <c r="BP24" s="112">
        <f t="shared" si="10"/>
        <v>0</v>
      </c>
      <c r="BQ24" s="112">
        <f t="shared" si="44"/>
        <v>763266.59894400008</v>
      </c>
      <c r="BR24" s="112">
        <f t="shared" si="45"/>
        <v>763266.59894400008</v>
      </c>
      <c r="BS24" s="112">
        <f t="shared" si="11"/>
        <v>459243.0720000001</v>
      </c>
      <c r="BT24" s="112">
        <f t="shared" si="11"/>
        <v>0</v>
      </c>
      <c r="BU24" s="112">
        <f t="shared" si="11"/>
        <v>0</v>
      </c>
      <c r="BV24" s="112">
        <f t="shared" si="12"/>
        <v>0</v>
      </c>
      <c r="BW24" s="112">
        <f t="shared" si="13"/>
        <v>0</v>
      </c>
      <c r="BX24" s="112">
        <f t="shared" si="46"/>
        <v>459243.0720000001</v>
      </c>
      <c r="BY24" s="112">
        <f t="shared" si="47"/>
        <v>459243.0720000001</v>
      </c>
      <c r="BZ24" s="113">
        <f t="shared" si="48"/>
        <v>0</v>
      </c>
      <c r="CA24" s="113">
        <f t="shared" si="48"/>
        <v>0</v>
      </c>
      <c r="CB24" s="113">
        <f t="shared" si="49"/>
        <v>0</v>
      </c>
      <c r="CC24" s="119" t="e">
        <f t="shared" si="50"/>
        <v>#DIV/0!</v>
      </c>
      <c r="CD24" s="119" t="e">
        <f t="shared" si="50"/>
        <v>#DIV/0!</v>
      </c>
      <c r="CE24" s="119" t="e">
        <f t="shared" si="51"/>
        <v>#DIV/0!</v>
      </c>
      <c r="CF24" s="113" t="e">
        <f t="shared" si="14"/>
        <v>#DIV/0!</v>
      </c>
      <c r="CG24" s="619">
        <f t="shared" si="15"/>
        <v>0</v>
      </c>
      <c r="CH24" s="132" t="e">
        <f t="shared" si="52"/>
        <v>#DIV/0!</v>
      </c>
      <c r="CI24" s="106"/>
      <c r="CJ24" s="208">
        <f t="shared" si="16"/>
        <v>763.26659894400007</v>
      </c>
      <c r="CK24" s="208">
        <f t="shared" si="17"/>
        <v>459.2430720000001</v>
      </c>
      <c r="CL24" s="208">
        <f t="shared" si="53"/>
        <v>1222.5096709440002</v>
      </c>
      <c r="CM24" s="112">
        <f t="shared" si="18"/>
        <v>1222509.6709440001</v>
      </c>
      <c r="CN24" s="112">
        <f t="shared" si="19"/>
        <v>1206483.8533440002</v>
      </c>
      <c r="CO24" s="112">
        <f t="shared" si="20"/>
        <v>1206483.8533440002</v>
      </c>
      <c r="CP24" s="112">
        <f t="shared" si="21"/>
        <v>763266.59894400008</v>
      </c>
      <c r="CQ24" s="112">
        <f t="shared" si="22"/>
        <v>1250107.8097200003</v>
      </c>
      <c r="CR24" s="112">
        <f t="shared" si="23"/>
        <v>1250107.8097200003</v>
      </c>
      <c r="CS24" s="112">
        <f t="shared" si="24"/>
        <v>459243.0720000001</v>
      </c>
      <c r="CT24" s="112">
        <f t="shared" si="54"/>
        <v>2456591.6630640002</v>
      </c>
      <c r="CU24" s="124">
        <f t="shared" si="55"/>
        <v>6483192</v>
      </c>
      <c r="CV24" s="112">
        <f t="shared" si="25"/>
        <v>0</v>
      </c>
      <c r="CW24" s="112">
        <f t="shared" si="26"/>
        <v>0</v>
      </c>
      <c r="CX24" s="112">
        <f t="shared" si="56"/>
        <v>0</v>
      </c>
      <c r="CY24" s="112">
        <f t="shared" si="27"/>
        <v>1206483.8533440002</v>
      </c>
      <c r="CZ24" s="112">
        <f t="shared" si="28"/>
        <v>1250107.8097200003</v>
      </c>
      <c r="DA24" s="106"/>
      <c r="DB24" s="128" t="e">
        <f t="shared" si="57"/>
        <v>#DIV/0!</v>
      </c>
      <c r="DC24" s="106"/>
      <c r="DD24" s="106"/>
      <c r="DE24" s="106"/>
      <c r="DF24" s="106"/>
      <c r="DG24" s="618">
        <f t="shared" si="29"/>
        <v>0</v>
      </c>
      <c r="DH24" s="618">
        <f t="shared" si="30"/>
        <v>0</v>
      </c>
      <c r="DI24" s="618">
        <f t="shared" si="31"/>
        <v>0</v>
      </c>
      <c r="DJ24" s="115"/>
    </row>
    <row r="25" spans="1:114" s="20" customFormat="1" ht="63.75" customHeight="1">
      <c r="A25" s="20">
        <f t="shared" si="58"/>
        <v>12</v>
      </c>
      <c r="B25" s="1897"/>
      <c r="C25" s="806" t="s">
        <v>78</v>
      </c>
      <c r="D25" s="749" t="s">
        <v>141</v>
      </c>
      <c r="E25" s="617">
        <v>4632024035</v>
      </c>
      <c r="F25" s="806" t="s">
        <v>8</v>
      </c>
      <c r="G25" s="752" t="s">
        <v>890</v>
      </c>
      <c r="H25" s="819">
        <f t="shared" si="59"/>
        <v>3184.0320000000002</v>
      </c>
      <c r="I25" s="819">
        <f t="shared" si="59"/>
        <v>3184.0320000000002</v>
      </c>
      <c r="J25" s="38"/>
      <c r="K25" s="38"/>
      <c r="L25" s="819">
        <f t="shared" si="60"/>
        <v>3184.0320000000002</v>
      </c>
      <c r="M25" s="10"/>
      <c r="N25" s="622">
        <f t="shared" si="63"/>
        <v>3299.1600000000003</v>
      </c>
      <c r="O25" s="622">
        <f t="shared" si="63"/>
        <v>3299.1600000000003</v>
      </c>
      <c r="P25" s="10"/>
      <c r="Q25" s="10"/>
      <c r="R25" s="622">
        <f t="shared" si="62"/>
        <v>3299.1600000000003</v>
      </c>
      <c r="S25" s="10"/>
      <c r="T25" s="35">
        <v>155.815</v>
      </c>
      <c r="U25" s="15"/>
      <c r="V25" s="208"/>
      <c r="W25" s="15"/>
      <c r="X25" s="15"/>
      <c r="Y25" s="15"/>
      <c r="Z25" s="35">
        <f t="shared" si="34"/>
        <v>155.815</v>
      </c>
      <c r="AA25" s="35">
        <v>90.48</v>
      </c>
      <c r="AB25" s="15"/>
      <c r="AC25" s="208"/>
      <c r="AD25" s="15"/>
      <c r="AE25" s="15"/>
      <c r="AF25" s="15"/>
      <c r="AG25" s="35">
        <f t="shared" si="35"/>
        <v>90.48</v>
      </c>
      <c r="AH25" s="35">
        <f t="shared" si="36"/>
        <v>246.29500000000002</v>
      </c>
      <c r="AI25" s="15">
        <f t="shared" si="6"/>
        <v>246.29500000000002</v>
      </c>
      <c r="AJ25" s="15">
        <f t="shared" si="6"/>
        <v>0</v>
      </c>
      <c r="AK25" s="15">
        <f t="shared" si="6"/>
        <v>0</v>
      </c>
      <c r="AL25" s="15">
        <f t="shared" si="6"/>
        <v>0</v>
      </c>
      <c r="AM25" s="15">
        <f t="shared" si="6"/>
        <v>0</v>
      </c>
      <c r="AN25" s="15"/>
      <c r="AO25" s="15">
        <f t="shared" si="7"/>
        <v>246.29500000000002</v>
      </c>
      <c r="AP25" s="15">
        <f t="shared" si="37"/>
        <v>246.29500000000002</v>
      </c>
      <c r="AQ25" s="15">
        <f t="shared" si="38"/>
        <v>246.29500000000002</v>
      </c>
      <c r="AR25" s="127">
        <f t="shared" si="39"/>
        <v>0</v>
      </c>
      <c r="AS25" s="112">
        <f t="shared" si="8"/>
        <v>784211.16144000005</v>
      </c>
      <c r="AT25" s="112">
        <f t="shared" si="8"/>
        <v>0</v>
      </c>
      <c r="AU25" s="112">
        <f t="shared" si="8"/>
        <v>0</v>
      </c>
      <c r="AV25" s="112">
        <f t="shared" si="8"/>
        <v>0</v>
      </c>
      <c r="AW25" s="112">
        <f t="shared" si="8"/>
        <v>0</v>
      </c>
      <c r="AX25" s="112">
        <f t="shared" si="40"/>
        <v>784211.16144000005</v>
      </c>
      <c r="AY25" s="112">
        <f t="shared" si="41"/>
        <v>784211.16144000005</v>
      </c>
      <c r="AZ25" s="112">
        <f t="shared" si="9"/>
        <v>812566.61220000009</v>
      </c>
      <c r="BA25" s="112">
        <f t="shared" si="9"/>
        <v>0</v>
      </c>
      <c r="BB25" s="112">
        <f t="shared" si="9"/>
        <v>0</v>
      </c>
      <c r="BC25" s="112">
        <f t="shared" si="9"/>
        <v>0</v>
      </c>
      <c r="BD25" s="112">
        <f t="shared" si="9"/>
        <v>0</v>
      </c>
      <c r="BE25" s="112">
        <f t="shared" si="42"/>
        <v>812566.61220000009</v>
      </c>
      <c r="BF25" s="112">
        <f t="shared" si="43"/>
        <v>812566.61220000009</v>
      </c>
      <c r="BG25" s="112"/>
      <c r="BH25" s="112"/>
      <c r="BI25" s="112">
        <f t="shared" si="5"/>
        <v>0</v>
      </c>
      <c r="BJ25" s="112"/>
      <c r="BK25" s="112"/>
      <c r="BL25" s="112">
        <f t="shared" si="10"/>
        <v>496119.94608000002</v>
      </c>
      <c r="BM25" s="112">
        <f t="shared" si="10"/>
        <v>0</v>
      </c>
      <c r="BN25" s="112">
        <f t="shared" si="10"/>
        <v>0</v>
      </c>
      <c r="BO25" s="112">
        <f t="shared" si="10"/>
        <v>0</v>
      </c>
      <c r="BP25" s="112">
        <f t="shared" si="10"/>
        <v>0</v>
      </c>
      <c r="BQ25" s="112">
        <f t="shared" si="44"/>
        <v>496119.94608000002</v>
      </c>
      <c r="BR25" s="112">
        <f t="shared" si="45"/>
        <v>496119.94608000002</v>
      </c>
      <c r="BS25" s="112">
        <f t="shared" si="11"/>
        <v>298507.99680000002</v>
      </c>
      <c r="BT25" s="112">
        <f t="shared" si="11"/>
        <v>0</v>
      </c>
      <c r="BU25" s="112">
        <f t="shared" si="11"/>
        <v>0</v>
      </c>
      <c r="BV25" s="112">
        <f t="shared" si="12"/>
        <v>0</v>
      </c>
      <c r="BW25" s="112">
        <f t="shared" si="13"/>
        <v>0</v>
      </c>
      <c r="BX25" s="112">
        <f t="shared" si="46"/>
        <v>298507.99680000002</v>
      </c>
      <c r="BY25" s="112">
        <f t="shared" si="47"/>
        <v>298507.99680000002</v>
      </c>
      <c r="BZ25" s="113">
        <f t="shared" si="48"/>
        <v>0</v>
      </c>
      <c r="CA25" s="113">
        <f t="shared" si="48"/>
        <v>0</v>
      </c>
      <c r="CB25" s="113">
        <f t="shared" si="49"/>
        <v>0</v>
      </c>
      <c r="CC25" s="119" t="e">
        <f t="shared" si="50"/>
        <v>#DIV/0!</v>
      </c>
      <c r="CD25" s="119" t="e">
        <f t="shared" si="50"/>
        <v>#DIV/0!</v>
      </c>
      <c r="CE25" s="119" t="e">
        <f t="shared" si="51"/>
        <v>#DIV/0!</v>
      </c>
      <c r="CF25" s="113" t="e">
        <f t="shared" si="14"/>
        <v>#DIV/0!</v>
      </c>
      <c r="CG25" s="619">
        <f t="shared" si="15"/>
        <v>0</v>
      </c>
      <c r="CH25" s="132" t="e">
        <f t="shared" si="52"/>
        <v>#DIV/0!</v>
      </c>
      <c r="CI25" s="106"/>
      <c r="CJ25" s="208">
        <f t="shared" si="16"/>
        <v>496.11994608000003</v>
      </c>
      <c r="CK25" s="208">
        <f t="shared" si="17"/>
        <v>298.5079968</v>
      </c>
      <c r="CL25" s="208">
        <f t="shared" si="53"/>
        <v>794.62794288000009</v>
      </c>
      <c r="CM25" s="112">
        <f t="shared" si="18"/>
        <v>794627.94287999999</v>
      </c>
      <c r="CN25" s="112">
        <f t="shared" si="19"/>
        <v>784211.16144000005</v>
      </c>
      <c r="CO25" s="112">
        <f t="shared" si="20"/>
        <v>784211.16144000005</v>
      </c>
      <c r="CP25" s="112">
        <f t="shared" si="21"/>
        <v>496119.94608000002</v>
      </c>
      <c r="CQ25" s="112">
        <f t="shared" si="22"/>
        <v>812566.61220000009</v>
      </c>
      <c r="CR25" s="112">
        <f t="shared" si="23"/>
        <v>812566.61220000009</v>
      </c>
      <c r="CS25" s="112">
        <f t="shared" si="24"/>
        <v>298507.99680000002</v>
      </c>
      <c r="CT25" s="112">
        <f t="shared" si="54"/>
        <v>1596777.7736400003</v>
      </c>
      <c r="CU25" s="124">
        <f t="shared" si="55"/>
        <v>6483192.0000000009</v>
      </c>
      <c r="CV25" s="112">
        <f t="shared" si="25"/>
        <v>0</v>
      </c>
      <c r="CW25" s="112">
        <f t="shared" si="26"/>
        <v>0</v>
      </c>
      <c r="CX25" s="112">
        <f t="shared" si="56"/>
        <v>0</v>
      </c>
      <c r="CY25" s="112">
        <f t="shared" si="27"/>
        <v>784211.16144000005</v>
      </c>
      <c r="CZ25" s="112">
        <f t="shared" si="28"/>
        <v>812566.61220000009</v>
      </c>
      <c r="DA25" s="106"/>
      <c r="DB25" s="128" t="e">
        <f t="shared" si="57"/>
        <v>#DIV/0!</v>
      </c>
      <c r="DC25" s="106"/>
      <c r="DD25" s="106"/>
      <c r="DE25" s="106"/>
      <c r="DF25" s="106"/>
      <c r="DG25" s="618">
        <f t="shared" si="29"/>
        <v>0</v>
      </c>
      <c r="DH25" s="618">
        <f t="shared" si="30"/>
        <v>0</v>
      </c>
      <c r="DI25" s="618">
        <f t="shared" si="31"/>
        <v>0</v>
      </c>
      <c r="DJ25" s="115"/>
    </row>
    <row r="26" spans="1:114" s="20" customFormat="1" ht="63.75" customHeight="1">
      <c r="A26" s="20">
        <f t="shared" si="58"/>
        <v>13</v>
      </c>
      <c r="B26" s="1897"/>
      <c r="C26" s="806" t="s">
        <v>79</v>
      </c>
      <c r="D26" s="749" t="s">
        <v>141</v>
      </c>
      <c r="E26" s="617">
        <v>4632024035</v>
      </c>
      <c r="F26" s="806" t="s">
        <v>8</v>
      </c>
      <c r="G26" s="752" t="s">
        <v>890</v>
      </c>
      <c r="H26" s="819">
        <f t="shared" si="59"/>
        <v>3184.0320000000002</v>
      </c>
      <c r="I26" s="819">
        <f t="shared" si="59"/>
        <v>3184.0320000000002</v>
      </c>
      <c r="J26" s="38"/>
      <c r="K26" s="38"/>
      <c r="L26" s="819">
        <f t="shared" si="60"/>
        <v>3184.0320000000002</v>
      </c>
      <c r="M26" s="10"/>
      <c r="N26" s="622">
        <f t="shared" si="63"/>
        <v>3299.1600000000003</v>
      </c>
      <c r="O26" s="622">
        <f t="shared" si="63"/>
        <v>3299.1600000000003</v>
      </c>
      <c r="P26" s="10"/>
      <c r="Q26" s="10"/>
      <c r="R26" s="622">
        <f t="shared" si="62"/>
        <v>3299.1600000000003</v>
      </c>
      <c r="S26" s="10"/>
      <c r="T26" s="35">
        <v>179.78700000000003</v>
      </c>
      <c r="U26" s="15"/>
      <c r="V26" s="208"/>
      <c r="W26" s="15"/>
      <c r="X26" s="15"/>
      <c r="Y26" s="15"/>
      <c r="Z26" s="35">
        <f t="shared" si="34"/>
        <v>179.78700000000003</v>
      </c>
      <c r="AA26" s="35">
        <v>104.4</v>
      </c>
      <c r="AB26" s="15"/>
      <c r="AC26" s="208"/>
      <c r="AD26" s="15"/>
      <c r="AE26" s="15"/>
      <c r="AF26" s="15"/>
      <c r="AG26" s="35">
        <f t="shared" si="35"/>
        <v>104.4</v>
      </c>
      <c r="AH26" s="35">
        <f t="shared" si="36"/>
        <v>284.18700000000001</v>
      </c>
      <c r="AI26" s="15">
        <f t="shared" si="6"/>
        <v>284.18700000000001</v>
      </c>
      <c r="AJ26" s="15">
        <f t="shared" si="6"/>
        <v>0</v>
      </c>
      <c r="AK26" s="15">
        <f t="shared" si="6"/>
        <v>0</v>
      </c>
      <c r="AL26" s="15">
        <f t="shared" si="6"/>
        <v>0</v>
      </c>
      <c r="AM26" s="15">
        <f t="shared" si="6"/>
        <v>0</v>
      </c>
      <c r="AN26" s="15"/>
      <c r="AO26" s="15">
        <f t="shared" si="7"/>
        <v>284.18700000000001</v>
      </c>
      <c r="AP26" s="15">
        <f t="shared" si="37"/>
        <v>284.18700000000001</v>
      </c>
      <c r="AQ26" s="15">
        <f t="shared" si="38"/>
        <v>284.18700000000001</v>
      </c>
      <c r="AR26" s="127">
        <f t="shared" si="39"/>
        <v>0</v>
      </c>
      <c r="AS26" s="112">
        <f t="shared" si="8"/>
        <v>904860.50198400009</v>
      </c>
      <c r="AT26" s="112">
        <f t="shared" si="8"/>
        <v>0</v>
      </c>
      <c r="AU26" s="112">
        <f t="shared" si="8"/>
        <v>0</v>
      </c>
      <c r="AV26" s="112">
        <f t="shared" si="8"/>
        <v>0</v>
      </c>
      <c r="AW26" s="112">
        <f t="shared" si="8"/>
        <v>0</v>
      </c>
      <c r="AX26" s="112">
        <f t="shared" si="40"/>
        <v>904860.50198400009</v>
      </c>
      <c r="AY26" s="112">
        <f t="shared" si="41"/>
        <v>904860.50198400009</v>
      </c>
      <c r="AZ26" s="112">
        <f t="shared" si="9"/>
        <v>937578.38292000012</v>
      </c>
      <c r="BA26" s="112">
        <f t="shared" si="9"/>
        <v>0</v>
      </c>
      <c r="BB26" s="112">
        <f t="shared" si="9"/>
        <v>0</v>
      </c>
      <c r="BC26" s="112">
        <f t="shared" si="9"/>
        <v>0</v>
      </c>
      <c r="BD26" s="112">
        <f t="shared" si="9"/>
        <v>0</v>
      </c>
      <c r="BE26" s="112">
        <f t="shared" si="42"/>
        <v>937578.38292000012</v>
      </c>
      <c r="BF26" s="112">
        <f t="shared" si="43"/>
        <v>937578.38292000012</v>
      </c>
      <c r="BG26" s="112"/>
      <c r="BH26" s="112"/>
      <c r="BI26" s="112">
        <f t="shared" si="5"/>
        <v>0</v>
      </c>
      <c r="BJ26" s="112"/>
      <c r="BK26" s="112"/>
      <c r="BL26" s="112">
        <f t="shared" si="10"/>
        <v>572447.56118400011</v>
      </c>
      <c r="BM26" s="112">
        <f t="shared" si="10"/>
        <v>0</v>
      </c>
      <c r="BN26" s="112">
        <f t="shared" si="10"/>
        <v>0</v>
      </c>
      <c r="BO26" s="112">
        <f t="shared" si="10"/>
        <v>0</v>
      </c>
      <c r="BP26" s="112">
        <f t="shared" si="10"/>
        <v>0</v>
      </c>
      <c r="BQ26" s="112">
        <f t="shared" si="44"/>
        <v>572447.56118400011</v>
      </c>
      <c r="BR26" s="112">
        <f t="shared" si="45"/>
        <v>572447.56118400011</v>
      </c>
      <c r="BS26" s="112">
        <f t="shared" si="11"/>
        <v>344432.30400000006</v>
      </c>
      <c r="BT26" s="112">
        <f t="shared" si="11"/>
        <v>0</v>
      </c>
      <c r="BU26" s="112">
        <f t="shared" si="11"/>
        <v>0</v>
      </c>
      <c r="BV26" s="112">
        <f t="shared" si="12"/>
        <v>0</v>
      </c>
      <c r="BW26" s="112">
        <f t="shared" si="13"/>
        <v>0</v>
      </c>
      <c r="BX26" s="112">
        <f t="shared" si="46"/>
        <v>344432.30400000006</v>
      </c>
      <c r="BY26" s="112">
        <f t="shared" si="47"/>
        <v>344432.30400000006</v>
      </c>
      <c r="BZ26" s="113">
        <f t="shared" si="48"/>
        <v>0</v>
      </c>
      <c r="CA26" s="113">
        <f t="shared" si="48"/>
        <v>0</v>
      </c>
      <c r="CB26" s="113">
        <f t="shared" si="49"/>
        <v>0</v>
      </c>
      <c r="CC26" s="119" t="e">
        <f t="shared" si="50"/>
        <v>#DIV/0!</v>
      </c>
      <c r="CD26" s="119" t="e">
        <f t="shared" si="50"/>
        <v>#DIV/0!</v>
      </c>
      <c r="CE26" s="119" t="e">
        <f t="shared" si="51"/>
        <v>#DIV/0!</v>
      </c>
      <c r="CF26" s="113" t="e">
        <f t="shared" si="14"/>
        <v>#DIV/0!</v>
      </c>
      <c r="CG26" s="619">
        <f t="shared" si="15"/>
        <v>0</v>
      </c>
      <c r="CH26" s="132" t="e">
        <f t="shared" si="52"/>
        <v>#DIV/0!</v>
      </c>
      <c r="CI26" s="106"/>
      <c r="CJ26" s="208">
        <f t="shared" si="16"/>
        <v>572.44756118400005</v>
      </c>
      <c r="CK26" s="208">
        <f t="shared" si="17"/>
        <v>344.43230400000004</v>
      </c>
      <c r="CL26" s="208">
        <f t="shared" si="53"/>
        <v>916.8798651840001</v>
      </c>
      <c r="CM26" s="112">
        <f t="shared" si="18"/>
        <v>916879.86518400023</v>
      </c>
      <c r="CN26" s="112">
        <f t="shared" si="19"/>
        <v>904860.50198400009</v>
      </c>
      <c r="CO26" s="112">
        <f t="shared" si="20"/>
        <v>904860.50198400009</v>
      </c>
      <c r="CP26" s="112">
        <f t="shared" si="21"/>
        <v>572447.56118400011</v>
      </c>
      <c r="CQ26" s="112">
        <f t="shared" si="22"/>
        <v>937578.38292000012</v>
      </c>
      <c r="CR26" s="112">
        <f t="shared" si="23"/>
        <v>937578.38292000012</v>
      </c>
      <c r="CS26" s="112">
        <f t="shared" si="24"/>
        <v>344432.30400000006</v>
      </c>
      <c r="CT26" s="112">
        <f t="shared" si="54"/>
        <v>1842438.8849040002</v>
      </c>
      <c r="CU26" s="124">
        <f t="shared" si="55"/>
        <v>6483192.0000000009</v>
      </c>
      <c r="CV26" s="112">
        <f t="shared" si="25"/>
        <v>0</v>
      </c>
      <c r="CW26" s="112">
        <f t="shared" si="26"/>
        <v>0</v>
      </c>
      <c r="CX26" s="112">
        <f t="shared" si="56"/>
        <v>0</v>
      </c>
      <c r="CY26" s="112">
        <f t="shared" si="27"/>
        <v>904860.50198400009</v>
      </c>
      <c r="CZ26" s="112">
        <f t="shared" si="28"/>
        <v>937578.38292000012</v>
      </c>
      <c r="DA26" s="106"/>
      <c r="DB26" s="128" t="e">
        <f t="shared" si="57"/>
        <v>#DIV/0!</v>
      </c>
      <c r="DC26" s="106"/>
      <c r="DD26" s="106"/>
      <c r="DE26" s="106"/>
      <c r="DF26" s="106"/>
      <c r="DG26" s="618">
        <f t="shared" si="29"/>
        <v>0</v>
      </c>
      <c r="DH26" s="618">
        <f t="shared" si="30"/>
        <v>0</v>
      </c>
      <c r="DI26" s="618">
        <f t="shared" si="31"/>
        <v>0</v>
      </c>
      <c r="DJ26" s="115"/>
    </row>
    <row r="27" spans="1:114" s="20" customFormat="1" ht="63.75" customHeight="1">
      <c r="A27" s="20">
        <f t="shared" si="58"/>
        <v>14</v>
      </c>
      <c r="B27" s="1905"/>
      <c r="C27" s="806" t="s">
        <v>80</v>
      </c>
      <c r="D27" s="749" t="s">
        <v>141</v>
      </c>
      <c r="E27" s="617">
        <v>4632024035</v>
      </c>
      <c r="F27" s="806" t="s">
        <v>8</v>
      </c>
      <c r="G27" s="752" t="s">
        <v>890</v>
      </c>
      <c r="H27" s="819">
        <f t="shared" si="59"/>
        <v>3184.0320000000002</v>
      </c>
      <c r="I27" s="819">
        <f t="shared" si="59"/>
        <v>3184.0320000000002</v>
      </c>
      <c r="J27" s="38"/>
      <c r="K27" s="38"/>
      <c r="L27" s="819">
        <f t="shared" si="60"/>
        <v>3184.0320000000002</v>
      </c>
      <c r="M27" s="10"/>
      <c r="N27" s="622">
        <f t="shared" si="63"/>
        <v>3299.1600000000003</v>
      </c>
      <c r="O27" s="622">
        <f t="shared" si="63"/>
        <v>3299.1600000000003</v>
      </c>
      <c r="P27" s="10"/>
      <c r="Q27" s="10"/>
      <c r="R27" s="622">
        <f t="shared" si="62"/>
        <v>3299.1600000000003</v>
      </c>
      <c r="S27" s="10"/>
      <c r="T27" s="35">
        <v>179.78700000000003</v>
      </c>
      <c r="U27" s="15"/>
      <c r="V27" s="208"/>
      <c r="W27" s="15"/>
      <c r="X27" s="15"/>
      <c r="Y27" s="15"/>
      <c r="Z27" s="35">
        <f t="shared" si="34"/>
        <v>179.78700000000003</v>
      </c>
      <c r="AA27" s="35">
        <v>104.4</v>
      </c>
      <c r="AB27" s="15"/>
      <c r="AC27" s="208"/>
      <c r="AD27" s="15"/>
      <c r="AE27" s="15"/>
      <c r="AF27" s="15"/>
      <c r="AG27" s="35">
        <f t="shared" si="35"/>
        <v>104.4</v>
      </c>
      <c r="AH27" s="35">
        <f t="shared" si="36"/>
        <v>284.18700000000001</v>
      </c>
      <c r="AI27" s="15">
        <f t="shared" si="6"/>
        <v>284.18700000000001</v>
      </c>
      <c r="AJ27" s="15">
        <f t="shared" si="6"/>
        <v>0</v>
      </c>
      <c r="AK27" s="15">
        <f t="shared" si="6"/>
        <v>0</v>
      </c>
      <c r="AL27" s="15">
        <f t="shared" si="6"/>
        <v>0</v>
      </c>
      <c r="AM27" s="15">
        <f t="shared" si="6"/>
        <v>0</v>
      </c>
      <c r="AN27" s="15"/>
      <c r="AO27" s="15">
        <f t="shared" si="7"/>
        <v>284.18700000000001</v>
      </c>
      <c r="AP27" s="15">
        <f t="shared" si="37"/>
        <v>284.18700000000001</v>
      </c>
      <c r="AQ27" s="15">
        <f t="shared" si="38"/>
        <v>284.18700000000001</v>
      </c>
      <c r="AR27" s="127">
        <f t="shared" si="39"/>
        <v>0</v>
      </c>
      <c r="AS27" s="112">
        <f t="shared" si="8"/>
        <v>904860.50198400009</v>
      </c>
      <c r="AT27" s="112">
        <f t="shared" si="8"/>
        <v>0</v>
      </c>
      <c r="AU27" s="112">
        <f t="shared" si="8"/>
        <v>0</v>
      </c>
      <c r="AV27" s="112">
        <f t="shared" si="8"/>
        <v>0</v>
      </c>
      <c r="AW27" s="112">
        <f t="shared" si="8"/>
        <v>0</v>
      </c>
      <c r="AX27" s="112">
        <f t="shared" si="40"/>
        <v>904860.50198400009</v>
      </c>
      <c r="AY27" s="112">
        <f t="shared" si="41"/>
        <v>904860.50198400009</v>
      </c>
      <c r="AZ27" s="112">
        <f t="shared" si="9"/>
        <v>937578.38292000012</v>
      </c>
      <c r="BA27" s="112">
        <f t="shared" si="9"/>
        <v>0</v>
      </c>
      <c r="BB27" s="112">
        <f t="shared" si="9"/>
        <v>0</v>
      </c>
      <c r="BC27" s="112">
        <f t="shared" si="9"/>
        <v>0</v>
      </c>
      <c r="BD27" s="112">
        <f t="shared" si="9"/>
        <v>0</v>
      </c>
      <c r="BE27" s="112">
        <f t="shared" si="42"/>
        <v>937578.38292000012</v>
      </c>
      <c r="BF27" s="112">
        <f t="shared" si="43"/>
        <v>937578.38292000012</v>
      </c>
      <c r="BG27" s="112"/>
      <c r="BH27" s="112"/>
      <c r="BI27" s="112">
        <f t="shared" si="5"/>
        <v>0</v>
      </c>
      <c r="BJ27" s="112"/>
      <c r="BK27" s="112"/>
      <c r="BL27" s="112">
        <f t="shared" si="10"/>
        <v>572447.56118400011</v>
      </c>
      <c r="BM27" s="112">
        <f t="shared" si="10"/>
        <v>0</v>
      </c>
      <c r="BN27" s="112">
        <f t="shared" si="10"/>
        <v>0</v>
      </c>
      <c r="BO27" s="112">
        <f t="shared" si="10"/>
        <v>0</v>
      </c>
      <c r="BP27" s="112">
        <f t="shared" si="10"/>
        <v>0</v>
      </c>
      <c r="BQ27" s="112">
        <f t="shared" si="44"/>
        <v>572447.56118400011</v>
      </c>
      <c r="BR27" s="112">
        <f t="shared" si="45"/>
        <v>572447.56118400011</v>
      </c>
      <c r="BS27" s="112">
        <f t="shared" si="11"/>
        <v>344432.30400000006</v>
      </c>
      <c r="BT27" s="112">
        <f t="shared" si="11"/>
        <v>0</v>
      </c>
      <c r="BU27" s="112">
        <f t="shared" si="11"/>
        <v>0</v>
      </c>
      <c r="BV27" s="112">
        <f t="shared" si="12"/>
        <v>0</v>
      </c>
      <c r="BW27" s="112">
        <f t="shared" si="13"/>
        <v>0</v>
      </c>
      <c r="BX27" s="112">
        <f t="shared" si="46"/>
        <v>344432.30400000006</v>
      </c>
      <c r="BY27" s="112">
        <f t="shared" si="47"/>
        <v>344432.30400000006</v>
      </c>
      <c r="BZ27" s="113">
        <f t="shared" si="48"/>
        <v>0</v>
      </c>
      <c r="CA27" s="113">
        <f t="shared" si="48"/>
        <v>0</v>
      </c>
      <c r="CB27" s="113">
        <f t="shared" si="49"/>
        <v>0</v>
      </c>
      <c r="CC27" s="119" t="e">
        <f t="shared" si="50"/>
        <v>#DIV/0!</v>
      </c>
      <c r="CD27" s="119" t="e">
        <f t="shared" si="50"/>
        <v>#DIV/0!</v>
      </c>
      <c r="CE27" s="119" t="e">
        <f t="shared" si="51"/>
        <v>#DIV/0!</v>
      </c>
      <c r="CF27" s="113" t="e">
        <f t="shared" si="14"/>
        <v>#DIV/0!</v>
      </c>
      <c r="CG27" s="619">
        <f t="shared" si="15"/>
        <v>0</v>
      </c>
      <c r="CH27" s="132" t="e">
        <f t="shared" si="52"/>
        <v>#DIV/0!</v>
      </c>
      <c r="CI27" s="106"/>
      <c r="CJ27" s="208">
        <f t="shared" si="16"/>
        <v>572.44756118400005</v>
      </c>
      <c r="CK27" s="208">
        <f t="shared" si="17"/>
        <v>344.43230400000004</v>
      </c>
      <c r="CL27" s="208">
        <f t="shared" si="53"/>
        <v>916.8798651840001</v>
      </c>
      <c r="CM27" s="112">
        <f t="shared" si="18"/>
        <v>916879.86518400023</v>
      </c>
      <c r="CN27" s="112">
        <f t="shared" si="19"/>
        <v>904860.50198400009</v>
      </c>
      <c r="CO27" s="112">
        <f t="shared" si="20"/>
        <v>904860.50198400009</v>
      </c>
      <c r="CP27" s="112">
        <f t="shared" si="21"/>
        <v>572447.56118400011</v>
      </c>
      <c r="CQ27" s="112">
        <f t="shared" si="22"/>
        <v>937578.38292000012</v>
      </c>
      <c r="CR27" s="112">
        <f t="shared" si="23"/>
        <v>937578.38292000012</v>
      </c>
      <c r="CS27" s="112">
        <f t="shared" si="24"/>
        <v>344432.30400000006</v>
      </c>
      <c r="CT27" s="112">
        <f t="shared" si="54"/>
        <v>1842438.8849040002</v>
      </c>
      <c r="CU27" s="124">
        <f t="shared" si="55"/>
        <v>6483192.0000000009</v>
      </c>
      <c r="CV27" s="112">
        <f t="shared" si="25"/>
        <v>0</v>
      </c>
      <c r="CW27" s="112">
        <f t="shared" si="26"/>
        <v>0</v>
      </c>
      <c r="CX27" s="112">
        <f t="shared" si="56"/>
        <v>0</v>
      </c>
      <c r="CY27" s="112">
        <f t="shared" si="27"/>
        <v>904860.50198400009</v>
      </c>
      <c r="CZ27" s="112">
        <f t="shared" si="28"/>
        <v>937578.38292000012</v>
      </c>
      <c r="DA27" s="106"/>
      <c r="DB27" s="128" t="e">
        <f t="shared" si="57"/>
        <v>#DIV/0!</v>
      </c>
      <c r="DC27" s="106"/>
      <c r="DD27" s="106"/>
      <c r="DE27" s="106"/>
      <c r="DF27" s="106"/>
      <c r="DG27" s="618">
        <f t="shared" si="29"/>
        <v>0</v>
      </c>
      <c r="DH27" s="618">
        <f t="shared" si="30"/>
        <v>0</v>
      </c>
      <c r="DI27" s="618">
        <f t="shared" si="31"/>
        <v>0</v>
      </c>
      <c r="DJ27" s="115"/>
    </row>
    <row r="28" spans="1:114" s="32" customFormat="1" ht="63.75" customHeight="1">
      <c r="A28" s="20">
        <f t="shared" si="58"/>
        <v>15</v>
      </c>
      <c r="B28" s="22" t="s">
        <v>12</v>
      </c>
      <c r="C28" s="22" t="s">
        <v>81</v>
      </c>
      <c r="D28" s="749" t="s">
        <v>141</v>
      </c>
      <c r="E28" s="617">
        <v>4632024035</v>
      </c>
      <c r="F28" s="806" t="s">
        <v>8</v>
      </c>
      <c r="G28" s="752" t="s">
        <v>890</v>
      </c>
      <c r="H28" s="819">
        <f t="shared" si="59"/>
        <v>3184.0320000000002</v>
      </c>
      <c r="I28" s="819">
        <f t="shared" si="59"/>
        <v>3184.0320000000002</v>
      </c>
      <c r="J28" s="38">
        <v>2103.35</v>
      </c>
      <c r="K28" s="38"/>
      <c r="L28" s="819">
        <f t="shared" si="60"/>
        <v>3184.0320000000002</v>
      </c>
      <c r="M28" s="10"/>
      <c r="N28" s="622">
        <f>2749.3*1.2</f>
        <v>3299.1600000000003</v>
      </c>
      <c r="O28" s="622">
        <f>2749.3*1.2</f>
        <v>3299.1600000000003</v>
      </c>
      <c r="P28" s="38">
        <v>2239.86</v>
      </c>
      <c r="Q28" s="10"/>
      <c r="R28" s="622">
        <f t="shared" si="62"/>
        <v>3299.1600000000003</v>
      </c>
      <c r="S28" s="10"/>
      <c r="T28" s="16">
        <f>3707.4+0.0025</f>
        <v>3707.4025000000001</v>
      </c>
      <c r="U28" s="16">
        <f>5726.128</f>
        <v>5726.1279999999997</v>
      </c>
      <c r="V28" s="227"/>
      <c r="W28" s="16"/>
      <c r="X28" s="16"/>
      <c r="Y28" s="16"/>
      <c r="Z28" s="35">
        <f t="shared" si="34"/>
        <v>9433.5305000000008</v>
      </c>
      <c r="AA28" s="178">
        <v>2180.0500000000002</v>
      </c>
      <c r="AB28" s="16">
        <v>4294.5959999999995</v>
      </c>
      <c r="AC28" s="227"/>
      <c r="AD28" s="16"/>
      <c r="AE28" s="16"/>
      <c r="AF28" s="16"/>
      <c r="AG28" s="35">
        <f t="shared" si="35"/>
        <v>6474.6459999999997</v>
      </c>
      <c r="AH28" s="35">
        <f t="shared" si="36"/>
        <v>15908.176500000001</v>
      </c>
      <c r="AI28" s="15">
        <f t="shared" si="6"/>
        <v>5887.4525000000003</v>
      </c>
      <c r="AJ28" s="15">
        <f t="shared" si="6"/>
        <v>10020.723999999998</v>
      </c>
      <c r="AK28" s="15">
        <f t="shared" si="6"/>
        <v>0</v>
      </c>
      <c r="AL28" s="15">
        <f t="shared" si="6"/>
        <v>0</v>
      </c>
      <c r="AM28" s="15">
        <f t="shared" si="6"/>
        <v>0</v>
      </c>
      <c r="AN28" s="15"/>
      <c r="AO28" s="15">
        <f t="shared" si="7"/>
        <v>15908.176499999998</v>
      </c>
      <c r="AP28" s="15">
        <f t="shared" si="37"/>
        <v>15908.176499999998</v>
      </c>
      <c r="AQ28" s="15">
        <f t="shared" si="38"/>
        <v>15908.176499999998</v>
      </c>
      <c r="AR28" s="127">
        <f t="shared" si="39"/>
        <v>0</v>
      </c>
      <c r="AS28" s="112">
        <f t="shared" si="8"/>
        <v>18745837.158480003</v>
      </c>
      <c r="AT28" s="112">
        <f t="shared" si="8"/>
        <v>21077089.825399995</v>
      </c>
      <c r="AU28" s="112">
        <f t="shared" si="8"/>
        <v>0</v>
      </c>
      <c r="AV28" s="112">
        <f t="shared" si="8"/>
        <v>0</v>
      </c>
      <c r="AW28" s="112">
        <f t="shared" si="8"/>
        <v>0</v>
      </c>
      <c r="AX28" s="112">
        <f t="shared" si="40"/>
        <v>39822926.983879998</v>
      </c>
      <c r="AY28" s="112">
        <f t="shared" si="41"/>
        <v>39822926.983879998</v>
      </c>
      <c r="AZ28" s="112">
        <f t="shared" si="9"/>
        <v>19423647.789900001</v>
      </c>
      <c r="BA28" s="112">
        <f t="shared" si="9"/>
        <v>22445018.858639996</v>
      </c>
      <c r="BB28" s="112">
        <f t="shared" si="9"/>
        <v>0</v>
      </c>
      <c r="BC28" s="112">
        <f t="shared" si="9"/>
        <v>0</v>
      </c>
      <c r="BD28" s="112">
        <f t="shared" si="9"/>
        <v>0</v>
      </c>
      <c r="BE28" s="112">
        <f t="shared" si="42"/>
        <v>41868666.648539998</v>
      </c>
      <c r="BF28" s="112">
        <f t="shared" si="43"/>
        <v>41868666.648539998</v>
      </c>
      <c r="BG28" s="623">
        <f>(I28-J28)/1.2*U28/1000</f>
        <v>5156.769549413335</v>
      </c>
      <c r="BH28" s="624">
        <f>(O28-P28)/1.2*AB28/1000-0.0519074645999353</f>
        <v>3791.0027115354005</v>
      </c>
      <c r="BI28" s="623">
        <f t="shared" si="5"/>
        <v>8947.7722609487355</v>
      </c>
      <c r="BJ28" s="169"/>
      <c r="BK28" s="169"/>
      <c r="BL28" s="112">
        <f t="shared" si="10"/>
        <v>11804488.196880002</v>
      </c>
      <c r="BM28" s="112">
        <f t="shared" si="10"/>
        <v>12044051.328799998</v>
      </c>
      <c r="BN28" s="112">
        <f t="shared" si="10"/>
        <v>0</v>
      </c>
      <c r="BO28" s="112">
        <f t="shared" si="10"/>
        <v>0</v>
      </c>
      <c r="BP28" s="112">
        <f t="shared" si="10"/>
        <v>0</v>
      </c>
      <c r="BQ28" s="112">
        <f t="shared" si="44"/>
        <v>23848539.525679998</v>
      </c>
      <c r="BR28" s="112">
        <f t="shared" si="45"/>
        <v>23848539.525679998</v>
      </c>
      <c r="BS28" s="112">
        <f t="shared" si="11"/>
        <v>7192333.7580000013</v>
      </c>
      <c r="BT28" s="112">
        <f t="shared" si="11"/>
        <v>9619293.7965599988</v>
      </c>
      <c r="BU28" s="112">
        <f t="shared" si="11"/>
        <v>0</v>
      </c>
      <c r="BV28" s="112">
        <f t="shared" si="12"/>
        <v>0</v>
      </c>
      <c r="BW28" s="112">
        <f t="shared" si="13"/>
        <v>0</v>
      </c>
      <c r="BX28" s="112">
        <f t="shared" si="46"/>
        <v>16811627.554559998</v>
      </c>
      <c r="BY28" s="112">
        <f t="shared" si="47"/>
        <v>16811627.554559998</v>
      </c>
      <c r="BZ28" s="113">
        <f t="shared" si="48"/>
        <v>21663345.125359997</v>
      </c>
      <c r="CA28" s="113">
        <f t="shared" si="48"/>
        <v>0</v>
      </c>
      <c r="CB28" s="113">
        <f t="shared" si="49"/>
        <v>21663345.125359997</v>
      </c>
      <c r="CC28" s="119">
        <f t="shared" si="50"/>
        <v>2161.8542857142857</v>
      </c>
      <c r="CD28" s="119" t="e">
        <f t="shared" si="50"/>
        <v>#DIV/0!</v>
      </c>
      <c r="CE28" s="119">
        <f t="shared" si="51"/>
        <v>2161.8542857142857</v>
      </c>
      <c r="CF28" s="119">
        <f t="shared" si="14"/>
        <v>2161.8542857142857</v>
      </c>
      <c r="CG28" s="619">
        <f t="shared" si="15"/>
        <v>32400734.127456002</v>
      </c>
      <c r="CH28" s="132">
        <f t="shared" si="52"/>
        <v>3233.372571428572</v>
      </c>
      <c r="CI28" s="625"/>
      <c r="CJ28" s="208">
        <f t="shared" si="16"/>
        <v>30036.662984976007</v>
      </c>
      <c r="CK28" s="208">
        <f t="shared" si="17"/>
        <v>21360.89309736</v>
      </c>
      <c r="CL28" s="208">
        <f t="shared" si="53"/>
        <v>51397.556082336007</v>
      </c>
      <c r="CM28" s="112">
        <f t="shared" si="18"/>
        <v>51397556.082336009</v>
      </c>
      <c r="CN28" s="112">
        <f t="shared" si="19"/>
        <v>39822926.983879998</v>
      </c>
      <c r="CO28" s="112">
        <f t="shared" si="20"/>
        <v>39822926.983879998</v>
      </c>
      <c r="CP28" s="112">
        <f t="shared" si="21"/>
        <v>23848539.525679998</v>
      </c>
      <c r="CQ28" s="112">
        <f t="shared" si="22"/>
        <v>41868666.648539998</v>
      </c>
      <c r="CR28" s="112">
        <f t="shared" si="23"/>
        <v>41868666.648539998</v>
      </c>
      <c r="CS28" s="112">
        <f t="shared" si="24"/>
        <v>16811627.554559998</v>
      </c>
      <c r="CT28" s="112">
        <f t="shared" si="54"/>
        <v>81691593.632420003</v>
      </c>
      <c r="CU28" s="124">
        <f t="shared" si="55"/>
        <v>5135195.3275361257</v>
      </c>
      <c r="CV28" s="112">
        <f t="shared" si="25"/>
        <v>21077089.825399995</v>
      </c>
      <c r="CW28" s="112">
        <f t="shared" si="26"/>
        <v>22445018.858639996</v>
      </c>
      <c r="CX28" s="112">
        <f t="shared" si="56"/>
        <v>43522108.684039995</v>
      </c>
      <c r="CY28" s="112">
        <f t="shared" si="27"/>
        <v>50652143.037648</v>
      </c>
      <c r="CZ28" s="112">
        <f t="shared" si="28"/>
        <v>52483619.581739999</v>
      </c>
      <c r="DA28" s="625"/>
      <c r="DB28" s="128">
        <f t="shared" si="57"/>
        <v>156.8526398364514</v>
      </c>
      <c r="DC28" s="625"/>
      <c r="DD28" s="625"/>
      <c r="DE28" s="625"/>
      <c r="DF28" s="625"/>
      <c r="DG28" s="618">
        <f t="shared" si="29"/>
        <v>0</v>
      </c>
      <c r="DH28" s="618">
        <f t="shared" si="30"/>
        <v>0</v>
      </c>
      <c r="DI28" s="618">
        <f t="shared" si="31"/>
        <v>0</v>
      </c>
      <c r="DJ28" s="123"/>
    </row>
    <row r="29" spans="1:114" s="19" customFormat="1" ht="63.75" hidden="1" customHeight="1">
      <c r="A29" s="20">
        <f t="shared" si="58"/>
        <v>16</v>
      </c>
      <c r="B29" s="1896" t="s">
        <v>13</v>
      </c>
      <c r="C29" s="1" t="s">
        <v>83</v>
      </c>
      <c r="D29" s="1" t="s">
        <v>82</v>
      </c>
      <c r="E29" s="626">
        <v>4633037132</v>
      </c>
      <c r="F29" s="1" t="s">
        <v>8</v>
      </c>
      <c r="G29" s="807" t="s">
        <v>891</v>
      </c>
      <c r="H29" s="38">
        <v>2465.09</v>
      </c>
      <c r="I29" s="38">
        <v>2465.09</v>
      </c>
      <c r="J29" s="607">
        <v>2084.33</v>
      </c>
      <c r="K29" s="38">
        <v>1678.95</v>
      </c>
      <c r="L29" s="38"/>
      <c r="M29" s="10"/>
      <c r="N29" s="38">
        <v>2678.7</v>
      </c>
      <c r="O29" s="38">
        <v>2678.7</v>
      </c>
      <c r="P29" s="38">
        <v>2208.35</v>
      </c>
      <c r="Q29" s="38">
        <v>1788.0817500000001</v>
      </c>
      <c r="R29" s="10"/>
      <c r="S29" s="10"/>
      <c r="T29" s="23">
        <v>756.523708751198</v>
      </c>
      <c r="U29" s="23">
        <v>4137.6493259255258</v>
      </c>
      <c r="V29" s="206">
        <v>600.45333333333338</v>
      </c>
      <c r="W29" s="23"/>
      <c r="X29" s="23"/>
      <c r="Y29" s="23"/>
      <c r="Z29" s="35">
        <f t="shared" si="34"/>
        <v>5494.6263680100565</v>
      </c>
      <c r="AA29" s="23">
        <v>571.40311826983293</v>
      </c>
      <c r="AB29" s="23">
        <v>3103.9993916646345</v>
      </c>
      <c r="AC29" s="206">
        <v>602.27565334831763</v>
      </c>
      <c r="AD29" s="23"/>
      <c r="AE29" s="23"/>
      <c r="AF29" s="23"/>
      <c r="AG29" s="35">
        <f t="shared" si="35"/>
        <v>4277.6781632827851</v>
      </c>
      <c r="AH29" s="35">
        <f t="shared" si="36"/>
        <v>9772.3045312928407</v>
      </c>
      <c r="AI29" s="15">
        <f t="shared" si="6"/>
        <v>1327.9268270210309</v>
      </c>
      <c r="AJ29" s="15">
        <f t="shared" si="6"/>
        <v>7241.6487175901602</v>
      </c>
      <c r="AK29" s="15">
        <f t="shared" si="6"/>
        <v>1202.7289866816509</v>
      </c>
      <c r="AL29" s="15">
        <f t="shared" si="6"/>
        <v>0</v>
      </c>
      <c r="AM29" s="15">
        <f t="shared" si="6"/>
        <v>0</v>
      </c>
      <c r="AN29" s="15"/>
      <c r="AO29" s="15">
        <f t="shared" si="7"/>
        <v>9772.3045312928407</v>
      </c>
      <c r="AP29" s="15">
        <f t="shared" si="37"/>
        <v>9772.3045312928407</v>
      </c>
      <c r="AQ29" s="15">
        <f t="shared" si="38"/>
        <v>9772.3045312928407</v>
      </c>
      <c r="AR29" s="127">
        <f t="shared" si="39"/>
        <v>0</v>
      </c>
      <c r="AS29" s="112">
        <f t="shared" si="8"/>
        <v>3273459.1420212733</v>
      </c>
      <c r="AT29" s="112">
        <f t="shared" si="8"/>
        <v>15093985.671534698</v>
      </c>
      <c r="AU29" s="112">
        <f t="shared" si="8"/>
        <v>2019321.8321891578</v>
      </c>
      <c r="AV29" s="118">
        <f t="shared" si="8"/>
        <v>0</v>
      </c>
      <c r="AW29" s="118">
        <f t="shared" si="8"/>
        <v>0</v>
      </c>
      <c r="AX29" s="112">
        <f t="shared" si="40"/>
        <v>20386766.645745128</v>
      </c>
      <c r="AY29" s="112">
        <f t="shared" si="41"/>
        <v>20386766.645745128</v>
      </c>
      <c r="AZ29" s="112">
        <f t="shared" si="9"/>
        <v>3557117.5915412353</v>
      </c>
      <c r="BA29" s="112">
        <f t="shared" si="9"/>
        <v>15992094.94549023</v>
      </c>
      <c r="BB29" s="112">
        <f t="shared" si="9"/>
        <v>2150577.7512814533</v>
      </c>
      <c r="BC29" s="112">
        <f t="shared" si="9"/>
        <v>0</v>
      </c>
      <c r="BD29" s="112">
        <f t="shared" si="9"/>
        <v>0</v>
      </c>
      <c r="BE29" s="112">
        <f t="shared" si="42"/>
        <v>21699790.288312919</v>
      </c>
      <c r="BF29" s="112">
        <f t="shared" si="43"/>
        <v>21699790.288312919</v>
      </c>
      <c r="BG29" s="169">
        <f>(I29-J29)*U29/1000+(I29-K29)*V29/1000+0.022577566363907</f>
        <v>2047.5143183724347</v>
      </c>
      <c r="BH29" s="170">
        <f>(O29-P29)*AB29/1000+(O29-Q29)*AC29/1000</f>
        <v>1996.3638022721457</v>
      </c>
      <c r="BI29" s="169">
        <f t="shared" si="5"/>
        <v>4043.8781206445801</v>
      </c>
      <c r="BJ29" s="169"/>
      <c r="BK29" s="169"/>
      <c r="BL29" s="112">
        <f t="shared" si="10"/>
        <v>1864899.0292054908</v>
      </c>
      <c r="BM29" s="112">
        <f t="shared" si="10"/>
        <v>8624226.6195063516</v>
      </c>
      <c r="BN29" s="112">
        <f t="shared" si="10"/>
        <v>1008131.1240000001</v>
      </c>
      <c r="BO29" s="112">
        <f t="shared" si="10"/>
        <v>0</v>
      </c>
      <c r="BP29" s="112">
        <f t="shared" si="10"/>
        <v>0</v>
      </c>
      <c r="BQ29" s="112">
        <f t="shared" si="44"/>
        <v>11497256.772711841</v>
      </c>
      <c r="BR29" s="112">
        <f t="shared" si="45"/>
        <v>11497256.772711841</v>
      </c>
      <c r="BS29" s="112">
        <f t="shared" si="11"/>
        <v>1530617.5329094015</v>
      </c>
      <c r="BT29" s="112">
        <f t="shared" si="11"/>
        <v>6854717.0565825952</v>
      </c>
      <c r="BU29" s="112">
        <f t="shared" si="11"/>
        <v>1076918.1042214532</v>
      </c>
      <c r="BV29" s="112">
        <f t="shared" si="12"/>
        <v>0</v>
      </c>
      <c r="BW29" s="112">
        <f t="shared" si="13"/>
        <v>0</v>
      </c>
      <c r="BX29" s="112">
        <f t="shared" si="46"/>
        <v>9462252.6937134508</v>
      </c>
      <c r="BY29" s="112">
        <f t="shared" si="47"/>
        <v>9462252.6937134508</v>
      </c>
      <c r="BZ29" s="113">
        <f t="shared" si="48"/>
        <v>15478943.676088948</v>
      </c>
      <c r="CA29" s="113">
        <f t="shared" si="48"/>
        <v>2085049.2282214533</v>
      </c>
      <c r="CB29" s="113">
        <f t="shared" si="49"/>
        <v>17563992.904310402</v>
      </c>
      <c r="CC29" s="119">
        <f t="shared" si="50"/>
        <v>2137.488889579824</v>
      </c>
      <c r="CD29" s="119">
        <f t="shared" si="50"/>
        <v>1733.5985507210053</v>
      </c>
      <c r="CE29" s="119">
        <f t="shared" si="51"/>
        <v>2079.9629670076451</v>
      </c>
      <c r="CF29" s="119">
        <f t="shared" si="14"/>
        <v>2079.9629670076451</v>
      </c>
      <c r="CG29" s="619">
        <f t="shared" si="15"/>
        <v>21607848.447388612</v>
      </c>
      <c r="CH29" s="132">
        <f t="shared" si="52"/>
        <v>2558.8443819202585</v>
      </c>
      <c r="CI29" s="128"/>
      <c r="CJ29" s="112">
        <f t="shared" si="16"/>
        <v>13544.74851351791</v>
      </c>
      <c r="CK29" s="112">
        <f t="shared" si="17"/>
        <v>11458.616495985596</v>
      </c>
      <c r="CL29" s="112">
        <f t="shared" si="53"/>
        <v>25003.365009503505</v>
      </c>
      <c r="CM29" s="112">
        <f t="shared" si="18"/>
        <v>25003365.009503506</v>
      </c>
      <c r="CN29" s="112">
        <f t="shared" si="19"/>
        <v>20386766.645745128</v>
      </c>
      <c r="CO29" s="112">
        <f t="shared" si="20"/>
        <v>20874328.922366135</v>
      </c>
      <c r="CP29" s="112">
        <f t="shared" si="21"/>
        <v>11497256.772711841</v>
      </c>
      <c r="CQ29" s="112">
        <f t="shared" si="22"/>
        <v>21699790.288312919</v>
      </c>
      <c r="CR29" s="112">
        <f t="shared" si="23"/>
        <v>22205259.094769884</v>
      </c>
      <c r="CS29" s="112">
        <f t="shared" si="24"/>
        <v>9462252.6937134508</v>
      </c>
      <c r="CT29" s="112">
        <f t="shared" si="54"/>
        <v>42086556.934058048</v>
      </c>
      <c r="CU29" s="124">
        <f t="shared" si="55"/>
        <v>4306717.7040265799</v>
      </c>
      <c r="CV29" s="112">
        <f t="shared" si="25"/>
        <v>17113307.503723856</v>
      </c>
      <c r="CW29" s="112">
        <f t="shared" si="26"/>
        <v>18142672.696771681</v>
      </c>
      <c r="CX29" s="112">
        <f t="shared" si="56"/>
        <v>35255980.200495541</v>
      </c>
      <c r="CY29" s="112">
        <f t="shared" si="27"/>
        <v>24089610.177044671</v>
      </c>
      <c r="CZ29" s="112">
        <f t="shared" si="28"/>
        <v>26177072.147974133</v>
      </c>
      <c r="DA29" s="128"/>
      <c r="DB29" s="128">
        <f t="shared" si="57"/>
        <v>128.51611788920181</v>
      </c>
      <c r="DC29" s="128"/>
      <c r="DD29" s="128"/>
      <c r="DE29" s="128"/>
      <c r="DF29" s="128"/>
      <c r="DG29" s="618">
        <f t="shared" si="29"/>
        <v>0</v>
      </c>
      <c r="DH29" s="618">
        <f t="shared" si="30"/>
        <v>0</v>
      </c>
      <c r="DI29" s="618">
        <f t="shared" si="31"/>
        <v>0</v>
      </c>
      <c r="DJ29" s="116"/>
    </row>
    <row r="30" spans="1:114" s="21" customFormat="1" ht="63.75" hidden="1" customHeight="1">
      <c r="A30" s="20">
        <f t="shared" si="58"/>
        <v>17</v>
      </c>
      <c r="B30" s="1897"/>
      <c r="C30" s="5" t="s">
        <v>84</v>
      </c>
      <c r="D30" s="5" t="s">
        <v>82</v>
      </c>
      <c r="E30" s="5" t="s">
        <v>231</v>
      </c>
      <c r="F30" s="5" t="s">
        <v>8</v>
      </c>
      <c r="G30" s="807" t="s">
        <v>891</v>
      </c>
      <c r="H30" s="607">
        <v>2465.09</v>
      </c>
      <c r="I30" s="38">
        <v>2465.09</v>
      </c>
      <c r="J30" s="607">
        <v>2155.5</v>
      </c>
      <c r="K30" s="607">
        <v>2155.5</v>
      </c>
      <c r="L30" s="607"/>
      <c r="M30" s="36"/>
      <c r="N30" s="38">
        <v>2678.7</v>
      </c>
      <c r="O30" s="38">
        <v>2678.7</v>
      </c>
      <c r="P30" s="607">
        <v>2283.75</v>
      </c>
      <c r="Q30" s="607">
        <v>2283.75</v>
      </c>
      <c r="R30" s="36"/>
      <c r="S30" s="36"/>
      <c r="T30" s="173">
        <v>433.61266867392601</v>
      </c>
      <c r="U30" s="173">
        <v>1479.0271673647794</v>
      </c>
      <c r="V30" s="224">
        <v>62.375546541186658</v>
      </c>
      <c r="W30" s="173"/>
      <c r="X30" s="173"/>
      <c r="Y30" s="173"/>
      <c r="Z30" s="35">
        <f t="shared" si="34"/>
        <v>1975.015382579892</v>
      </c>
      <c r="AA30" s="173">
        <v>316.36987422482815</v>
      </c>
      <c r="AB30" s="173">
        <v>1109.2679279192307</v>
      </c>
      <c r="AC30" s="224">
        <v>24.169369808709387</v>
      </c>
      <c r="AD30" s="173"/>
      <c r="AE30" s="173"/>
      <c r="AF30" s="173"/>
      <c r="AG30" s="35">
        <f t="shared" si="35"/>
        <v>1449.8071719527684</v>
      </c>
      <c r="AH30" s="35">
        <f t="shared" si="36"/>
        <v>3424.8225545326604</v>
      </c>
      <c r="AI30" s="15">
        <f t="shared" ref="AI30:AM84" si="64">T30+AA30</f>
        <v>749.98254289875422</v>
      </c>
      <c r="AJ30" s="15">
        <f t="shared" si="64"/>
        <v>2588.2950952840101</v>
      </c>
      <c r="AK30" s="15">
        <f t="shared" si="64"/>
        <v>86.544916349896042</v>
      </c>
      <c r="AL30" s="15">
        <f t="shared" si="64"/>
        <v>0</v>
      </c>
      <c r="AM30" s="15">
        <f t="shared" si="64"/>
        <v>0</v>
      </c>
      <c r="AN30" s="15"/>
      <c r="AO30" s="15">
        <f t="shared" si="7"/>
        <v>3424.8225545326604</v>
      </c>
      <c r="AP30" s="15">
        <f t="shared" si="37"/>
        <v>3424.8225545326604</v>
      </c>
      <c r="AQ30" s="15">
        <f t="shared" si="38"/>
        <v>3424.8225545326604</v>
      </c>
      <c r="AR30" s="127">
        <f t="shared" si="39"/>
        <v>0</v>
      </c>
      <c r="AS30" s="112">
        <f t="shared" si="8"/>
        <v>1848774.4666742901</v>
      </c>
      <c r="AT30" s="112">
        <f t="shared" si="8"/>
        <v>5579070.0778846834</v>
      </c>
      <c r="AU30" s="112">
        <f t="shared" si="8"/>
        <v>186547.56719220092</v>
      </c>
      <c r="AV30" s="118">
        <f t="shared" si="8"/>
        <v>0</v>
      </c>
      <c r="AW30" s="118">
        <f t="shared" si="8"/>
        <v>0</v>
      </c>
      <c r="AX30" s="112">
        <f t="shared" si="40"/>
        <v>7614392.1117511746</v>
      </c>
      <c r="AY30" s="112">
        <f t="shared" si="41"/>
        <v>7614392.1117511746</v>
      </c>
      <c r="AZ30" s="112">
        <f t="shared" si="9"/>
        <v>2008978.2376628928</v>
      </c>
      <c r="BA30" s="112">
        <f t="shared" si="9"/>
        <v>5911018.9238548577</v>
      </c>
      <c r="BB30" s="112">
        <f t="shared" si="9"/>
        <v>197646.95271407507</v>
      </c>
      <c r="BC30" s="112">
        <f t="shared" si="9"/>
        <v>0</v>
      </c>
      <c r="BD30" s="112">
        <f t="shared" si="9"/>
        <v>0</v>
      </c>
      <c r="BE30" s="112">
        <f t="shared" si="42"/>
        <v>8117644.1142318258</v>
      </c>
      <c r="BF30" s="112">
        <f t="shared" si="43"/>
        <v>8117644.1142318258</v>
      </c>
      <c r="BG30" s="169">
        <f>(I30-J30)*U30/1000+(I30-K30)*V30/1000</f>
        <v>477.20286619814829</v>
      </c>
      <c r="BH30" s="170">
        <f>(O30-P30)*AB30/1000+(O30-Q30)*AC30/1000</f>
        <v>447.65106073764969</v>
      </c>
      <c r="BI30" s="169">
        <f t="shared" si="5"/>
        <v>924.85392693579797</v>
      </c>
      <c r="BJ30" s="169"/>
      <c r="BK30" s="169"/>
      <c r="BL30" s="112">
        <f t="shared" si="10"/>
        <v>1068894.2534214084</v>
      </c>
      <c r="BM30" s="112">
        <f t="shared" si="10"/>
        <v>3188043.0592547818</v>
      </c>
      <c r="BN30" s="112">
        <f t="shared" si="10"/>
        <v>134450.49056952784</v>
      </c>
      <c r="BO30" s="112">
        <f t="shared" si="10"/>
        <v>0</v>
      </c>
      <c r="BP30" s="112">
        <f t="shared" si="10"/>
        <v>0</v>
      </c>
      <c r="BQ30" s="112">
        <f t="shared" si="44"/>
        <v>4391387.8032457186</v>
      </c>
      <c r="BR30" s="112">
        <f t="shared" si="45"/>
        <v>4391387.8032457186</v>
      </c>
      <c r="BS30" s="112">
        <f t="shared" si="11"/>
        <v>847459.98208604706</v>
      </c>
      <c r="BT30" s="112">
        <f t="shared" si="11"/>
        <v>2533290.6303855432</v>
      </c>
      <c r="BU30" s="112">
        <f t="shared" si="11"/>
        <v>55196.798300640061</v>
      </c>
      <c r="BV30" s="112">
        <f t="shared" si="12"/>
        <v>0</v>
      </c>
      <c r="BW30" s="112">
        <f t="shared" si="13"/>
        <v>0</v>
      </c>
      <c r="BX30" s="112">
        <f t="shared" si="46"/>
        <v>3435947.4107722305</v>
      </c>
      <c r="BY30" s="112">
        <f t="shared" si="47"/>
        <v>3435947.4107722305</v>
      </c>
      <c r="BZ30" s="113">
        <f t="shared" si="48"/>
        <v>5721333.6896403246</v>
      </c>
      <c r="CA30" s="113">
        <f t="shared" si="48"/>
        <v>189647.28887016792</v>
      </c>
      <c r="CB30" s="113">
        <f t="shared" si="49"/>
        <v>5910980.9785104925</v>
      </c>
      <c r="CC30" s="119">
        <f t="shared" si="50"/>
        <v>2210.4642164121283</v>
      </c>
      <c r="CD30" s="119">
        <f t="shared" si="50"/>
        <v>2191.3163345543603</v>
      </c>
      <c r="CE30" s="119">
        <f t="shared" si="51"/>
        <v>2209.8446833460566</v>
      </c>
      <c r="CF30" s="119">
        <f t="shared" si="14"/>
        <v>2209.8446833460566</v>
      </c>
      <c r="CG30" s="619">
        <f t="shared" si="15"/>
        <v>6835834.905446291</v>
      </c>
      <c r="CH30" s="132">
        <f t="shared" si="52"/>
        <v>2555.6051486124852</v>
      </c>
      <c r="CI30" s="171"/>
      <c r="CJ30" s="112">
        <f t="shared" si="16"/>
        <v>4868.5906694438663</v>
      </c>
      <c r="CK30" s="112">
        <f t="shared" si="17"/>
        <v>3883.5984715098803</v>
      </c>
      <c r="CL30" s="112">
        <f t="shared" si="53"/>
        <v>8752.1891409537457</v>
      </c>
      <c r="CM30" s="112">
        <f t="shared" si="18"/>
        <v>8752189.1409537457</v>
      </c>
      <c r="CN30" s="112">
        <f t="shared" si="19"/>
        <v>7614392.1117511746</v>
      </c>
      <c r="CO30" s="112">
        <f t="shared" si="20"/>
        <v>7614392.1117511746</v>
      </c>
      <c r="CP30" s="112">
        <f t="shared" si="21"/>
        <v>4391387.8032457186</v>
      </c>
      <c r="CQ30" s="112">
        <f t="shared" si="22"/>
        <v>8117644.1142318258</v>
      </c>
      <c r="CR30" s="112">
        <f t="shared" si="23"/>
        <v>8117644.1142318258</v>
      </c>
      <c r="CS30" s="112">
        <f t="shared" si="24"/>
        <v>3435947.4107722305</v>
      </c>
      <c r="CT30" s="112">
        <f t="shared" si="54"/>
        <v>15732036.225983001</v>
      </c>
      <c r="CU30" s="124">
        <f t="shared" si="55"/>
        <v>4593533.2343458422</v>
      </c>
      <c r="CV30" s="112">
        <f t="shared" si="25"/>
        <v>5765617.645076884</v>
      </c>
      <c r="CW30" s="112">
        <f t="shared" si="26"/>
        <v>6108665.876568933</v>
      </c>
      <c r="CX30" s="112">
        <f t="shared" si="56"/>
        <v>11874283.521645818</v>
      </c>
      <c r="CY30" s="112">
        <f t="shared" si="27"/>
        <v>8442495.8309529163</v>
      </c>
      <c r="CZ30" s="112">
        <f t="shared" si="28"/>
        <v>9174072.1768266372</v>
      </c>
      <c r="DA30" s="171"/>
      <c r="DB30" s="128">
        <f t="shared" si="57"/>
        <v>124.27279053583855</v>
      </c>
      <c r="DC30" s="171"/>
      <c r="DD30" s="171"/>
      <c r="DE30" s="171"/>
      <c r="DF30" s="171"/>
      <c r="DG30" s="618">
        <f t="shared" si="29"/>
        <v>0</v>
      </c>
      <c r="DH30" s="618">
        <f t="shared" si="30"/>
        <v>0</v>
      </c>
      <c r="DI30" s="618">
        <f t="shared" si="31"/>
        <v>0</v>
      </c>
      <c r="DJ30" s="125"/>
    </row>
    <row r="31" spans="1:114" s="21" customFormat="1" ht="63.75" hidden="1" customHeight="1">
      <c r="A31" s="20">
        <f t="shared" si="58"/>
        <v>18</v>
      </c>
      <c r="B31" s="1897"/>
      <c r="C31" s="5" t="s">
        <v>85</v>
      </c>
      <c r="D31" s="5" t="s">
        <v>82</v>
      </c>
      <c r="E31" s="5" t="s">
        <v>231</v>
      </c>
      <c r="F31" s="5" t="s">
        <v>8</v>
      </c>
      <c r="G31" s="807" t="s">
        <v>891</v>
      </c>
      <c r="H31" s="607">
        <v>2465.09</v>
      </c>
      <c r="I31" s="38">
        <v>2465.09</v>
      </c>
      <c r="J31" s="607">
        <v>2324.5218100000002</v>
      </c>
      <c r="K31" s="607"/>
      <c r="L31" s="607"/>
      <c r="M31" s="36"/>
      <c r="N31" s="38">
        <v>2678.7</v>
      </c>
      <c r="O31" s="38">
        <v>2678.7</v>
      </c>
      <c r="P31" s="36">
        <v>2462.83</v>
      </c>
      <c r="Q31" s="36"/>
      <c r="R31" s="36"/>
      <c r="S31" s="36"/>
      <c r="T31" s="173">
        <v>14.881335084541357</v>
      </c>
      <c r="U31" s="173">
        <v>1197.6402942713037</v>
      </c>
      <c r="V31" s="224"/>
      <c r="W31" s="173"/>
      <c r="X31" s="173"/>
      <c r="Y31" s="173"/>
      <c r="Z31" s="35">
        <f t="shared" si="34"/>
        <v>1212.5216293558451</v>
      </c>
      <c r="AA31" s="173">
        <v>11.166671044686728</v>
      </c>
      <c r="AB31" s="173">
        <v>899.34060236022469</v>
      </c>
      <c r="AC31" s="224"/>
      <c r="AD31" s="173"/>
      <c r="AE31" s="173"/>
      <c r="AF31" s="173"/>
      <c r="AG31" s="35">
        <f t="shared" si="35"/>
        <v>910.50727340491142</v>
      </c>
      <c r="AH31" s="35">
        <f t="shared" si="36"/>
        <v>2123.0289027607564</v>
      </c>
      <c r="AI31" s="15">
        <f t="shared" si="64"/>
        <v>26.048006129228085</v>
      </c>
      <c r="AJ31" s="15">
        <f t="shared" si="64"/>
        <v>2096.9808966315286</v>
      </c>
      <c r="AK31" s="15">
        <f t="shared" si="64"/>
        <v>0</v>
      </c>
      <c r="AL31" s="15">
        <f t="shared" si="64"/>
        <v>0</v>
      </c>
      <c r="AM31" s="15">
        <f t="shared" si="64"/>
        <v>0</v>
      </c>
      <c r="AN31" s="15"/>
      <c r="AO31" s="15">
        <f t="shared" si="7"/>
        <v>2123.0289027607569</v>
      </c>
      <c r="AP31" s="15">
        <f t="shared" si="37"/>
        <v>2123.0289027607569</v>
      </c>
      <c r="AQ31" s="15">
        <f t="shared" si="38"/>
        <v>2123.0289027607569</v>
      </c>
      <c r="AR31" s="127">
        <f t="shared" si="39"/>
        <v>0</v>
      </c>
      <c r="AS31" s="112">
        <f t="shared" si="8"/>
        <v>64210.679429098862</v>
      </c>
      <c r="AT31" s="112">
        <f t="shared" si="8"/>
        <v>4874477.8293733438</v>
      </c>
      <c r="AU31" s="112">
        <f t="shared" si="8"/>
        <v>0</v>
      </c>
      <c r="AV31" s="118">
        <f t="shared" si="8"/>
        <v>0</v>
      </c>
      <c r="AW31" s="118">
        <f t="shared" si="8"/>
        <v>0</v>
      </c>
      <c r="AX31" s="112">
        <f t="shared" si="40"/>
        <v>4938688.5088024428</v>
      </c>
      <c r="AY31" s="112">
        <f t="shared" si="41"/>
        <v>4938688.5088024428</v>
      </c>
      <c r="AZ31" s="112">
        <f t="shared" si="9"/>
        <v>69774.79401836326</v>
      </c>
      <c r="BA31" s="112">
        <f t="shared" si="9"/>
        <v>5164507.4616510272</v>
      </c>
      <c r="BB31" s="112">
        <f t="shared" si="9"/>
        <v>0</v>
      </c>
      <c r="BC31" s="112">
        <f t="shared" si="9"/>
        <v>0</v>
      </c>
      <c r="BD31" s="112">
        <f t="shared" si="9"/>
        <v>0</v>
      </c>
      <c r="BE31" s="112">
        <f t="shared" si="42"/>
        <v>5234282.2556693908</v>
      </c>
      <c r="BF31" s="112">
        <f t="shared" si="43"/>
        <v>5234282.2556693908</v>
      </c>
      <c r="BG31" s="169">
        <f>(I31-J31)*U31/1000+(I31-K31)*V31/1000</f>
        <v>168.35012843678447</v>
      </c>
      <c r="BH31" s="170">
        <f>(O31-P31)*AB31/1000+(O31-Q31)*AC31/1000</f>
        <v>194.14065583150162</v>
      </c>
      <c r="BI31" s="169">
        <f t="shared" si="5"/>
        <v>362.49078426828612</v>
      </c>
      <c r="BJ31" s="169"/>
      <c r="BK31" s="169"/>
      <c r="BL31" s="112">
        <f t="shared" si="10"/>
        <v>36683.830303552058</v>
      </c>
      <c r="BM31" s="112">
        <f t="shared" si="10"/>
        <v>2783940.9845684636</v>
      </c>
      <c r="BN31" s="112">
        <f t="shared" si="10"/>
        <v>0</v>
      </c>
      <c r="BO31" s="112">
        <f t="shared" si="10"/>
        <v>0</v>
      </c>
      <c r="BP31" s="112">
        <f t="shared" si="10"/>
        <v>0</v>
      </c>
      <c r="BQ31" s="112">
        <f t="shared" si="44"/>
        <v>2820624.8148720157</v>
      </c>
      <c r="BR31" s="112">
        <f t="shared" si="45"/>
        <v>2820624.8148720157</v>
      </c>
      <c r="BS31" s="112">
        <f t="shared" si="11"/>
        <v>29912.161727402337</v>
      </c>
      <c r="BT31" s="112">
        <f t="shared" si="11"/>
        <v>2214923.0157108321</v>
      </c>
      <c r="BU31" s="112">
        <f t="shared" si="11"/>
        <v>0</v>
      </c>
      <c r="BV31" s="112">
        <f t="shared" si="12"/>
        <v>0</v>
      </c>
      <c r="BW31" s="112">
        <f t="shared" si="13"/>
        <v>0</v>
      </c>
      <c r="BX31" s="112">
        <f t="shared" si="46"/>
        <v>2244835.1774382344</v>
      </c>
      <c r="BY31" s="112">
        <f t="shared" si="47"/>
        <v>2244835.1774382344</v>
      </c>
      <c r="BZ31" s="113">
        <f t="shared" si="48"/>
        <v>4998864.0002792962</v>
      </c>
      <c r="CA31" s="113">
        <f t="shared" si="48"/>
        <v>0</v>
      </c>
      <c r="CB31" s="113">
        <f t="shared" si="49"/>
        <v>4998864.0002792962</v>
      </c>
      <c r="CC31" s="119">
        <f t="shared" si="50"/>
        <v>2383.8385978189826</v>
      </c>
      <c r="CD31" s="119" t="e">
        <f t="shared" si="50"/>
        <v>#DIV/0!</v>
      </c>
      <c r="CE31" s="119">
        <f t="shared" si="51"/>
        <v>2383.8385978189826</v>
      </c>
      <c r="CF31" s="119">
        <f t="shared" si="14"/>
        <v>2383.8385978189826</v>
      </c>
      <c r="CG31" s="619">
        <f t="shared" si="15"/>
        <v>5361354.7845475823</v>
      </c>
      <c r="CH31" s="132">
        <f t="shared" si="52"/>
        <v>2556.7017769020972</v>
      </c>
      <c r="CI31" s="171"/>
      <c r="CJ31" s="112">
        <f t="shared" si="16"/>
        <v>2988.9749433088004</v>
      </c>
      <c r="CK31" s="112">
        <f t="shared" si="17"/>
        <v>2438.9758332697361</v>
      </c>
      <c r="CL31" s="112">
        <f t="shared" si="53"/>
        <v>5427.9507765785365</v>
      </c>
      <c r="CM31" s="112">
        <f t="shared" si="18"/>
        <v>5427950.7765785363</v>
      </c>
      <c r="CN31" s="112">
        <f t="shared" si="19"/>
        <v>4938688.5088024428</v>
      </c>
      <c r="CO31" s="112">
        <f t="shared" si="20"/>
        <v>4938688.5088024428</v>
      </c>
      <c r="CP31" s="112">
        <f t="shared" si="21"/>
        <v>2820624.8148720157</v>
      </c>
      <c r="CQ31" s="112">
        <f t="shared" si="22"/>
        <v>5234282.2556693908</v>
      </c>
      <c r="CR31" s="112">
        <f t="shared" si="23"/>
        <v>5234282.2556693908</v>
      </c>
      <c r="CS31" s="112">
        <f t="shared" si="24"/>
        <v>2244835.1774382344</v>
      </c>
      <c r="CT31" s="112">
        <f t="shared" si="54"/>
        <v>10172970.764471833</v>
      </c>
      <c r="CU31" s="124">
        <f t="shared" si="55"/>
        <v>4791725.0449313456</v>
      </c>
      <c r="CV31" s="112">
        <f t="shared" si="25"/>
        <v>4874477.8293733438</v>
      </c>
      <c r="CW31" s="112">
        <f t="shared" si="26"/>
        <v>5164507.4616510272</v>
      </c>
      <c r="CX31" s="112">
        <f t="shared" si="56"/>
        <v>10038985.291024372</v>
      </c>
      <c r="CY31" s="112">
        <f t="shared" si="27"/>
        <v>5233457.3179065138</v>
      </c>
      <c r="CZ31" s="112">
        <f t="shared" si="28"/>
        <v>5686957.5218252391</v>
      </c>
      <c r="DA31" s="171"/>
      <c r="DB31" s="128">
        <f t="shared" si="57"/>
        <v>115.23660429755228</v>
      </c>
      <c r="DC31" s="171"/>
      <c r="DD31" s="171"/>
      <c r="DE31" s="171"/>
      <c r="DF31" s="171"/>
      <c r="DG31" s="618">
        <f t="shared" si="29"/>
        <v>0</v>
      </c>
      <c r="DH31" s="618">
        <f t="shared" si="30"/>
        <v>0</v>
      </c>
      <c r="DI31" s="618">
        <f t="shared" si="31"/>
        <v>0</v>
      </c>
      <c r="DJ31" s="125"/>
    </row>
    <row r="32" spans="1:114" s="21" customFormat="1" ht="63.75" hidden="1" customHeight="1">
      <c r="A32" s="20">
        <f t="shared" si="58"/>
        <v>19</v>
      </c>
      <c r="B32" s="1897"/>
      <c r="C32" s="5" t="s">
        <v>86</v>
      </c>
      <c r="D32" s="5" t="s">
        <v>82</v>
      </c>
      <c r="E32" s="5" t="s">
        <v>231</v>
      </c>
      <c r="F32" s="5" t="s">
        <v>8</v>
      </c>
      <c r="G32" s="807" t="s">
        <v>891</v>
      </c>
      <c r="H32" s="607">
        <v>2465.09</v>
      </c>
      <c r="I32" s="38">
        <v>2465.09</v>
      </c>
      <c r="J32" s="607">
        <v>2155.5</v>
      </c>
      <c r="K32" s="607">
        <v>2155.5</v>
      </c>
      <c r="L32" s="607"/>
      <c r="M32" s="36"/>
      <c r="N32" s="38">
        <v>2678.7</v>
      </c>
      <c r="O32" s="38">
        <v>2678.7</v>
      </c>
      <c r="P32" s="36">
        <v>2283.75</v>
      </c>
      <c r="Q32" s="36">
        <v>2283.75</v>
      </c>
      <c r="R32" s="36"/>
      <c r="S32" s="36"/>
      <c r="T32" s="173">
        <v>930.17866072034951</v>
      </c>
      <c r="U32" s="173">
        <v>1553.8574283584805</v>
      </c>
      <c r="V32" s="224">
        <v>204.08571291356853</v>
      </c>
      <c r="W32" s="173"/>
      <c r="X32" s="173"/>
      <c r="Y32" s="173"/>
      <c r="Z32" s="35">
        <f t="shared" si="34"/>
        <v>2688.1218019923986</v>
      </c>
      <c r="AA32" s="173">
        <v>662.56690310446049</v>
      </c>
      <c r="AB32" s="173">
        <v>1165.4152363198393</v>
      </c>
      <c r="AC32" s="224">
        <v>174.43395375309811</v>
      </c>
      <c r="AD32" s="173"/>
      <c r="AE32" s="173"/>
      <c r="AF32" s="173"/>
      <c r="AG32" s="35">
        <f t="shared" si="35"/>
        <v>2002.4160931773981</v>
      </c>
      <c r="AH32" s="35">
        <f t="shared" si="36"/>
        <v>4690.5378951697967</v>
      </c>
      <c r="AI32" s="15">
        <f t="shared" si="64"/>
        <v>1592.74556382481</v>
      </c>
      <c r="AJ32" s="15">
        <f t="shared" si="64"/>
        <v>2719.2726646783199</v>
      </c>
      <c r="AK32" s="15">
        <f t="shared" si="64"/>
        <v>378.51966666666664</v>
      </c>
      <c r="AL32" s="15">
        <f t="shared" si="64"/>
        <v>0</v>
      </c>
      <c r="AM32" s="15">
        <f t="shared" si="64"/>
        <v>0</v>
      </c>
      <c r="AN32" s="15"/>
      <c r="AO32" s="15">
        <f t="shared" si="7"/>
        <v>4690.5378951697967</v>
      </c>
      <c r="AP32" s="15">
        <f t="shared" si="37"/>
        <v>4690.5378951697967</v>
      </c>
      <c r="AQ32" s="17">
        <f t="shared" si="38"/>
        <v>4690.5378951697967</v>
      </c>
      <c r="AR32" s="127">
        <f t="shared" si="39"/>
        <v>0</v>
      </c>
      <c r="AS32" s="112">
        <f t="shared" si="8"/>
        <v>3926261.161928901</v>
      </c>
      <c r="AT32" s="112">
        <f t="shared" si="8"/>
        <v>5861392.2287141187</v>
      </c>
      <c r="AU32" s="112">
        <f t="shared" si="8"/>
        <v>815899.14149999991</v>
      </c>
      <c r="AV32" s="112">
        <f t="shared" si="8"/>
        <v>0</v>
      </c>
      <c r="AW32" s="112">
        <f t="shared" si="8"/>
        <v>0</v>
      </c>
      <c r="AX32" s="112">
        <f t="shared" si="40"/>
        <v>10603552.532143019</v>
      </c>
      <c r="AY32" s="112">
        <f t="shared" si="41"/>
        <v>10603552.532143019</v>
      </c>
      <c r="AZ32" s="112">
        <f t="shared" si="9"/>
        <v>4266487.541817518</v>
      </c>
      <c r="BA32" s="112">
        <f t="shared" si="9"/>
        <v>6210138.9479591129</v>
      </c>
      <c r="BB32" s="112">
        <f t="shared" si="9"/>
        <v>864444.28874999995</v>
      </c>
      <c r="BC32" s="112">
        <f t="shared" si="9"/>
        <v>0</v>
      </c>
      <c r="BD32" s="112">
        <f t="shared" si="9"/>
        <v>0</v>
      </c>
      <c r="BE32" s="112">
        <f t="shared" si="42"/>
        <v>11341070.77852663</v>
      </c>
      <c r="BF32" s="112">
        <f t="shared" si="43"/>
        <v>11341070.77852663</v>
      </c>
      <c r="BG32" s="169">
        <f>(I32-J32)*U32/1000+(I32-K32)*V32/1000</f>
        <v>544.24161710641397</v>
      </c>
      <c r="BH32" s="170">
        <f>(O32-P32)*AB32/1000+(O32-Q32)*AC32/1000</f>
        <v>529.17343761930636</v>
      </c>
      <c r="BI32" s="169">
        <f t="shared" si="5"/>
        <v>1073.4150547257204</v>
      </c>
      <c r="BJ32" s="169"/>
      <c r="BK32" s="169"/>
      <c r="BL32" s="112">
        <f t="shared" si="10"/>
        <v>2292974.1147551266</v>
      </c>
      <c r="BM32" s="112">
        <f t="shared" si="10"/>
        <v>3349339.686826705</v>
      </c>
      <c r="BN32" s="112">
        <f t="shared" si="10"/>
        <v>439906.75418519694</v>
      </c>
      <c r="BO32" s="112">
        <f t="shared" si="10"/>
        <v>0</v>
      </c>
      <c r="BP32" s="112">
        <f t="shared" si="10"/>
        <v>0</v>
      </c>
      <c r="BQ32" s="112">
        <f t="shared" si="44"/>
        <v>6082220.5557670286</v>
      </c>
      <c r="BR32" s="112">
        <f t="shared" si="45"/>
        <v>6082220.5557670286</v>
      </c>
      <c r="BS32" s="112">
        <f t="shared" si="11"/>
        <v>1774817.9633459181</v>
      </c>
      <c r="BT32" s="112">
        <f t="shared" si="11"/>
        <v>2661517.045945433</v>
      </c>
      <c r="BU32" s="112">
        <f t="shared" si="11"/>
        <v>398363.54188363778</v>
      </c>
      <c r="BV32" s="112">
        <f t="shared" si="12"/>
        <v>0</v>
      </c>
      <c r="BW32" s="112">
        <f t="shared" si="13"/>
        <v>0</v>
      </c>
      <c r="BX32" s="112">
        <f t="shared" si="46"/>
        <v>4834698.551174989</v>
      </c>
      <c r="BY32" s="112">
        <f t="shared" si="47"/>
        <v>4834698.551174989</v>
      </c>
      <c r="BZ32" s="113">
        <f t="shared" si="48"/>
        <v>6010856.732772138</v>
      </c>
      <c r="CA32" s="113">
        <f t="shared" si="48"/>
        <v>838270.29606883472</v>
      </c>
      <c r="CB32" s="113">
        <f t="shared" si="49"/>
        <v>6849127.028840973</v>
      </c>
      <c r="CC32" s="119">
        <f t="shared" si="50"/>
        <v>2210.4648830731362</v>
      </c>
      <c r="CD32" s="119">
        <f t="shared" si="50"/>
        <v>2214.6016967911878</v>
      </c>
      <c r="CE32" s="119">
        <f t="shared" si="51"/>
        <v>2210.9703609044859</v>
      </c>
      <c r="CF32" s="119">
        <f t="shared" si="14"/>
        <v>2210.9703609044855</v>
      </c>
      <c r="CG32" s="619">
        <f t="shared" si="15"/>
        <v>7922542.0835666936</v>
      </c>
      <c r="CH32" s="132">
        <f t="shared" si="52"/>
        <v>2557.4800490667226</v>
      </c>
      <c r="CI32" s="171"/>
      <c r="CJ32" s="112">
        <f t="shared" si="16"/>
        <v>6626.4621728734419</v>
      </c>
      <c r="CK32" s="112">
        <f t="shared" si="17"/>
        <v>5363.8719887942962</v>
      </c>
      <c r="CL32" s="112">
        <f t="shared" si="53"/>
        <v>11990.334161667739</v>
      </c>
      <c r="CM32" s="112">
        <f t="shared" si="18"/>
        <v>11990334.161667738</v>
      </c>
      <c r="CN32" s="112">
        <f t="shared" si="19"/>
        <v>10603552.532143019</v>
      </c>
      <c r="CO32" s="112">
        <f t="shared" si="20"/>
        <v>10603552.532143019</v>
      </c>
      <c r="CP32" s="112">
        <f t="shared" si="21"/>
        <v>6082220.5557670286</v>
      </c>
      <c r="CQ32" s="112">
        <f t="shared" si="22"/>
        <v>11341070.77852663</v>
      </c>
      <c r="CR32" s="112">
        <f t="shared" si="23"/>
        <v>11341070.77852663</v>
      </c>
      <c r="CS32" s="112">
        <f t="shared" si="24"/>
        <v>4834698.551174989</v>
      </c>
      <c r="CT32" s="112">
        <f t="shared" si="54"/>
        <v>21944623.310669649</v>
      </c>
      <c r="CU32" s="124">
        <f t="shared" si="55"/>
        <v>4678487.5852442626</v>
      </c>
      <c r="CV32" s="112">
        <f t="shared" si="25"/>
        <v>6677291.3702141186</v>
      </c>
      <c r="CW32" s="112">
        <f t="shared" si="26"/>
        <v>7074583.2367091132</v>
      </c>
      <c r="CX32" s="112">
        <f t="shared" si="56"/>
        <v>13751874.606923232</v>
      </c>
      <c r="CY32" s="112">
        <f t="shared" si="27"/>
        <v>11562598.060004115</v>
      </c>
      <c r="CZ32" s="112">
        <f t="shared" si="28"/>
        <v>12564543.859791331</v>
      </c>
      <c r="DA32" s="171"/>
      <c r="DB32" s="128">
        <f t="shared" si="57"/>
        <v>124.27279053583855</v>
      </c>
      <c r="DC32" s="171"/>
      <c r="DD32" s="171"/>
      <c r="DE32" s="171"/>
      <c r="DF32" s="171"/>
      <c r="DG32" s="618">
        <f t="shared" si="29"/>
        <v>0</v>
      </c>
      <c r="DH32" s="618">
        <f t="shared" si="30"/>
        <v>0</v>
      </c>
      <c r="DI32" s="618">
        <f t="shared" si="31"/>
        <v>0</v>
      </c>
      <c r="DJ32" s="125"/>
    </row>
    <row r="33" spans="1:114" s="218" customFormat="1" ht="63.75" customHeight="1">
      <c r="A33" s="218">
        <f t="shared" si="58"/>
        <v>20</v>
      </c>
      <c r="B33" s="1966"/>
      <c r="C33" s="627" t="s">
        <v>55</v>
      </c>
      <c r="D33" s="749" t="s">
        <v>141</v>
      </c>
      <c r="E33" s="628">
        <v>4632024035</v>
      </c>
      <c r="F33" s="627" t="s">
        <v>8</v>
      </c>
      <c r="G33" s="752" t="s">
        <v>890</v>
      </c>
      <c r="H33" s="609">
        <f>2209.08*1.2</f>
        <v>2650.8959999999997</v>
      </c>
      <c r="I33" s="609">
        <f>2209.08*1.2</f>
        <v>2650.8959999999997</v>
      </c>
      <c r="J33" s="609">
        <v>1507.12</v>
      </c>
      <c r="K33" s="609">
        <v>1507.12</v>
      </c>
      <c r="L33" s="609">
        <f>2209.08*1.2</f>
        <v>2650.8959999999997</v>
      </c>
      <c r="M33" s="609"/>
      <c r="N33" s="609">
        <f>2650.9*1.2</f>
        <v>3181.08</v>
      </c>
      <c r="O33" s="609">
        <f>2650.9*1.2</f>
        <v>3181.08</v>
      </c>
      <c r="P33" s="609">
        <v>1604.93</v>
      </c>
      <c r="Q33" s="609">
        <v>1604.93</v>
      </c>
      <c r="R33" s="609">
        <f>2650.9*1.2</f>
        <v>3181.08</v>
      </c>
      <c r="S33" s="609"/>
      <c r="T33" s="629">
        <v>712.08999999999992</v>
      </c>
      <c r="U33" s="630">
        <f>4672.31</f>
        <v>4672.3100000000004</v>
      </c>
      <c r="V33" s="631">
        <v>972.71</v>
      </c>
      <c r="W33" s="629"/>
      <c r="X33" s="629"/>
      <c r="Y33" s="629"/>
      <c r="Z33" s="632">
        <f>SUM(T33:W33)</f>
        <v>6357.1100000000006</v>
      </c>
      <c r="AA33" s="633">
        <v>467.19</v>
      </c>
      <c r="AB33" s="634">
        <v>3504.23</v>
      </c>
      <c r="AC33" s="635">
        <v>972.71</v>
      </c>
      <c r="AD33" s="629"/>
      <c r="AE33" s="629"/>
      <c r="AF33" s="629"/>
      <c r="AG33" s="636">
        <f>SUM(AA33:AD33)</f>
        <v>4944.13</v>
      </c>
      <c r="AH33" s="636">
        <f t="shared" si="36"/>
        <v>11301.240000000002</v>
      </c>
      <c r="AI33" s="629">
        <f t="shared" si="64"/>
        <v>1179.28</v>
      </c>
      <c r="AJ33" s="629">
        <f t="shared" si="64"/>
        <v>8176.5400000000009</v>
      </c>
      <c r="AK33" s="629">
        <f t="shared" si="64"/>
        <v>1945.42</v>
      </c>
      <c r="AL33" s="629">
        <f t="shared" si="64"/>
        <v>0</v>
      </c>
      <c r="AM33" s="629">
        <f t="shared" si="64"/>
        <v>0</v>
      </c>
      <c r="AN33" s="629"/>
      <c r="AO33" s="629">
        <f t="shared" si="7"/>
        <v>11301.240000000002</v>
      </c>
      <c r="AP33" s="629">
        <f t="shared" si="37"/>
        <v>11301.240000000002</v>
      </c>
      <c r="AQ33" s="637">
        <f t="shared" si="38"/>
        <v>11301.240000000002</v>
      </c>
      <c r="AR33" s="636">
        <f t="shared" si="39"/>
        <v>0</v>
      </c>
      <c r="AS33" s="629">
        <f t="shared" si="8"/>
        <v>3126148.6348799998</v>
      </c>
      <c r="AT33" s="629">
        <f t="shared" si="8"/>
        <v>12323026.9648</v>
      </c>
      <c r="AU33" s="629">
        <f t="shared" si="8"/>
        <v>2931981.3903999999</v>
      </c>
      <c r="AV33" s="629">
        <f t="shared" si="8"/>
        <v>0</v>
      </c>
      <c r="AW33" s="629">
        <f t="shared" si="8"/>
        <v>0</v>
      </c>
      <c r="AX33" s="629">
        <f t="shared" si="40"/>
        <v>18381156.990079999</v>
      </c>
      <c r="AY33" s="629">
        <f t="shared" si="41"/>
        <v>18381156.990079999</v>
      </c>
      <c r="AZ33" s="629">
        <f>O33*AI33</f>
        <v>3751384.0223999997</v>
      </c>
      <c r="BA33" s="629">
        <f t="shared" si="9"/>
        <v>13122774.342200002</v>
      </c>
      <c r="BB33" s="629">
        <f t="shared" si="9"/>
        <v>3122262.9206000003</v>
      </c>
      <c r="BC33" s="629">
        <f t="shared" si="9"/>
        <v>0</v>
      </c>
      <c r="BD33" s="629">
        <f t="shared" si="9"/>
        <v>0</v>
      </c>
      <c r="BE33" s="629">
        <f t="shared" si="42"/>
        <v>19996421.285200004</v>
      </c>
      <c r="BF33" s="629">
        <f t="shared" si="43"/>
        <v>19996421.285200004</v>
      </c>
      <c r="BG33" s="623">
        <f>(I33-J33)*U33/1000/1.2+(I33-K33)*V33/1000/1.2</f>
        <v>5380.5319962666672</v>
      </c>
      <c r="BH33" s="624">
        <f>(O33-P33)*AB33/1000/1.2+(O33-Q33)*AC33/1000/1.2</f>
        <v>5880.2741508333338</v>
      </c>
      <c r="BI33" s="623">
        <f>BG33+BH33</f>
        <v>11260.8061471</v>
      </c>
      <c r="BJ33" s="623"/>
      <c r="BK33" s="623"/>
      <c r="BL33" s="629">
        <f t="shared" si="10"/>
        <v>1887676.5326399996</v>
      </c>
      <c r="BM33" s="629">
        <f t="shared" si="10"/>
        <v>7041731.8471999997</v>
      </c>
      <c r="BN33" s="629">
        <f t="shared" si="10"/>
        <v>1465990.6952</v>
      </c>
      <c r="BO33" s="629">
        <f t="shared" si="10"/>
        <v>0</v>
      </c>
      <c r="BP33" s="629">
        <f t="shared" si="10"/>
        <v>0</v>
      </c>
      <c r="BQ33" s="629">
        <f t="shared" si="44"/>
        <v>10395399.07504</v>
      </c>
      <c r="BR33" s="629">
        <f t="shared" si="45"/>
        <v>10395399.07504</v>
      </c>
      <c r="BS33" s="629">
        <f>O33*AA33</f>
        <v>1486168.7652</v>
      </c>
      <c r="BT33" s="629">
        <f t="shared" si="11"/>
        <v>5624043.8539000005</v>
      </c>
      <c r="BU33" s="629">
        <f t="shared" si="11"/>
        <v>1561131.4603000002</v>
      </c>
      <c r="BV33" s="629">
        <f t="shared" si="12"/>
        <v>0</v>
      </c>
      <c r="BW33" s="629">
        <f t="shared" si="13"/>
        <v>0</v>
      </c>
      <c r="BX33" s="629">
        <f t="shared" si="46"/>
        <v>8671344.0794000011</v>
      </c>
      <c r="BY33" s="629">
        <f t="shared" si="47"/>
        <v>8671344.0794000011</v>
      </c>
      <c r="BZ33" s="638">
        <f t="shared" si="48"/>
        <v>12665775.701099999</v>
      </c>
      <c r="CA33" s="638">
        <f t="shared" si="48"/>
        <v>3027122.1555000003</v>
      </c>
      <c r="CB33" s="638">
        <f t="shared" si="49"/>
        <v>15692897.8566</v>
      </c>
      <c r="CC33" s="639">
        <f t="shared" si="50"/>
        <v>1549.0385543396103</v>
      </c>
      <c r="CD33" s="639">
        <f t="shared" si="50"/>
        <v>1556.0250000000001</v>
      </c>
      <c r="CE33" s="639">
        <f t="shared" si="51"/>
        <v>1550.3813348995648</v>
      </c>
      <c r="CF33" s="639">
        <f t="shared" si="14"/>
        <v>1550.381334899565</v>
      </c>
      <c r="CG33" s="640">
        <f>I33*(U33+V33)+O33*(AB33+AC33)</f>
        <v>29205865.233120002</v>
      </c>
      <c r="CH33" s="641">
        <f t="shared" si="52"/>
        <v>2885.3962308801852</v>
      </c>
      <c r="CI33" s="642"/>
      <c r="CJ33" s="643">
        <f t="shared" si="16"/>
        <v>16852.037470560001</v>
      </c>
      <c r="CK33" s="644">
        <f>N33*AG33/1000</f>
        <v>15727.6730604</v>
      </c>
      <c r="CL33" s="644">
        <f t="shared" si="53"/>
        <v>32579.710530960001</v>
      </c>
      <c r="CM33" s="645">
        <f>H33*Z33+N33*AG33</f>
        <v>32579710.530960001</v>
      </c>
      <c r="CN33" s="629">
        <f t="shared" si="19"/>
        <v>18381156.990079999</v>
      </c>
      <c r="CO33" s="629">
        <f t="shared" si="20"/>
        <v>18381156.990079999</v>
      </c>
      <c r="CP33" s="629">
        <f t="shared" si="21"/>
        <v>10395399.07504</v>
      </c>
      <c r="CQ33" s="629">
        <f>O33*AI33+P33*AJ33+Q33*AK33+R33*AL33</f>
        <v>19996421.285200004</v>
      </c>
      <c r="CR33" s="629">
        <f>O33*AI33+P33*(AJ33+AK33)+R33*AL33</f>
        <v>19996421.285200004</v>
      </c>
      <c r="CS33" s="629">
        <f>O33*AA33+P33*AB33+Q33*AC33+R33*AD33</f>
        <v>8671344.0794000011</v>
      </c>
      <c r="CT33" s="629">
        <f t="shared" si="54"/>
        <v>38377578.275279999</v>
      </c>
      <c r="CU33" s="646">
        <f t="shared" si="55"/>
        <v>3395873.2205740246</v>
      </c>
      <c r="CV33" s="629">
        <f t="shared" si="25"/>
        <v>15255008.3552</v>
      </c>
      <c r="CW33" s="629">
        <f t="shared" si="26"/>
        <v>16245037.262800002</v>
      </c>
      <c r="CX33" s="629">
        <f t="shared" si="56"/>
        <v>31500045.618000001</v>
      </c>
      <c r="CY33" s="629">
        <f t="shared" si="27"/>
        <v>29958411.911039997</v>
      </c>
      <c r="CZ33" s="629">
        <f>N33*AI33+N33*AJ33+N33*AK33+N33*AL33</f>
        <v>35950148.5392</v>
      </c>
      <c r="DA33" s="642"/>
      <c r="DB33" s="647">
        <f>N33/J33*100</f>
        <v>211.07012049471842</v>
      </c>
      <c r="DC33" s="642"/>
      <c r="DD33" s="642"/>
      <c r="DE33" s="642"/>
      <c r="DF33" s="642"/>
      <c r="DG33" s="618">
        <f t="shared" si="29"/>
        <v>0</v>
      </c>
      <c r="DH33" s="618">
        <f t="shared" si="30"/>
        <v>0</v>
      </c>
      <c r="DI33" s="618">
        <f t="shared" si="31"/>
        <v>0</v>
      </c>
    </row>
    <row r="34" spans="1:114" s="32" customFormat="1" ht="63.75" customHeight="1">
      <c r="A34" s="20">
        <f t="shared" si="58"/>
        <v>21</v>
      </c>
      <c r="B34" s="1896" t="s">
        <v>14</v>
      </c>
      <c r="C34" s="22" t="s">
        <v>87</v>
      </c>
      <c r="D34" s="749" t="s">
        <v>142</v>
      </c>
      <c r="E34" s="617">
        <v>4632024035</v>
      </c>
      <c r="F34" s="806" t="s">
        <v>8</v>
      </c>
      <c r="G34" s="752" t="s">
        <v>890</v>
      </c>
      <c r="H34" s="819">
        <f>2653.36*1.2</f>
        <v>3184.0320000000002</v>
      </c>
      <c r="I34" s="819">
        <f>2653.36*1.2</f>
        <v>3184.0320000000002</v>
      </c>
      <c r="J34" s="38">
        <v>2103.35</v>
      </c>
      <c r="K34" s="38"/>
      <c r="L34" s="819">
        <f>2653.36*1.2</f>
        <v>3184.0320000000002</v>
      </c>
      <c r="M34" s="10"/>
      <c r="N34" s="622">
        <f>2749.3*1.2</f>
        <v>3299.1600000000003</v>
      </c>
      <c r="O34" s="622">
        <f>2749.3*1.2</f>
        <v>3299.1600000000003</v>
      </c>
      <c r="P34" s="38">
        <v>2239.86</v>
      </c>
      <c r="Q34" s="10"/>
      <c r="R34" s="622">
        <f>2749.3*1.2</f>
        <v>3299.1600000000003</v>
      </c>
      <c r="S34" s="10"/>
      <c r="T34" s="178">
        <v>1558.2</v>
      </c>
      <c r="U34" s="16">
        <v>1244.0519999999999</v>
      </c>
      <c r="V34" s="227"/>
      <c r="W34" s="16"/>
      <c r="X34" s="16"/>
      <c r="Y34" s="16"/>
      <c r="Z34" s="35">
        <f t="shared" si="34"/>
        <v>2802.252</v>
      </c>
      <c r="AA34" s="178">
        <v>904.8</v>
      </c>
      <c r="AB34" s="16">
        <v>933.03899999999999</v>
      </c>
      <c r="AC34" s="227"/>
      <c r="AD34" s="16"/>
      <c r="AE34" s="16"/>
      <c r="AF34" s="16"/>
      <c r="AG34" s="35">
        <f t="shared" si="35"/>
        <v>1837.8389999999999</v>
      </c>
      <c r="AH34" s="35">
        <f t="shared" si="36"/>
        <v>4640.0910000000003</v>
      </c>
      <c r="AI34" s="15">
        <f t="shared" si="64"/>
        <v>2463</v>
      </c>
      <c r="AJ34" s="15">
        <f t="shared" si="64"/>
        <v>2177.0909999999999</v>
      </c>
      <c r="AK34" s="15">
        <f t="shared" si="64"/>
        <v>0</v>
      </c>
      <c r="AL34" s="15">
        <f t="shared" si="64"/>
        <v>0</v>
      </c>
      <c r="AM34" s="15">
        <f t="shared" si="64"/>
        <v>0</v>
      </c>
      <c r="AN34" s="15"/>
      <c r="AO34" s="15">
        <f t="shared" si="7"/>
        <v>4640.0910000000003</v>
      </c>
      <c r="AP34" s="15">
        <f t="shared" si="37"/>
        <v>4640.0910000000003</v>
      </c>
      <c r="AQ34" s="15">
        <f t="shared" si="38"/>
        <v>4640.0910000000003</v>
      </c>
      <c r="AR34" s="127">
        <f t="shared" si="39"/>
        <v>0</v>
      </c>
      <c r="AS34" s="112">
        <f t="shared" si="8"/>
        <v>7842270.8160000006</v>
      </c>
      <c r="AT34" s="112">
        <f t="shared" si="8"/>
        <v>4579184.3548499998</v>
      </c>
      <c r="AU34" s="112">
        <f t="shared" si="8"/>
        <v>0</v>
      </c>
      <c r="AV34" s="112">
        <f t="shared" si="8"/>
        <v>0</v>
      </c>
      <c r="AW34" s="112">
        <f t="shared" si="8"/>
        <v>0</v>
      </c>
      <c r="AX34" s="112">
        <f t="shared" si="40"/>
        <v>12421455.170850001</v>
      </c>
      <c r="AY34" s="112">
        <f t="shared" si="41"/>
        <v>12421455.170850001</v>
      </c>
      <c r="AZ34" s="112">
        <f t="shared" si="9"/>
        <v>8125831.080000001</v>
      </c>
      <c r="BA34" s="112">
        <f t="shared" si="9"/>
        <v>4876379.0472600004</v>
      </c>
      <c r="BB34" s="112">
        <f t="shared" si="9"/>
        <v>0</v>
      </c>
      <c r="BC34" s="112">
        <f t="shared" si="9"/>
        <v>0</v>
      </c>
      <c r="BD34" s="112">
        <f t="shared" si="9"/>
        <v>0</v>
      </c>
      <c r="BE34" s="112">
        <f t="shared" si="42"/>
        <v>13002210.127260001</v>
      </c>
      <c r="BF34" s="112">
        <f t="shared" si="43"/>
        <v>13002210.127260001</v>
      </c>
      <c r="BG34" s="623">
        <f>(I34-J34)/1.2*U34/1000</f>
        <v>1120.3538362200002</v>
      </c>
      <c r="BH34" s="624">
        <f>(O34-P34)/1.2*AB34/1000</f>
        <v>823.64017725000019</v>
      </c>
      <c r="BI34" s="623">
        <f>BG34+BH34</f>
        <v>1943.9940134700005</v>
      </c>
      <c r="BJ34" s="169"/>
      <c r="BK34" s="169"/>
      <c r="BL34" s="112">
        <f t="shared" si="10"/>
        <v>4961358.6624000007</v>
      </c>
      <c r="BM34" s="112">
        <f t="shared" si="10"/>
        <v>2616676.7741999999</v>
      </c>
      <c r="BN34" s="112">
        <f t="shared" si="10"/>
        <v>0</v>
      </c>
      <c r="BO34" s="112">
        <f t="shared" si="10"/>
        <v>0</v>
      </c>
      <c r="BP34" s="112">
        <f t="shared" si="10"/>
        <v>0</v>
      </c>
      <c r="BQ34" s="112">
        <f t="shared" si="44"/>
        <v>7578035.4366000006</v>
      </c>
      <c r="BR34" s="112">
        <f t="shared" si="45"/>
        <v>7578035.4366000006</v>
      </c>
      <c r="BS34" s="112">
        <f t="shared" si="11"/>
        <v>2985079.9680000003</v>
      </c>
      <c r="BT34" s="112">
        <f t="shared" si="11"/>
        <v>2089876.7345400001</v>
      </c>
      <c r="BU34" s="112">
        <f t="shared" si="11"/>
        <v>0</v>
      </c>
      <c r="BV34" s="112">
        <f t="shared" si="12"/>
        <v>0</v>
      </c>
      <c r="BW34" s="112">
        <f t="shared" si="13"/>
        <v>0</v>
      </c>
      <c r="BX34" s="112">
        <f t="shared" si="46"/>
        <v>5074956.7025400009</v>
      </c>
      <c r="BY34" s="112">
        <f t="shared" si="47"/>
        <v>5074956.7025400009</v>
      </c>
      <c r="BZ34" s="113">
        <f t="shared" si="48"/>
        <v>4706553.5087400004</v>
      </c>
      <c r="CA34" s="113">
        <f t="shared" si="48"/>
        <v>0</v>
      </c>
      <c r="CB34" s="113">
        <f t="shared" si="49"/>
        <v>4706553.5087400004</v>
      </c>
      <c r="CC34" s="119">
        <f t="shared" si="50"/>
        <v>2161.8542857142861</v>
      </c>
      <c r="CD34" s="119" t="e">
        <f t="shared" si="50"/>
        <v>#DIV/0!</v>
      </c>
      <c r="CE34" s="119">
        <f t="shared" si="51"/>
        <v>2161.8542857142861</v>
      </c>
      <c r="CF34" s="119">
        <f t="shared" si="14"/>
        <v>2161.8542857142861</v>
      </c>
      <c r="CG34" s="619">
        <f t="shared" si="15"/>
        <v>7039346.3249040004</v>
      </c>
      <c r="CH34" s="132">
        <f t="shared" si="52"/>
        <v>3233.372571428572</v>
      </c>
      <c r="CI34" s="625"/>
      <c r="CJ34" s="208">
        <f t="shared" si="16"/>
        <v>8922.4600400639993</v>
      </c>
      <c r="CK34" s="208">
        <f t="shared" si="17"/>
        <v>6063.3249152400003</v>
      </c>
      <c r="CL34" s="208">
        <f t="shared" si="53"/>
        <v>14985.784955304</v>
      </c>
      <c r="CM34" s="112">
        <f t="shared" si="18"/>
        <v>14985784.955304001</v>
      </c>
      <c r="CN34" s="112">
        <f t="shared" si="19"/>
        <v>12421455.170850001</v>
      </c>
      <c r="CO34" s="112">
        <f t="shared" si="20"/>
        <v>12421455.170850001</v>
      </c>
      <c r="CP34" s="112">
        <f t="shared" si="21"/>
        <v>7578035.4366000006</v>
      </c>
      <c r="CQ34" s="112">
        <f t="shared" si="22"/>
        <v>13002210.127260001</v>
      </c>
      <c r="CR34" s="112">
        <f t="shared" si="23"/>
        <v>13002210.127260001</v>
      </c>
      <c r="CS34" s="112">
        <f t="shared" si="24"/>
        <v>5074956.7025400009</v>
      </c>
      <c r="CT34" s="112">
        <f t="shared" si="54"/>
        <v>25423665.298110001</v>
      </c>
      <c r="CU34" s="124">
        <f t="shared" si="55"/>
        <v>5479130.7537093563</v>
      </c>
      <c r="CV34" s="112">
        <f t="shared" si="25"/>
        <v>4579184.3548499998</v>
      </c>
      <c r="CW34" s="112">
        <f t="shared" si="26"/>
        <v>4876379.0472600004</v>
      </c>
      <c r="CX34" s="112">
        <f t="shared" si="56"/>
        <v>9455563.4021099992</v>
      </c>
      <c r="CY34" s="112">
        <f t="shared" si="27"/>
        <v>14774198.226911999</v>
      </c>
      <c r="CZ34" s="112">
        <f t="shared" si="28"/>
        <v>15308402.62356</v>
      </c>
      <c r="DA34" s="625"/>
      <c r="DB34" s="128">
        <f t="shared" si="57"/>
        <v>156.8526398364514</v>
      </c>
      <c r="DC34" s="625"/>
      <c r="DD34" s="625"/>
      <c r="DE34" s="625"/>
      <c r="DF34" s="625"/>
      <c r="DG34" s="618">
        <f t="shared" si="29"/>
        <v>0</v>
      </c>
      <c r="DH34" s="618">
        <f t="shared" si="30"/>
        <v>0</v>
      </c>
      <c r="DI34" s="618">
        <f t="shared" si="31"/>
        <v>0</v>
      </c>
      <c r="DJ34" s="123"/>
    </row>
    <row r="35" spans="1:114" s="13" customFormat="1" ht="96" hidden="1" customHeight="1">
      <c r="A35" s="695">
        <f t="shared" si="58"/>
        <v>22</v>
      </c>
      <c r="B35" s="1897"/>
      <c r="C35" s="1896" t="s">
        <v>60</v>
      </c>
      <c r="D35" s="696" t="s">
        <v>136</v>
      </c>
      <c r="E35" s="706">
        <v>4607000231</v>
      </c>
      <c r="F35" s="696" t="s">
        <v>8</v>
      </c>
      <c r="G35" s="808" t="s">
        <v>875</v>
      </c>
      <c r="H35" s="733">
        <v>2596.6999999999998</v>
      </c>
      <c r="I35" s="733">
        <v>2596.6999999999998</v>
      </c>
      <c r="J35" s="733">
        <v>2596.6999999999998</v>
      </c>
      <c r="K35" s="733">
        <v>0</v>
      </c>
      <c r="L35" s="733">
        <v>2596.6999999999998</v>
      </c>
      <c r="M35" s="734"/>
      <c r="N35" s="733">
        <v>2752.01</v>
      </c>
      <c r="O35" s="733">
        <v>2752.01</v>
      </c>
      <c r="P35" s="733">
        <v>2752.01</v>
      </c>
      <c r="Q35" s="733">
        <v>0</v>
      </c>
      <c r="R35" s="733">
        <v>2752.01</v>
      </c>
      <c r="S35" s="734"/>
      <c r="T35" s="704">
        <v>1134</v>
      </c>
      <c r="U35" s="699">
        <v>369.08</v>
      </c>
      <c r="V35" s="699"/>
      <c r="W35" s="704">
        <v>98</v>
      </c>
      <c r="X35" s="700">
        <v>0</v>
      </c>
      <c r="Y35" s="700">
        <v>4723.8599999999997</v>
      </c>
      <c r="Z35" s="99">
        <f>SUM(T35:W35)</f>
        <v>1601.08</v>
      </c>
      <c r="AA35" s="699">
        <v>756</v>
      </c>
      <c r="AB35" s="699">
        <v>276.8</v>
      </c>
      <c r="AC35" s="699">
        <v>0</v>
      </c>
      <c r="AD35" s="699">
        <v>66</v>
      </c>
      <c r="AE35" s="699">
        <v>0</v>
      </c>
      <c r="AF35" s="700">
        <v>3149.24</v>
      </c>
      <c r="AG35" s="99">
        <f>SUM(AA35:AD35)</f>
        <v>1098.8</v>
      </c>
      <c r="AH35" s="99">
        <f>Z35+AG35</f>
        <v>2699.88</v>
      </c>
      <c r="AI35" s="702">
        <f>T35+AA35</f>
        <v>1890</v>
      </c>
      <c r="AJ35" s="18">
        <f>U35+AB35</f>
        <v>645.88</v>
      </c>
      <c r="AK35" s="18">
        <f t="shared" si="64"/>
        <v>0</v>
      </c>
      <c r="AL35" s="702">
        <f>W35+AD35</f>
        <v>164</v>
      </c>
      <c r="AM35" s="29">
        <f>X35+AE35</f>
        <v>0</v>
      </c>
      <c r="AN35" s="29">
        <f>Y35+AF35</f>
        <v>7873.0999999999995</v>
      </c>
      <c r="AO35" s="29">
        <f>SUM(AI35:AN35)</f>
        <v>10572.98</v>
      </c>
      <c r="AP35" s="29">
        <f>SUM(AI35:AM35)</f>
        <v>2699.88</v>
      </c>
      <c r="AQ35" s="29">
        <f>SUM(AI35:AL35)</f>
        <v>2699.88</v>
      </c>
      <c r="AR35" s="99">
        <f t="shared" si="39"/>
        <v>0</v>
      </c>
      <c r="AS35" s="18">
        <f t="shared" si="8"/>
        <v>4907763</v>
      </c>
      <c r="AT35" s="18">
        <f t="shared" si="8"/>
        <v>1677156.5959999999</v>
      </c>
      <c r="AU35" s="18">
        <f t="shared" si="8"/>
        <v>0</v>
      </c>
      <c r="AV35" s="18">
        <f t="shared" si="8"/>
        <v>425858.8</v>
      </c>
      <c r="AW35" s="18">
        <f t="shared" si="8"/>
        <v>0</v>
      </c>
      <c r="AX35" s="18">
        <f t="shared" si="40"/>
        <v>7010778.3959999997</v>
      </c>
      <c r="AY35" s="18">
        <f t="shared" si="41"/>
        <v>7010778.3959999997</v>
      </c>
      <c r="AZ35" s="18">
        <f t="shared" si="9"/>
        <v>5201298.9000000004</v>
      </c>
      <c r="BA35" s="18">
        <f t="shared" si="9"/>
        <v>1777468.2188000001</v>
      </c>
      <c r="BB35" s="18">
        <f t="shared" si="9"/>
        <v>0</v>
      </c>
      <c r="BC35" s="18">
        <f t="shared" si="9"/>
        <v>451329.64</v>
      </c>
      <c r="BD35" s="18">
        <f t="shared" si="9"/>
        <v>0</v>
      </c>
      <c r="BE35" s="18">
        <f t="shared" si="42"/>
        <v>7430096.7588</v>
      </c>
      <c r="BF35" s="18">
        <f t="shared" si="43"/>
        <v>7430096.7588</v>
      </c>
      <c r="BG35" s="18"/>
      <c r="BH35" s="18"/>
      <c r="BI35" s="18">
        <f t="shared" si="5"/>
        <v>0</v>
      </c>
      <c r="BJ35" s="18">
        <v>23428.84</v>
      </c>
      <c r="BK35" s="18">
        <v>23650.06</v>
      </c>
      <c r="BL35" s="18">
        <f>I35*T35</f>
        <v>2944657.8</v>
      </c>
      <c r="BM35" s="18">
        <f>J35*U35</f>
        <v>958390.03599999985</v>
      </c>
      <c r="BN35" s="18">
        <f t="shared" si="10"/>
        <v>0</v>
      </c>
      <c r="BO35" s="18">
        <f>L35*W35</f>
        <v>254476.59999999998</v>
      </c>
      <c r="BP35" s="18">
        <f>M35*X35</f>
        <v>0</v>
      </c>
      <c r="BQ35" s="18">
        <f>BL35+BM35+BN35+BO35+BP35</f>
        <v>4157524.4359999998</v>
      </c>
      <c r="BR35" s="18">
        <f>BQ35-BP35</f>
        <v>4157524.4359999998</v>
      </c>
      <c r="BS35" s="18">
        <f t="shared" si="11"/>
        <v>2080519.56</v>
      </c>
      <c r="BT35" s="18">
        <f t="shared" si="11"/>
        <v>761756.36800000013</v>
      </c>
      <c r="BU35" s="18">
        <f t="shared" si="11"/>
        <v>0</v>
      </c>
      <c r="BV35" s="18">
        <f>R35*W35</f>
        <v>269696.98000000004</v>
      </c>
      <c r="BW35" s="18">
        <f>S35*AE35</f>
        <v>0</v>
      </c>
      <c r="BX35" s="18">
        <f>BS35+BT35+BU35+BV35+BW35</f>
        <v>3111972.9080000003</v>
      </c>
      <c r="BY35" s="18">
        <f>BX35-BW35</f>
        <v>3111972.9080000003</v>
      </c>
      <c r="BZ35" s="161">
        <f>BM35+BT35</f>
        <v>1720146.4040000001</v>
      </c>
      <c r="CA35" s="161">
        <f>BN35+BU35</f>
        <v>0</v>
      </c>
      <c r="CB35" s="161">
        <f>BZ35+CA35</f>
        <v>1720146.4040000001</v>
      </c>
      <c r="CC35" s="162">
        <f>BZ35/AJ35</f>
        <v>2663.2600544992879</v>
      </c>
      <c r="CD35" s="162" t="e">
        <f>CA35/AK35</f>
        <v>#DIV/0!</v>
      </c>
      <c r="CE35" s="162">
        <f t="shared" si="51"/>
        <v>2663.2600544992879</v>
      </c>
      <c r="CF35" s="161">
        <f t="shared" si="14"/>
        <v>2663.2600544992879</v>
      </c>
      <c r="CG35" s="651">
        <f t="shared" si="15"/>
        <v>1720146.4040000001</v>
      </c>
      <c r="CH35" s="652">
        <f t="shared" si="52"/>
        <v>2663.2600544992879</v>
      </c>
      <c r="CJ35" s="18">
        <f t="shared" si="16"/>
        <v>4157.5244359999997</v>
      </c>
      <c r="CK35" s="18">
        <f t="shared" si="17"/>
        <v>3023.9085879999998</v>
      </c>
      <c r="CL35" s="18">
        <f t="shared" si="53"/>
        <v>7181.4330239999999</v>
      </c>
      <c r="CM35" s="18">
        <f t="shared" si="18"/>
        <v>7181433.0239999993</v>
      </c>
      <c r="CN35" s="18">
        <f t="shared" si="19"/>
        <v>7010778.3959999997</v>
      </c>
      <c r="CO35" s="18">
        <f t="shared" si="20"/>
        <v>7010778.3959999997</v>
      </c>
      <c r="CP35" s="18">
        <f t="shared" si="21"/>
        <v>4157524.4359999998</v>
      </c>
      <c r="CQ35" s="18">
        <f t="shared" si="22"/>
        <v>7430096.7588</v>
      </c>
      <c r="CR35" s="18">
        <f t="shared" si="23"/>
        <v>7430096.7588</v>
      </c>
      <c r="CS35" s="18">
        <f t="shared" si="24"/>
        <v>3023908.5880000005</v>
      </c>
      <c r="CT35" s="18">
        <f t="shared" si="54"/>
        <v>14440875.1548</v>
      </c>
      <c r="CU35" s="29">
        <f t="shared" si="55"/>
        <v>5348710</v>
      </c>
      <c r="CV35" s="18">
        <f t="shared" si="25"/>
        <v>1677156.5959999999</v>
      </c>
      <c r="CW35" s="18">
        <f t="shared" si="26"/>
        <v>1777468.2188000001</v>
      </c>
      <c r="CX35" s="18">
        <f t="shared" si="56"/>
        <v>3454624.8147999998</v>
      </c>
      <c r="CY35" s="18">
        <f t="shared" si="27"/>
        <v>7010778.3959999997</v>
      </c>
      <c r="CZ35" s="18">
        <f t="shared" si="28"/>
        <v>7430096.7588</v>
      </c>
      <c r="DB35" s="653">
        <f t="shared" si="57"/>
        <v>105.98105287480264</v>
      </c>
      <c r="DG35" s="701">
        <f t="shared" si="29"/>
        <v>0</v>
      </c>
      <c r="DH35" s="701">
        <f t="shared" si="30"/>
        <v>0</v>
      </c>
      <c r="DI35" s="701">
        <f t="shared" si="31"/>
        <v>0</v>
      </c>
    </row>
    <row r="36" spans="1:114" s="13" customFormat="1" ht="78" hidden="1" customHeight="1">
      <c r="A36" s="695">
        <f t="shared" si="58"/>
        <v>23</v>
      </c>
      <c r="B36" s="1897"/>
      <c r="C36" s="1897"/>
      <c r="D36" s="735" t="s">
        <v>877</v>
      </c>
      <c r="E36" s="706">
        <v>4607005286</v>
      </c>
      <c r="F36" s="696" t="s">
        <v>165</v>
      </c>
      <c r="G36" s="808" t="s">
        <v>876</v>
      </c>
      <c r="H36" s="697">
        <v>829.04</v>
      </c>
      <c r="I36" s="697"/>
      <c r="J36" s="697"/>
      <c r="K36" s="697"/>
      <c r="L36" s="697">
        <v>829.04</v>
      </c>
      <c r="M36" s="698"/>
      <c r="N36" s="697">
        <v>865.03</v>
      </c>
      <c r="O36" s="697"/>
      <c r="P36" s="697"/>
      <c r="Q36" s="697"/>
      <c r="R36" s="697">
        <v>865.03</v>
      </c>
      <c r="S36" s="698"/>
      <c r="T36" s="699">
        <v>0</v>
      </c>
      <c r="U36" s="699"/>
      <c r="V36" s="699">
        <v>0</v>
      </c>
      <c r="W36" s="699">
        <v>497.38</v>
      </c>
      <c r="X36" s="699">
        <v>0</v>
      </c>
      <c r="Y36" s="699">
        <v>0</v>
      </c>
      <c r="Z36" s="99">
        <f>SUM(T36:W36)</f>
        <v>497.38</v>
      </c>
      <c r="AA36" s="699">
        <v>0</v>
      </c>
      <c r="AB36" s="699">
        <v>0</v>
      </c>
      <c r="AC36" s="699">
        <v>0</v>
      </c>
      <c r="AD36" s="699">
        <v>368.5</v>
      </c>
      <c r="AE36" s="699">
        <v>0</v>
      </c>
      <c r="AF36" s="699">
        <v>0</v>
      </c>
      <c r="AG36" s="99">
        <f>SUM(AA36:AD36)</f>
        <v>368.5</v>
      </c>
      <c r="AH36" s="99">
        <f>Z36+AG36</f>
        <v>865.88</v>
      </c>
      <c r="AI36" s="18">
        <f>T36+AA36</f>
        <v>0</v>
      </c>
      <c r="AJ36" s="18">
        <f>U36+AB36</f>
        <v>0</v>
      </c>
      <c r="AK36" s="18">
        <f>V36+AC36</f>
        <v>0</v>
      </c>
      <c r="AL36" s="18">
        <f>W36+AD36</f>
        <v>865.88</v>
      </c>
      <c r="AM36" s="18">
        <f>X36+AE36</f>
        <v>0</v>
      </c>
      <c r="AN36" s="18">
        <v>0</v>
      </c>
      <c r="AO36" s="18">
        <f>SUM(AI36:AN36)</f>
        <v>865.88</v>
      </c>
      <c r="AP36" s="18">
        <f>SUM(AI36:AM36)</f>
        <v>865.88</v>
      </c>
      <c r="AQ36" s="18">
        <f>SUM(AI36:AL36)</f>
        <v>865.88</v>
      </c>
      <c r="AR36" s="99">
        <f t="shared" si="39"/>
        <v>0</v>
      </c>
      <c r="AS36" s="18">
        <f t="shared" si="8"/>
        <v>0</v>
      </c>
      <c r="AT36" s="18">
        <f t="shared" si="8"/>
        <v>0</v>
      </c>
      <c r="AU36" s="18">
        <f t="shared" si="8"/>
        <v>0</v>
      </c>
      <c r="AV36" s="18">
        <f t="shared" si="8"/>
        <v>717849.15519999992</v>
      </c>
      <c r="AW36" s="18">
        <f t="shared" si="8"/>
        <v>0</v>
      </c>
      <c r="AX36" s="18">
        <f t="shared" si="40"/>
        <v>717849.15519999992</v>
      </c>
      <c r="AY36" s="18">
        <f t="shared" si="41"/>
        <v>717849.15519999992</v>
      </c>
      <c r="AZ36" s="18">
        <f t="shared" si="9"/>
        <v>0</v>
      </c>
      <c r="BA36" s="18">
        <f t="shared" si="9"/>
        <v>0</v>
      </c>
      <c r="BB36" s="18">
        <f t="shared" si="9"/>
        <v>0</v>
      </c>
      <c r="BC36" s="18">
        <f t="shared" si="9"/>
        <v>749012.1764</v>
      </c>
      <c r="BD36" s="18">
        <f t="shared" si="9"/>
        <v>0</v>
      </c>
      <c r="BE36" s="18">
        <f t="shared" si="42"/>
        <v>749012.1764</v>
      </c>
      <c r="BF36" s="18">
        <f t="shared" si="43"/>
        <v>749012.1764</v>
      </c>
      <c r="BG36" s="163"/>
      <c r="BH36" s="163"/>
      <c r="BI36" s="163"/>
      <c r="BJ36" s="163">
        <v>731.11</v>
      </c>
      <c r="BK36" s="163">
        <v>729.77</v>
      </c>
      <c r="BL36" s="18">
        <f>I36*T36</f>
        <v>0</v>
      </c>
      <c r="BM36" s="18">
        <f>J36*U36</f>
        <v>0</v>
      </c>
      <c r="BN36" s="18">
        <f>K36*V36</f>
        <v>0</v>
      </c>
      <c r="BO36" s="18">
        <f>L36*W36</f>
        <v>412347.91519999999</v>
      </c>
      <c r="BP36" s="18">
        <f>M36*X36</f>
        <v>0</v>
      </c>
      <c r="BQ36" s="18">
        <f>BL36+BM36+BN36+BO36+BP36</f>
        <v>412347.91519999999</v>
      </c>
      <c r="BR36" s="18">
        <f>BQ36-BP36</f>
        <v>412347.91519999999</v>
      </c>
      <c r="BS36" s="18">
        <f t="shared" si="11"/>
        <v>0</v>
      </c>
      <c r="BT36" s="18">
        <f t="shared" si="11"/>
        <v>0</v>
      </c>
      <c r="BU36" s="18">
        <f t="shared" si="11"/>
        <v>0</v>
      </c>
      <c r="BV36" s="18">
        <f>R36*W36</f>
        <v>430248.6214</v>
      </c>
      <c r="BW36" s="18">
        <f>S36*AE36</f>
        <v>0</v>
      </c>
      <c r="BX36" s="18">
        <f>BS36+BT36+BU36+BV36+BW36</f>
        <v>430248.6214</v>
      </c>
      <c r="BY36" s="18">
        <f>BX36-BW36</f>
        <v>430248.6214</v>
      </c>
      <c r="BZ36" s="161">
        <f>BM36+BT36</f>
        <v>0</v>
      </c>
      <c r="CA36" s="161">
        <f>BN36+BU36</f>
        <v>0</v>
      </c>
      <c r="CB36" s="161">
        <f>BZ36+CA36</f>
        <v>0</v>
      </c>
      <c r="CC36" s="162" t="e">
        <f>BZ36/AJ36</f>
        <v>#DIV/0!</v>
      </c>
      <c r="CD36" s="162" t="e">
        <f>CA36/AK36</f>
        <v>#DIV/0!</v>
      </c>
      <c r="CE36" s="162" t="e">
        <f t="shared" si="51"/>
        <v>#DIV/0!</v>
      </c>
      <c r="CF36" s="161" t="e">
        <f t="shared" si="14"/>
        <v>#DIV/0!</v>
      </c>
      <c r="CG36" s="651">
        <f t="shared" si="15"/>
        <v>0</v>
      </c>
      <c r="CH36" s="652" t="e">
        <f t="shared" si="52"/>
        <v>#DIV/0!</v>
      </c>
      <c r="CJ36" s="18">
        <f>H36*Z36/1000</f>
        <v>412.34791519999999</v>
      </c>
      <c r="CK36" s="18">
        <f t="shared" si="17"/>
        <v>318.763555</v>
      </c>
      <c r="CL36" s="18">
        <f t="shared" si="53"/>
        <v>731.11147019999999</v>
      </c>
      <c r="CM36" s="18">
        <f t="shared" si="18"/>
        <v>731111.47019999998</v>
      </c>
      <c r="CN36" s="18">
        <f t="shared" si="19"/>
        <v>717849.15519999992</v>
      </c>
      <c r="CO36" s="18">
        <f t="shared" si="20"/>
        <v>717849.15519999992</v>
      </c>
      <c r="CP36" s="18">
        <f t="shared" si="21"/>
        <v>412347.91519999999</v>
      </c>
      <c r="CQ36" s="18">
        <f t="shared" si="22"/>
        <v>749012.1764</v>
      </c>
      <c r="CR36" s="18">
        <f t="shared" si="23"/>
        <v>749012.1764</v>
      </c>
      <c r="CS36" s="18">
        <f t="shared" si="24"/>
        <v>318763.55499999999</v>
      </c>
      <c r="CT36" s="18">
        <f t="shared" si="54"/>
        <v>1466861.3315999999</v>
      </c>
      <c r="CU36" s="29">
        <f t="shared" si="55"/>
        <v>1694070</v>
      </c>
      <c r="CV36" s="18">
        <f t="shared" si="25"/>
        <v>0</v>
      </c>
      <c r="CW36" s="18">
        <f t="shared" si="26"/>
        <v>0</v>
      </c>
      <c r="CX36" s="18">
        <f t="shared" si="56"/>
        <v>0</v>
      </c>
      <c r="CY36" s="18">
        <f t="shared" si="27"/>
        <v>717849.15519999992</v>
      </c>
      <c r="CZ36" s="18">
        <f t="shared" si="28"/>
        <v>749012.1764</v>
      </c>
      <c r="DB36" s="653" t="e">
        <f t="shared" si="57"/>
        <v>#DIV/0!</v>
      </c>
      <c r="DG36" s="701">
        <f t="shared" si="29"/>
        <v>0</v>
      </c>
      <c r="DH36" s="701">
        <f t="shared" si="30"/>
        <v>0</v>
      </c>
      <c r="DI36" s="701">
        <f t="shared" si="31"/>
        <v>0</v>
      </c>
    </row>
    <row r="37" spans="1:114" s="32" customFormat="1" ht="65.25" customHeight="1">
      <c r="A37" s="20">
        <f t="shared" si="58"/>
        <v>24</v>
      </c>
      <c r="B37" s="1897"/>
      <c r="C37" s="1905"/>
      <c r="D37" s="749" t="s">
        <v>141</v>
      </c>
      <c r="E37" s="617">
        <v>4632024035</v>
      </c>
      <c r="F37" s="806" t="s">
        <v>8</v>
      </c>
      <c r="G37" s="752" t="s">
        <v>890</v>
      </c>
      <c r="H37" s="819">
        <f t="shared" ref="H37:I42" si="65">2653.36*1.2</f>
        <v>3184.0320000000002</v>
      </c>
      <c r="I37" s="819">
        <f t="shared" si="65"/>
        <v>3184.0320000000002</v>
      </c>
      <c r="J37" s="38">
        <v>2732.57</v>
      </c>
      <c r="K37" s="38"/>
      <c r="L37" s="819">
        <f t="shared" ref="L37:L42" si="66">2653.36*1.2</f>
        <v>3184.0320000000002</v>
      </c>
      <c r="M37" s="38"/>
      <c r="N37" s="622">
        <f t="shared" ref="N37:O42" si="67">2749.3*1.2</f>
        <v>3299.1600000000003</v>
      </c>
      <c r="O37" s="622">
        <f t="shared" si="67"/>
        <v>3299.1600000000003</v>
      </c>
      <c r="P37" s="38">
        <v>2896.52</v>
      </c>
      <c r="Q37" s="10"/>
      <c r="R37" s="622">
        <f t="shared" ref="R37:R42" si="68">2749.3*1.2</f>
        <v>3299.1600000000003</v>
      </c>
      <c r="S37" s="38"/>
      <c r="T37" s="178">
        <v>411.113</v>
      </c>
      <c r="U37" s="16">
        <v>16.12</v>
      </c>
      <c r="V37" s="227"/>
      <c r="W37" s="16"/>
      <c r="X37" s="16"/>
      <c r="Y37" s="16"/>
      <c r="Z37" s="35">
        <f t="shared" si="34"/>
        <v>427.233</v>
      </c>
      <c r="AA37" s="178">
        <v>238.72800000000001</v>
      </c>
      <c r="AB37" s="16">
        <v>12.09</v>
      </c>
      <c r="AC37" s="227"/>
      <c r="AD37" s="16"/>
      <c r="AE37" s="16"/>
      <c r="AF37" s="16"/>
      <c r="AG37" s="35">
        <f t="shared" si="35"/>
        <v>250.81800000000001</v>
      </c>
      <c r="AH37" s="35">
        <f t="shared" si="36"/>
        <v>678.05100000000004</v>
      </c>
      <c r="AI37" s="15">
        <f t="shared" si="64"/>
        <v>649.84100000000001</v>
      </c>
      <c r="AJ37" s="15">
        <f t="shared" si="64"/>
        <v>28.21</v>
      </c>
      <c r="AK37" s="15">
        <f t="shared" si="64"/>
        <v>0</v>
      </c>
      <c r="AL37" s="15">
        <f t="shared" si="64"/>
        <v>0</v>
      </c>
      <c r="AM37" s="15">
        <f t="shared" si="64"/>
        <v>0</v>
      </c>
      <c r="AN37" s="15"/>
      <c r="AO37" s="15">
        <f>SUM(AI37:AN37)</f>
        <v>678.05100000000004</v>
      </c>
      <c r="AP37" s="15">
        <f t="shared" si="37"/>
        <v>678.05100000000004</v>
      </c>
      <c r="AQ37" s="16">
        <f t="shared" si="38"/>
        <v>678.05100000000004</v>
      </c>
      <c r="AR37" s="636">
        <f t="shared" si="39"/>
        <v>0</v>
      </c>
      <c r="AS37" s="629">
        <f t="shared" si="8"/>
        <v>2069114.5389120001</v>
      </c>
      <c r="AT37" s="629">
        <f t="shared" si="8"/>
        <v>77085.799700000003</v>
      </c>
      <c r="AU37" s="629">
        <f t="shared" si="8"/>
        <v>0</v>
      </c>
      <c r="AV37" s="633">
        <f t="shared" si="8"/>
        <v>0</v>
      </c>
      <c r="AW37" s="633">
        <f t="shared" si="8"/>
        <v>0</v>
      </c>
      <c r="AX37" s="629">
        <f t="shared" si="40"/>
        <v>2146200.338612</v>
      </c>
      <c r="AY37" s="629">
        <f t="shared" si="41"/>
        <v>2146200.338612</v>
      </c>
      <c r="AZ37" s="629">
        <f t="shared" si="9"/>
        <v>2143929.4335600003</v>
      </c>
      <c r="BA37" s="629">
        <f t="shared" si="9"/>
        <v>81710.829200000007</v>
      </c>
      <c r="BB37" s="629">
        <f t="shared" si="9"/>
        <v>0</v>
      </c>
      <c r="BC37" s="629">
        <f t="shared" si="9"/>
        <v>0</v>
      </c>
      <c r="BD37" s="629">
        <f t="shared" si="9"/>
        <v>0</v>
      </c>
      <c r="BE37" s="629">
        <f t="shared" si="42"/>
        <v>2225640.2627600003</v>
      </c>
      <c r="BF37" s="629">
        <f t="shared" si="43"/>
        <v>2225640.2627600003</v>
      </c>
      <c r="BG37" s="623">
        <f>(I37-J37)/1.2*U37/1000</f>
        <v>6.0646395333333336</v>
      </c>
      <c r="BH37" s="624">
        <f>(O37-P37)/1.2*AB37/1000</f>
        <v>4.0565980000000037</v>
      </c>
      <c r="BI37" s="623">
        <f t="shared" ref="BI37:BI42" si="69">BG37+BH37</f>
        <v>10.121237533333337</v>
      </c>
      <c r="BJ37" s="126"/>
      <c r="BK37" s="126"/>
      <c r="BL37" s="112">
        <f t="shared" si="10"/>
        <v>1308996.947616</v>
      </c>
      <c r="BM37" s="112">
        <f t="shared" si="10"/>
        <v>44049.028400000003</v>
      </c>
      <c r="BN37" s="112">
        <f t="shared" si="10"/>
        <v>0</v>
      </c>
      <c r="BO37" s="112">
        <f t="shared" si="10"/>
        <v>0</v>
      </c>
      <c r="BP37" s="112">
        <f t="shared" si="10"/>
        <v>0</v>
      </c>
      <c r="BQ37" s="112">
        <f t="shared" si="44"/>
        <v>1353045.9760159999</v>
      </c>
      <c r="BR37" s="112">
        <f t="shared" si="45"/>
        <v>1353045.9760159999</v>
      </c>
      <c r="BS37" s="112">
        <f t="shared" si="11"/>
        <v>787601.86848000006</v>
      </c>
      <c r="BT37" s="112">
        <f t="shared" si="11"/>
        <v>35018.926800000001</v>
      </c>
      <c r="BU37" s="112">
        <f t="shared" si="11"/>
        <v>0</v>
      </c>
      <c r="BV37" s="112">
        <f t="shared" si="12"/>
        <v>0</v>
      </c>
      <c r="BW37" s="112">
        <f t="shared" si="13"/>
        <v>0</v>
      </c>
      <c r="BX37" s="112">
        <f t="shared" si="46"/>
        <v>822620.79528000008</v>
      </c>
      <c r="BY37" s="112">
        <f t="shared" si="47"/>
        <v>822620.79528000008</v>
      </c>
      <c r="BZ37" s="113">
        <f t="shared" si="48"/>
        <v>79067.955199999997</v>
      </c>
      <c r="CA37" s="113">
        <f t="shared" si="48"/>
        <v>0</v>
      </c>
      <c r="CB37" s="113">
        <f t="shared" si="49"/>
        <v>79067.955199999997</v>
      </c>
      <c r="CC37" s="119">
        <f t="shared" si="50"/>
        <v>2802.8342857142857</v>
      </c>
      <c r="CD37" s="119" t="e">
        <f t="shared" si="50"/>
        <v>#DIV/0!</v>
      </c>
      <c r="CE37" s="119">
        <f t="shared" si="51"/>
        <v>2802.8342857142857</v>
      </c>
      <c r="CF37" s="119">
        <f t="shared" si="14"/>
        <v>2802.8342857142857</v>
      </c>
      <c r="CG37" s="619">
        <f t="shared" si="15"/>
        <v>91213.440240000011</v>
      </c>
      <c r="CH37" s="132">
        <f t="shared" si="52"/>
        <v>3233.3725714285715</v>
      </c>
      <c r="CI37" s="625"/>
      <c r="CJ37" s="208">
        <f t="shared" si="16"/>
        <v>1360.3235434560002</v>
      </c>
      <c r="CK37" s="208">
        <f t="shared" si="17"/>
        <v>827.48871288000009</v>
      </c>
      <c r="CL37" s="208">
        <f t="shared" si="53"/>
        <v>2187.8122563360002</v>
      </c>
      <c r="CM37" s="112">
        <f t="shared" si="18"/>
        <v>2187812.2563360003</v>
      </c>
      <c r="CN37" s="112">
        <f t="shared" si="19"/>
        <v>2146200.338612</v>
      </c>
      <c r="CO37" s="112">
        <f t="shared" si="20"/>
        <v>2146200.338612</v>
      </c>
      <c r="CP37" s="112">
        <f t="shared" si="21"/>
        <v>1353045.9760159999</v>
      </c>
      <c r="CQ37" s="112">
        <f t="shared" si="22"/>
        <v>2225640.2627600003</v>
      </c>
      <c r="CR37" s="112">
        <f t="shared" si="23"/>
        <v>2225640.2627600003</v>
      </c>
      <c r="CS37" s="112">
        <f t="shared" si="24"/>
        <v>822620.79528000008</v>
      </c>
      <c r="CT37" s="112">
        <f t="shared" si="54"/>
        <v>4371840.6013719998</v>
      </c>
      <c r="CU37" s="124">
        <f t="shared" si="55"/>
        <v>6447657.4791158773</v>
      </c>
      <c r="CV37" s="112">
        <f t="shared" si="25"/>
        <v>77085.799700000003</v>
      </c>
      <c r="CW37" s="112">
        <f t="shared" si="26"/>
        <v>81710.829200000007</v>
      </c>
      <c r="CX37" s="112">
        <f t="shared" si="56"/>
        <v>158796.62890000001</v>
      </c>
      <c r="CY37" s="112">
        <f t="shared" si="27"/>
        <v>2158936.0816319999</v>
      </c>
      <c r="CZ37" s="112">
        <f t="shared" si="28"/>
        <v>2236998.7371600005</v>
      </c>
      <c r="DA37" s="625"/>
      <c r="DB37" s="128">
        <f t="shared" si="57"/>
        <v>120.73469298133259</v>
      </c>
      <c r="DC37" s="625"/>
      <c r="DD37" s="625"/>
      <c r="DE37" s="625"/>
      <c r="DF37" s="625"/>
      <c r="DG37" s="618">
        <f t="shared" si="29"/>
        <v>0</v>
      </c>
      <c r="DH37" s="618">
        <f t="shared" si="30"/>
        <v>0</v>
      </c>
      <c r="DI37" s="618">
        <f t="shared" si="31"/>
        <v>0</v>
      </c>
      <c r="DJ37" s="123"/>
    </row>
    <row r="38" spans="1:114" s="20" customFormat="1" ht="63.75" customHeight="1">
      <c r="A38" s="20">
        <f t="shared" si="58"/>
        <v>25</v>
      </c>
      <c r="B38" s="1897"/>
      <c r="C38" s="806" t="s">
        <v>88</v>
      </c>
      <c r="D38" s="749" t="s">
        <v>141</v>
      </c>
      <c r="E38" s="617">
        <v>4632024035</v>
      </c>
      <c r="F38" s="806" t="s">
        <v>8</v>
      </c>
      <c r="G38" s="752" t="s">
        <v>890</v>
      </c>
      <c r="H38" s="16">
        <f t="shared" si="65"/>
        <v>3184.0320000000002</v>
      </c>
      <c r="I38" s="16">
        <f t="shared" si="65"/>
        <v>3184.0320000000002</v>
      </c>
      <c r="J38" s="38">
        <v>2732.57</v>
      </c>
      <c r="K38" s="38"/>
      <c r="L38" s="819">
        <f t="shared" si="66"/>
        <v>3184.0320000000002</v>
      </c>
      <c r="M38" s="10"/>
      <c r="N38" s="622">
        <f t="shared" si="67"/>
        <v>3299.1600000000003</v>
      </c>
      <c r="O38" s="622">
        <f t="shared" si="67"/>
        <v>3299.1600000000003</v>
      </c>
      <c r="P38" s="38">
        <v>2896.52</v>
      </c>
      <c r="Q38" s="10"/>
      <c r="R38" s="622">
        <f t="shared" si="68"/>
        <v>3299.1600000000003</v>
      </c>
      <c r="S38" s="10"/>
      <c r="T38" s="178">
        <v>671.20699999999999</v>
      </c>
      <c r="U38" s="16">
        <v>3722.9</v>
      </c>
      <c r="V38" s="227"/>
      <c r="W38" s="16"/>
      <c r="X38" s="16"/>
      <c r="Y38" s="16"/>
      <c r="Z38" s="35">
        <f t="shared" si="34"/>
        <v>4394.107</v>
      </c>
      <c r="AA38" s="178">
        <v>389.76000000000005</v>
      </c>
      <c r="AB38" s="16">
        <v>2792.2</v>
      </c>
      <c r="AC38" s="227"/>
      <c r="AD38" s="16"/>
      <c r="AE38" s="16"/>
      <c r="AF38" s="16"/>
      <c r="AG38" s="35">
        <f t="shared" si="35"/>
        <v>3181.96</v>
      </c>
      <c r="AH38" s="35">
        <f t="shared" si="36"/>
        <v>7576.067</v>
      </c>
      <c r="AI38" s="15">
        <f t="shared" si="64"/>
        <v>1060.9670000000001</v>
      </c>
      <c r="AJ38" s="15">
        <f t="shared" si="64"/>
        <v>6515.1</v>
      </c>
      <c r="AK38" s="15">
        <f t="shared" si="64"/>
        <v>0</v>
      </c>
      <c r="AL38" s="15">
        <f t="shared" si="64"/>
        <v>0</v>
      </c>
      <c r="AM38" s="15">
        <f t="shared" si="64"/>
        <v>0</v>
      </c>
      <c r="AN38" s="15"/>
      <c r="AO38" s="15">
        <f t="shared" si="7"/>
        <v>7576.0670000000009</v>
      </c>
      <c r="AP38" s="15">
        <f t="shared" si="37"/>
        <v>7576.0670000000009</v>
      </c>
      <c r="AQ38" s="15">
        <f t="shared" si="38"/>
        <v>7576.0670000000009</v>
      </c>
      <c r="AR38" s="636">
        <f t="shared" si="39"/>
        <v>0</v>
      </c>
      <c r="AS38" s="629">
        <f t="shared" si="8"/>
        <v>3378152.8789440007</v>
      </c>
      <c r="AT38" s="629">
        <f t="shared" si="8"/>
        <v>17802966.807000004</v>
      </c>
      <c r="AU38" s="629">
        <f t="shared" si="8"/>
        <v>0</v>
      </c>
      <c r="AV38" s="629">
        <f t="shared" si="8"/>
        <v>0</v>
      </c>
      <c r="AW38" s="629">
        <f t="shared" si="8"/>
        <v>0</v>
      </c>
      <c r="AX38" s="629">
        <f t="shared" si="40"/>
        <v>21181119.685944006</v>
      </c>
      <c r="AY38" s="629">
        <f t="shared" si="41"/>
        <v>21181119.685944006</v>
      </c>
      <c r="AZ38" s="629">
        <f t="shared" si="9"/>
        <v>3500299.8877200005</v>
      </c>
      <c r="BA38" s="629">
        <f t="shared" si="9"/>
        <v>18871117.452</v>
      </c>
      <c r="BB38" s="629">
        <f t="shared" si="9"/>
        <v>0</v>
      </c>
      <c r="BC38" s="629">
        <f t="shared" si="9"/>
        <v>0</v>
      </c>
      <c r="BD38" s="629">
        <f t="shared" si="9"/>
        <v>0</v>
      </c>
      <c r="BE38" s="629">
        <f t="shared" si="42"/>
        <v>22371417.33972</v>
      </c>
      <c r="BF38" s="629">
        <f t="shared" si="43"/>
        <v>22371417.33972</v>
      </c>
      <c r="BG38" s="623">
        <f>(I38-J38)/1.2*U38/1000</f>
        <v>1400.6232331666668</v>
      </c>
      <c r="BH38" s="624">
        <f>(O38-P38)/1.2*AB38/1000</f>
        <v>936.87617333333412</v>
      </c>
      <c r="BI38" s="623">
        <f t="shared" si="69"/>
        <v>2337.499406500001</v>
      </c>
      <c r="BJ38" s="169"/>
      <c r="BK38" s="169"/>
      <c r="BL38" s="112">
        <f t="shared" si="10"/>
        <v>2137144.5666240002</v>
      </c>
      <c r="BM38" s="112">
        <f t="shared" si="10"/>
        <v>10173084.853</v>
      </c>
      <c r="BN38" s="112">
        <f t="shared" si="10"/>
        <v>0</v>
      </c>
      <c r="BO38" s="112">
        <f t="shared" si="10"/>
        <v>0</v>
      </c>
      <c r="BP38" s="112">
        <f t="shared" si="10"/>
        <v>0</v>
      </c>
      <c r="BQ38" s="112">
        <f t="shared" si="44"/>
        <v>12310229.419624001</v>
      </c>
      <c r="BR38" s="112">
        <f t="shared" si="45"/>
        <v>12310229.419624001</v>
      </c>
      <c r="BS38" s="112">
        <f t="shared" si="11"/>
        <v>1285880.6016000002</v>
      </c>
      <c r="BT38" s="112">
        <f t="shared" si="11"/>
        <v>8087663.1439999994</v>
      </c>
      <c r="BU38" s="112">
        <f t="shared" si="11"/>
        <v>0</v>
      </c>
      <c r="BV38" s="112">
        <f t="shared" si="12"/>
        <v>0</v>
      </c>
      <c r="BW38" s="112">
        <f t="shared" si="13"/>
        <v>0</v>
      </c>
      <c r="BX38" s="112">
        <f t="shared" si="46"/>
        <v>9373543.7456</v>
      </c>
      <c r="BY38" s="112">
        <f t="shared" si="47"/>
        <v>9373543.7456</v>
      </c>
      <c r="BZ38" s="113">
        <f t="shared" si="48"/>
        <v>18260747.997000001</v>
      </c>
      <c r="CA38" s="113">
        <f t="shared" si="48"/>
        <v>0</v>
      </c>
      <c r="CB38" s="113">
        <f t="shared" si="49"/>
        <v>18260747.997000001</v>
      </c>
      <c r="CC38" s="119">
        <f t="shared" si="50"/>
        <v>2802.8346452088226</v>
      </c>
      <c r="CD38" s="119" t="e">
        <f t="shared" si="50"/>
        <v>#DIV/0!</v>
      </c>
      <c r="CE38" s="119">
        <f t="shared" si="51"/>
        <v>2802.8346452088226</v>
      </c>
      <c r="CF38" s="119">
        <f t="shared" si="14"/>
        <v>2802.8346452088226</v>
      </c>
      <c r="CG38" s="619">
        <f t="shared" si="15"/>
        <v>21065747.2848</v>
      </c>
      <c r="CH38" s="132">
        <f t="shared" si="52"/>
        <v>3233.3728238707004</v>
      </c>
      <c r="CI38" s="106"/>
      <c r="CJ38" s="208">
        <f t="shared" si="16"/>
        <v>13990.977299423999</v>
      </c>
      <c r="CK38" s="208">
        <f t="shared" si="17"/>
        <v>10497.795153600002</v>
      </c>
      <c r="CL38" s="208">
        <f t="shared" si="53"/>
        <v>24488.772453024001</v>
      </c>
      <c r="CM38" s="112">
        <f t="shared" si="18"/>
        <v>24488772.453024</v>
      </c>
      <c r="CN38" s="112">
        <f t="shared" si="19"/>
        <v>21181119.685944006</v>
      </c>
      <c r="CO38" s="112">
        <f t="shared" si="20"/>
        <v>21181119.685944006</v>
      </c>
      <c r="CP38" s="112">
        <f t="shared" si="21"/>
        <v>12310229.419624001</v>
      </c>
      <c r="CQ38" s="112">
        <f t="shared" si="22"/>
        <v>22371417.33972</v>
      </c>
      <c r="CR38" s="112">
        <f t="shared" si="23"/>
        <v>22371417.33972</v>
      </c>
      <c r="CS38" s="112">
        <f t="shared" si="24"/>
        <v>9373543.7456</v>
      </c>
      <c r="CT38" s="112">
        <f t="shared" si="54"/>
        <v>43552537.025664002</v>
      </c>
      <c r="CU38" s="124">
        <f t="shared" si="55"/>
        <v>5748700.0874812752</v>
      </c>
      <c r="CV38" s="112">
        <f t="shared" si="25"/>
        <v>17802966.807000004</v>
      </c>
      <c r="CW38" s="112">
        <f t="shared" si="26"/>
        <v>18871117.452</v>
      </c>
      <c r="CX38" s="112">
        <f t="shared" si="56"/>
        <v>36674084.259000003</v>
      </c>
      <c r="CY38" s="112">
        <f t="shared" si="27"/>
        <v>24122439.762144003</v>
      </c>
      <c r="CZ38" s="112">
        <f t="shared" si="28"/>
        <v>24994657.203720003</v>
      </c>
      <c r="DA38" s="106"/>
      <c r="DB38" s="128">
        <f t="shared" si="57"/>
        <v>120.73469298133259</v>
      </c>
      <c r="DC38" s="106"/>
      <c r="DD38" s="106"/>
      <c r="DE38" s="106"/>
      <c r="DF38" s="106"/>
      <c r="DG38" s="618">
        <f t="shared" si="29"/>
        <v>0</v>
      </c>
      <c r="DH38" s="618">
        <f t="shared" si="30"/>
        <v>0</v>
      </c>
      <c r="DI38" s="618">
        <f t="shared" si="31"/>
        <v>0</v>
      </c>
      <c r="DJ38" s="115"/>
    </row>
    <row r="39" spans="1:114" s="20" customFormat="1" ht="63.75" customHeight="1">
      <c r="A39" s="20">
        <f t="shared" si="58"/>
        <v>26</v>
      </c>
      <c r="B39" s="1897"/>
      <c r="C39" s="806" t="s">
        <v>89</v>
      </c>
      <c r="D39" s="749" t="s">
        <v>141</v>
      </c>
      <c r="E39" s="617">
        <v>4632024035</v>
      </c>
      <c r="F39" s="806" t="s">
        <v>8</v>
      </c>
      <c r="G39" s="752" t="s">
        <v>890</v>
      </c>
      <c r="H39" s="16">
        <f t="shared" si="65"/>
        <v>3184.0320000000002</v>
      </c>
      <c r="I39" s="16">
        <f t="shared" si="65"/>
        <v>3184.0320000000002</v>
      </c>
      <c r="J39" s="38"/>
      <c r="K39" s="38"/>
      <c r="L39" s="819">
        <f t="shared" si="66"/>
        <v>3184.0320000000002</v>
      </c>
      <c r="M39" s="10"/>
      <c r="N39" s="622">
        <f t="shared" si="67"/>
        <v>3299.1600000000003</v>
      </c>
      <c r="O39" s="622">
        <f t="shared" si="67"/>
        <v>3299.1600000000003</v>
      </c>
      <c r="P39" s="10"/>
      <c r="Q39" s="10"/>
      <c r="R39" s="622">
        <f t="shared" si="68"/>
        <v>3299.1600000000003</v>
      </c>
      <c r="S39" s="10"/>
      <c r="T39" s="178">
        <v>213.34700000000001</v>
      </c>
      <c r="U39" s="15"/>
      <c r="V39" s="227"/>
      <c r="W39" s="16"/>
      <c r="X39" s="16"/>
      <c r="Y39" s="16"/>
      <c r="Z39" s="35">
        <f t="shared" si="34"/>
        <v>213.34700000000001</v>
      </c>
      <c r="AA39" s="178">
        <v>123.88800000000001</v>
      </c>
      <c r="AB39" s="15"/>
      <c r="AC39" s="208"/>
      <c r="AD39" s="15"/>
      <c r="AE39" s="15"/>
      <c r="AF39" s="15"/>
      <c r="AG39" s="35">
        <f t="shared" si="35"/>
        <v>123.88800000000001</v>
      </c>
      <c r="AH39" s="35">
        <f t="shared" si="36"/>
        <v>337.23500000000001</v>
      </c>
      <c r="AI39" s="15">
        <f t="shared" si="64"/>
        <v>337.23500000000001</v>
      </c>
      <c r="AJ39" s="15">
        <f t="shared" si="64"/>
        <v>0</v>
      </c>
      <c r="AK39" s="15">
        <f t="shared" si="64"/>
        <v>0</v>
      </c>
      <c r="AL39" s="15">
        <f t="shared" si="64"/>
        <v>0</v>
      </c>
      <c r="AM39" s="15">
        <f t="shared" si="64"/>
        <v>0</v>
      </c>
      <c r="AN39" s="15"/>
      <c r="AO39" s="15">
        <f t="shared" si="7"/>
        <v>337.23500000000001</v>
      </c>
      <c r="AP39" s="15">
        <f t="shared" si="37"/>
        <v>337.23500000000001</v>
      </c>
      <c r="AQ39" s="15">
        <f t="shared" si="38"/>
        <v>337.23500000000001</v>
      </c>
      <c r="AR39" s="127">
        <f t="shared" si="39"/>
        <v>0</v>
      </c>
      <c r="AS39" s="112">
        <f t="shared" si="8"/>
        <v>1073767.0315200002</v>
      </c>
      <c r="AT39" s="112">
        <f t="shared" si="8"/>
        <v>0</v>
      </c>
      <c r="AU39" s="112">
        <f t="shared" si="8"/>
        <v>0</v>
      </c>
      <c r="AV39" s="112">
        <f t="shared" si="8"/>
        <v>0</v>
      </c>
      <c r="AW39" s="112">
        <f t="shared" si="8"/>
        <v>0</v>
      </c>
      <c r="AX39" s="112">
        <f t="shared" si="40"/>
        <v>1073767.0315200002</v>
      </c>
      <c r="AY39" s="112">
        <f t="shared" si="41"/>
        <v>1073767.0315200002</v>
      </c>
      <c r="AZ39" s="112">
        <f t="shared" si="9"/>
        <v>1112592.2226000002</v>
      </c>
      <c r="BA39" s="112">
        <f t="shared" si="9"/>
        <v>0</v>
      </c>
      <c r="BB39" s="112">
        <f t="shared" si="9"/>
        <v>0</v>
      </c>
      <c r="BC39" s="112">
        <f t="shared" si="9"/>
        <v>0</v>
      </c>
      <c r="BD39" s="112">
        <f t="shared" si="9"/>
        <v>0</v>
      </c>
      <c r="BE39" s="112">
        <f t="shared" si="42"/>
        <v>1112592.2226000002</v>
      </c>
      <c r="BF39" s="112">
        <f t="shared" si="43"/>
        <v>1112592.2226000002</v>
      </c>
      <c r="BG39" s="648">
        <f>(I39-J39)/1.2*U39/1000</f>
        <v>0</v>
      </c>
      <c r="BH39" s="649">
        <f>(O39-P39)/1.2*AB39/1000</f>
        <v>0</v>
      </c>
      <c r="BI39" s="648">
        <f t="shared" si="69"/>
        <v>0</v>
      </c>
      <c r="BJ39" s="112"/>
      <c r="BK39" s="112"/>
      <c r="BL39" s="112">
        <f t="shared" si="10"/>
        <v>679303.67510400002</v>
      </c>
      <c r="BM39" s="112">
        <f t="shared" si="10"/>
        <v>0</v>
      </c>
      <c r="BN39" s="112">
        <f t="shared" si="10"/>
        <v>0</v>
      </c>
      <c r="BO39" s="112">
        <f t="shared" si="10"/>
        <v>0</v>
      </c>
      <c r="BP39" s="112">
        <f t="shared" si="10"/>
        <v>0</v>
      </c>
      <c r="BQ39" s="112">
        <f t="shared" si="44"/>
        <v>679303.67510400002</v>
      </c>
      <c r="BR39" s="112">
        <f t="shared" si="45"/>
        <v>679303.67510400002</v>
      </c>
      <c r="BS39" s="112">
        <f t="shared" si="11"/>
        <v>408726.33408000006</v>
      </c>
      <c r="BT39" s="112">
        <f t="shared" si="11"/>
        <v>0</v>
      </c>
      <c r="BU39" s="112">
        <f t="shared" si="11"/>
        <v>0</v>
      </c>
      <c r="BV39" s="112">
        <f t="shared" si="12"/>
        <v>0</v>
      </c>
      <c r="BW39" s="112">
        <f t="shared" si="13"/>
        <v>0</v>
      </c>
      <c r="BX39" s="112">
        <f t="shared" si="46"/>
        <v>408726.33408000006</v>
      </c>
      <c r="BY39" s="112">
        <f t="shared" si="47"/>
        <v>408726.33408000006</v>
      </c>
      <c r="BZ39" s="113">
        <f t="shared" si="48"/>
        <v>0</v>
      </c>
      <c r="CA39" s="113">
        <f t="shared" si="48"/>
        <v>0</v>
      </c>
      <c r="CB39" s="113">
        <f t="shared" si="49"/>
        <v>0</v>
      </c>
      <c r="CC39" s="119" t="e">
        <f t="shared" si="50"/>
        <v>#DIV/0!</v>
      </c>
      <c r="CD39" s="119" t="e">
        <f t="shared" si="50"/>
        <v>#DIV/0!</v>
      </c>
      <c r="CE39" s="119" t="e">
        <f t="shared" si="51"/>
        <v>#DIV/0!</v>
      </c>
      <c r="CF39" s="113" t="e">
        <f t="shared" si="14"/>
        <v>#DIV/0!</v>
      </c>
      <c r="CG39" s="619">
        <f t="shared" si="15"/>
        <v>0</v>
      </c>
      <c r="CH39" s="132" t="e">
        <f t="shared" si="52"/>
        <v>#DIV/0!</v>
      </c>
      <c r="CI39" s="106"/>
      <c r="CJ39" s="208">
        <f t="shared" si="16"/>
        <v>679.30367510400004</v>
      </c>
      <c r="CK39" s="208">
        <f t="shared" si="17"/>
        <v>408.72633408000007</v>
      </c>
      <c r="CL39" s="208">
        <f t="shared" si="53"/>
        <v>1088.0300091840002</v>
      </c>
      <c r="CM39" s="112">
        <f t="shared" si="18"/>
        <v>1088030.0091840001</v>
      </c>
      <c r="CN39" s="112">
        <f t="shared" si="19"/>
        <v>1073767.0315200002</v>
      </c>
      <c r="CO39" s="112">
        <f t="shared" si="20"/>
        <v>1073767.0315200002</v>
      </c>
      <c r="CP39" s="112">
        <f t="shared" si="21"/>
        <v>679303.67510400002</v>
      </c>
      <c r="CQ39" s="112">
        <f t="shared" si="22"/>
        <v>1112592.2226000002</v>
      </c>
      <c r="CR39" s="112">
        <f t="shared" si="23"/>
        <v>1112592.2226000002</v>
      </c>
      <c r="CS39" s="112">
        <f t="shared" si="24"/>
        <v>408726.33408000006</v>
      </c>
      <c r="CT39" s="112">
        <f t="shared" si="54"/>
        <v>2186359.2541200006</v>
      </c>
      <c r="CU39" s="124">
        <f t="shared" si="55"/>
        <v>6483192.0000000019</v>
      </c>
      <c r="CV39" s="112">
        <f t="shared" si="25"/>
        <v>0</v>
      </c>
      <c r="CW39" s="112">
        <f t="shared" si="26"/>
        <v>0</v>
      </c>
      <c r="CX39" s="112">
        <f t="shared" si="56"/>
        <v>0</v>
      </c>
      <c r="CY39" s="112">
        <f t="shared" si="27"/>
        <v>1073767.0315200002</v>
      </c>
      <c r="CZ39" s="112">
        <f t="shared" si="28"/>
        <v>1112592.2226000002</v>
      </c>
      <c r="DA39" s="106"/>
      <c r="DB39" s="128" t="e">
        <f t="shared" si="57"/>
        <v>#DIV/0!</v>
      </c>
      <c r="DC39" s="106"/>
      <c r="DD39" s="106"/>
      <c r="DE39" s="106"/>
      <c r="DF39" s="106"/>
      <c r="DG39" s="618">
        <f t="shared" si="29"/>
        <v>0</v>
      </c>
      <c r="DH39" s="618">
        <f t="shared" si="30"/>
        <v>0</v>
      </c>
      <c r="DI39" s="618">
        <f t="shared" si="31"/>
        <v>0</v>
      </c>
      <c r="DJ39" s="115"/>
    </row>
    <row r="40" spans="1:114" s="20" customFormat="1" ht="63.75" customHeight="1">
      <c r="A40" s="20">
        <f t="shared" si="58"/>
        <v>27</v>
      </c>
      <c r="B40" s="1896" t="s">
        <v>15</v>
      </c>
      <c r="C40" s="810" t="s">
        <v>168</v>
      </c>
      <c r="D40" s="749" t="s">
        <v>141</v>
      </c>
      <c r="E40" s="617">
        <v>4632024035</v>
      </c>
      <c r="F40" s="806" t="s">
        <v>8</v>
      </c>
      <c r="G40" s="752" t="s">
        <v>890</v>
      </c>
      <c r="H40" s="16">
        <f t="shared" si="65"/>
        <v>3184.0320000000002</v>
      </c>
      <c r="I40" s="16">
        <f t="shared" si="65"/>
        <v>3184.0320000000002</v>
      </c>
      <c r="J40" s="38">
        <v>2103.35</v>
      </c>
      <c r="K40" s="38"/>
      <c r="L40" s="819">
        <f t="shared" si="66"/>
        <v>3184.0320000000002</v>
      </c>
      <c r="M40" s="10"/>
      <c r="N40" s="622">
        <f t="shared" si="67"/>
        <v>3299.1600000000003</v>
      </c>
      <c r="O40" s="622">
        <f t="shared" si="67"/>
        <v>3299.1600000000003</v>
      </c>
      <c r="P40" s="38">
        <v>2239.86</v>
      </c>
      <c r="Q40" s="10"/>
      <c r="R40" s="622">
        <f t="shared" si="68"/>
        <v>3299.1600000000003</v>
      </c>
      <c r="S40" s="10"/>
      <c r="T40" s="35">
        <v>1582.24</v>
      </c>
      <c r="U40" s="15">
        <v>1181.5999999999999</v>
      </c>
      <c r="V40" s="208"/>
      <c r="W40" s="15"/>
      <c r="X40" s="15"/>
      <c r="Y40" s="15"/>
      <c r="Z40" s="35">
        <f t="shared" si="34"/>
        <v>2763.84</v>
      </c>
      <c r="AA40" s="35">
        <v>918.6</v>
      </c>
      <c r="AB40" s="15">
        <v>886.2</v>
      </c>
      <c r="AC40" s="208"/>
      <c r="AD40" s="15"/>
      <c r="AE40" s="15"/>
      <c r="AF40" s="15"/>
      <c r="AG40" s="35">
        <f t="shared" si="35"/>
        <v>1804.8000000000002</v>
      </c>
      <c r="AH40" s="35">
        <f t="shared" si="36"/>
        <v>4568.6400000000003</v>
      </c>
      <c r="AI40" s="15">
        <f t="shared" si="64"/>
        <v>2500.84</v>
      </c>
      <c r="AJ40" s="15">
        <f t="shared" si="64"/>
        <v>2067.8000000000002</v>
      </c>
      <c r="AK40" s="15">
        <f t="shared" si="64"/>
        <v>0</v>
      </c>
      <c r="AL40" s="15">
        <f t="shared" si="64"/>
        <v>0</v>
      </c>
      <c r="AM40" s="15">
        <f t="shared" si="64"/>
        <v>0</v>
      </c>
      <c r="AN40" s="15"/>
      <c r="AO40" s="15">
        <f t="shared" si="7"/>
        <v>4568.6400000000003</v>
      </c>
      <c r="AP40" s="15">
        <f t="shared" si="37"/>
        <v>4568.6400000000003</v>
      </c>
      <c r="AQ40" s="15">
        <f t="shared" si="38"/>
        <v>4568.6400000000003</v>
      </c>
      <c r="AR40" s="127">
        <f t="shared" si="39"/>
        <v>0</v>
      </c>
      <c r="AS40" s="112">
        <f t="shared" si="8"/>
        <v>7962754.5868800012</v>
      </c>
      <c r="AT40" s="112">
        <f t="shared" si="8"/>
        <v>4349307.13</v>
      </c>
      <c r="AU40" s="112">
        <f t="shared" si="8"/>
        <v>0</v>
      </c>
      <c r="AV40" s="112">
        <f t="shared" si="8"/>
        <v>0</v>
      </c>
      <c r="AW40" s="112">
        <f t="shared" si="8"/>
        <v>0</v>
      </c>
      <c r="AX40" s="112">
        <f t="shared" si="40"/>
        <v>12312061.716880001</v>
      </c>
      <c r="AY40" s="112">
        <f t="shared" si="41"/>
        <v>12312061.716880001</v>
      </c>
      <c r="AZ40" s="112">
        <f t="shared" si="9"/>
        <v>8250671.2944000009</v>
      </c>
      <c r="BA40" s="112">
        <f t="shared" si="9"/>
        <v>4631582.5080000004</v>
      </c>
      <c r="BB40" s="112">
        <f t="shared" si="9"/>
        <v>0</v>
      </c>
      <c r="BC40" s="112">
        <f t="shared" si="9"/>
        <v>0</v>
      </c>
      <c r="BD40" s="112">
        <f t="shared" si="9"/>
        <v>0</v>
      </c>
      <c r="BE40" s="112">
        <f t="shared" si="42"/>
        <v>12882253.8024</v>
      </c>
      <c r="BF40" s="112">
        <f t="shared" si="43"/>
        <v>12882253.8024</v>
      </c>
      <c r="BG40" s="623">
        <f>(I40-J40)/1.2*U40/1000</f>
        <v>1064.111542666667</v>
      </c>
      <c r="BH40" s="624">
        <f>(O40-P40)/1.2*AB40/1000</f>
        <v>782.29305000000033</v>
      </c>
      <c r="BI40" s="623">
        <f t="shared" si="69"/>
        <v>1846.4045926666672</v>
      </c>
      <c r="BJ40" s="169"/>
      <c r="BK40" s="169"/>
      <c r="BL40" s="112">
        <f t="shared" si="10"/>
        <v>5037902.7916800007</v>
      </c>
      <c r="BM40" s="112">
        <f t="shared" si="10"/>
        <v>2485318.36</v>
      </c>
      <c r="BN40" s="112">
        <f t="shared" si="10"/>
        <v>0</v>
      </c>
      <c r="BO40" s="112">
        <f t="shared" si="10"/>
        <v>0</v>
      </c>
      <c r="BP40" s="112">
        <f t="shared" si="10"/>
        <v>0</v>
      </c>
      <c r="BQ40" s="112">
        <f t="shared" si="44"/>
        <v>7523221.1516800001</v>
      </c>
      <c r="BR40" s="112">
        <f t="shared" si="45"/>
        <v>7523221.1516800001</v>
      </c>
      <c r="BS40" s="112">
        <f t="shared" si="11"/>
        <v>3030608.3760000002</v>
      </c>
      <c r="BT40" s="112">
        <f t="shared" si="11"/>
        <v>1984963.9320000003</v>
      </c>
      <c r="BU40" s="112">
        <f t="shared" si="11"/>
        <v>0</v>
      </c>
      <c r="BV40" s="112">
        <f t="shared" si="12"/>
        <v>0</v>
      </c>
      <c r="BW40" s="112">
        <f t="shared" si="13"/>
        <v>0</v>
      </c>
      <c r="BX40" s="112">
        <f t="shared" si="46"/>
        <v>5015572.3080000002</v>
      </c>
      <c r="BY40" s="112">
        <f t="shared" si="47"/>
        <v>5015572.3080000002</v>
      </c>
      <c r="BZ40" s="113">
        <f t="shared" si="48"/>
        <v>4470282.2920000004</v>
      </c>
      <c r="CA40" s="113">
        <f t="shared" si="48"/>
        <v>0</v>
      </c>
      <c r="CB40" s="113">
        <f t="shared" si="49"/>
        <v>4470282.2920000004</v>
      </c>
      <c r="CC40" s="119">
        <f t="shared" si="50"/>
        <v>2161.8542857142857</v>
      </c>
      <c r="CD40" s="119" t="e">
        <f t="shared" si="50"/>
        <v>#DIV/0!</v>
      </c>
      <c r="CE40" s="119">
        <f t="shared" si="51"/>
        <v>2161.8542857142857</v>
      </c>
      <c r="CF40" s="119">
        <f t="shared" si="14"/>
        <v>2161.8542857142857</v>
      </c>
      <c r="CG40" s="619">
        <f t="shared" si="15"/>
        <v>6685967.8032000009</v>
      </c>
      <c r="CH40" s="132">
        <f t="shared" si="52"/>
        <v>3233.3725714285715</v>
      </c>
      <c r="CI40" s="106"/>
      <c r="CJ40" s="208">
        <f t="shared" si="16"/>
        <v>8800.1550028800011</v>
      </c>
      <c r="CK40" s="208">
        <f t="shared" si="17"/>
        <v>5954.3239680000015</v>
      </c>
      <c r="CL40" s="208">
        <f t="shared" si="53"/>
        <v>14754.478970880002</v>
      </c>
      <c r="CM40" s="112">
        <f t="shared" si="18"/>
        <v>14754478.970880002</v>
      </c>
      <c r="CN40" s="112">
        <f t="shared" si="19"/>
        <v>12312061.716880001</v>
      </c>
      <c r="CO40" s="112">
        <f t="shared" si="20"/>
        <v>12312061.716880001</v>
      </c>
      <c r="CP40" s="112">
        <f t="shared" si="21"/>
        <v>7523221.1516800001</v>
      </c>
      <c r="CQ40" s="112">
        <f t="shared" si="22"/>
        <v>12882253.8024</v>
      </c>
      <c r="CR40" s="112">
        <f t="shared" si="23"/>
        <v>12882253.8024</v>
      </c>
      <c r="CS40" s="112">
        <f t="shared" si="24"/>
        <v>5015572.3080000002</v>
      </c>
      <c r="CT40" s="112">
        <f t="shared" si="54"/>
        <v>25194315.519280002</v>
      </c>
      <c r="CU40" s="124">
        <f t="shared" si="55"/>
        <v>5514620.4383098697</v>
      </c>
      <c r="CV40" s="112">
        <f t="shared" si="25"/>
        <v>4349307.13</v>
      </c>
      <c r="CW40" s="112">
        <f t="shared" si="26"/>
        <v>4631582.5080000004</v>
      </c>
      <c r="CX40" s="112">
        <f t="shared" si="56"/>
        <v>8980889.6380000003</v>
      </c>
      <c r="CY40" s="112">
        <f t="shared" si="27"/>
        <v>14546695.956480002</v>
      </c>
      <c r="CZ40" s="112">
        <f t="shared" si="28"/>
        <v>15072674.342400003</v>
      </c>
      <c r="DA40" s="106"/>
      <c r="DB40" s="128">
        <f t="shared" si="57"/>
        <v>156.8526398364514</v>
      </c>
      <c r="DC40" s="106"/>
      <c r="DD40" s="106"/>
      <c r="DE40" s="106"/>
      <c r="DF40" s="106"/>
      <c r="DG40" s="618">
        <f t="shared" si="29"/>
        <v>0</v>
      </c>
      <c r="DH40" s="618">
        <f t="shared" si="30"/>
        <v>0</v>
      </c>
      <c r="DI40" s="618">
        <f t="shared" si="31"/>
        <v>0</v>
      </c>
      <c r="DJ40" s="115"/>
    </row>
    <row r="41" spans="1:114" s="20" customFormat="1" ht="63.75" customHeight="1">
      <c r="A41" s="20">
        <f t="shared" si="58"/>
        <v>28</v>
      </c>
      <c r="B41" s="1897"/>
      <c r="C41" s="806" t="s">
        <v>90</v>
      </c>
      <c r="D41" s="749" t="s">
        <v>143</v>
      </c>
      <c r="E41" s="617">
        <v>4632024035</v>
      </c>
      <c r="F41" s="806" t="s">
        <v>8</v>
      </c>
      <c r="G41" s="752" t="s">
        <v>890</v>
      </c>
      <c r="H41" s="16">
        <f t="shared" si="65"/>
        <v>3184.0320000000002</v>
      </c>
      <c r="I41" s="16">
        <f t="shared" si="65"/>
        <v>3184.0320000000002</v>
      </c>
      <c r="J41" s="38">
        <v>2732.57</v>
      </c>
      <c r="K41" s="38"/>
      <c r="L41" s="819">
        <f t="shared" si="66"/>
        <v>3184.0320000000002</v>
      </c>
      <c r="M41" s="10"/>
      <c r="N41" s="622">
        <f t="shared" si="67"/>
        <v>3299.1600000000003</v>
      </c>
      <c r="O41" s="622">
        <f t="shared" si="67"/>
        <v>3299.1600000000003</v>
      </c>
      <c r="P41" s="38">
        <v>2896.52</v>
      </c>
      <c r="Q41" s="10"/>
      <c r="R41" s="622">
        <f t="shared" si="68"/>
        <v>3299.1600000000003</v>
      </c>
      <c r="S41" s="10"/>
      <c r="T41" s="35">
        <v>467</v>
      </c>
      <c r="U41" s="15">
        <v>316.5</v>
      </c>
      <c r="V41" s="208"/>
      <c r="W41" s="15"/>
      <c r="X41" s="15"/>
      <c r="Y41" s="15"/>
      <c r="Z41" s="35">
        <f t="shared" si="34"/>
        <v>783.5</v>
      </c>
      <c r="AA41" s="35">
        <v>340</v>
      </c>
      <c r="AB41" s="15">
        <v>237.39999999999998</v>
      </c>
      <c r="AC41" s="208"/>
      <c r="AD41" s="15"/>
      <c r="AE41" s="15"/>
      <c r="AF41" s="15"/>
      <c r="AG41" s="35">
        <f t="shared" si="35"/>
        <v>577.4</v>
      </c>
      <c r="AH41" s="35">
        <f t="shared" si="36"/>
        <v>1360.9</v>
      </c>
      <c r="AI41" s="15">
        <f t="shared" si="64"/>
        <v>807</v>
      </c>
      <c r="AJ41" s="15">
        <f t="shared" si="64"/>
        <v>553.9</v>
      </c>
      <c r="AK41" s="15">
        <f t="shared" si="64"/>
        <v>0</v>
      </c>
      <c r="AL41" s="15">
        <f t="shared" si="64"/>
        <v>0</v>
      </c>
      <c r="AM41" s="15">
        <f t="shared" si="64"/>
        <v>0</v>
      </c>
      <c r="AN41" s="15"/>
      <c r="AO41" s="15">
        <f t="shared" si="7"/>
        <v>1360.9</v>
      </c>
      <c r="AP41" s="15">
        <f t="shared" si="37"/>
        <v>1360.9</v>
      </c>
      <c r="AQ41" s="15">
        <f t="shared" si="38"/>
        <v>1360.9</v>
      </c>
      <c r="AR41" s="127">
        <f t="shared" si="39"/>
        <v>0</v>
      </c>
      <c r="AS41" s="112">
        <f t="shared" si="8"/>
        <v>2569513.824</v>
      </c>
      <c r="AT41" s="112">
        <f t="shared" si="8"/>
        <v>1513570.523</v>
      </c>
      <c r="AU41" s="112">
        <f t="shared" si="8"/>
        <v>0</v>
      </c>
      <c r="AV41" s="112">
        <f t="shared" si="8"/>
        <v>0</v>
      </c>
      <c r="AW41" s="112">
        <f t="shared" si="8"/>
        <v>0</v>
      </c>
      <c r="AX41" s="112">
        <f t="shared" si="40"/>
        <v>4083084.3470000001</v>
      </c>
      <c r="AY41" s="112">
        <f t="shared" si="41"/>
        <v>4083084.3470000001</v>
      </c>
      <c r="AZ41" s="112">
        <f t="shared" si="9"/>
        <v>2662422.12</v>
      </c>
      <c r="BA41" s="112">
        <f t="shared" si="9"/>
        <v>1604382.4279999998</v>
      </c>
      <c r="BB41" s="112">
        <f t="shared" si="9"/>
        <v>0</v>
      </c>
      <c r="BC41" s="112">
        <f t="shared" si="9"/>
        <v>0</v>
      </c>
      <c r="BD41" s="112">
        <f t="shared" si="9"/>
        <v>0</v>
      </c>
      <c r="BE41" s="112">
        <f t="shared" si="42"/>
        <v>4266804.5480000004</v>
      </c>
      <c r="BF41" s="112">
        <f t="shared" si="43"/>
        <v>4266804.5480000004</v>
      </c>
      <c r="BG41" s="623">
        <f>(I41-J41)/1.2*U41/1000</f>
        <v>119.0731025</v>
      </c>
      <c r="BH41" s="624">
        <f>(O41-P41)/1.2*AB41/1000</f>
        <v>79.655613333333406</v>
      </c>
      <c r="BI41" s="623">
        <f t="shared" si="69"/>
        <v>198.72871583333341</v>
      </c>
      <c r="BJ41" s="169"/>
      <c r="BK41" s="169"/>
      <c r="BL41" s="112">
        <f t="shared" si="10"/>
        <v>1486942.9440000001</v>
      </c>
      <c r="BM41" s="112">
        <f t="shared" si="10"/>
        <v>864858.40500000003</v>
      </c>
      <c r="BN41" s="112">
        <f t="shared" si="10"/>
        <v>0</v>
      </c>
      <c r="BO41" s="112">
        <f t="shared" si="10"/>
        <v>0</v>
      </c>
      <c r="BP41" s="112">
        <f t="shared" si="10"/>
        <v>0</v>
      </c>
      <c r="BQ41" s="112">
        <f t="shared" si="44"/>
        <v>2351801.3490000004</v>
      </c>
      <c r="BR41" s="112">
        <f t="shared" si="45"/>
        <v>2351801.3490000004</v>
      </c>
      <c r="BS41" s="112">
        <f t="shared" si="11"/>
        <v>1121714.4000000001</v>
      </c>
      <c r="BT41" s="112">
        <f t="shared" si="11"/>
        <v>687633.84799999988</v>
      </c>
      <c r="BU41" s="112">
        <f t="shared" si="11"/>
        <v>0</v>
      </c>
      <c r="BV41" s="112">
        <f t="shared" si="12"/>
        <v>0</v>
      </c>
      <c r="BW41" s="112">
        <f t="shared" si="13"/>
        <v>0</v>
      </c>
      <c r="BX41" s="112">
        <f t="shared" si="46"/>
        <v>1809348.2480000001</v>
      </c>
      <c r="BY41" s="112">
        <f t="shared" si="47"/>
        <v>1809348.2480000001</v>
      </c>
      <c r="BZ41" s="113">
        <f t="shared" si="48"/>
        <v>1552492.253</v>
      </c>
      <c r="CA41" s="113">
        <f t="shared" si="48"/>
        <v>0</v>
      </c>
      <c r="CB41" s="113">
        <f t="shared" si="49"/>
        <v>1552492.253</v>
      </c>
      <c r="CC41" s="119">
        <f t="shared" si="50"/>
        <v>2802.8385141722333</v>
      </c>
      <c r="CD41" s="119" t="e">
        <f t="shared" si="50"/>
        <v>#DIV/0!</v>
      </c>
      <c r="CE41" s="119">
        <f t="shared" si="51"/>
        <v>2802.8385141722333</v>
      </c>
      <c r="CF41" s="119">
        <f t="shared" si="14"/>
        <v>2802.8385141722333</v>
      </c>
      <c r="CG41" s="619">
        <f t="shared" si="15"/>
        <v>1790966.7120000001</v>
      </c>
      <c r="CH41" s="132">
        <f t="shared" si="52"/>
        <v>3233.3755407113199</v>
      </c>
      <c r="CI41" s="106"/>
      <c r="CJ41" s="208">
        <f t="shared" si="16"/>
        <v>2494.6890720000001</v>
      </c>
      <c r="CK41" s="208">
        <f t="shared" si="17"/>
        <v>1904.9349840000002</v>
      </c>
      <c r="CL41" s="208">
        <f t="shared" si="53"/>
        <v>4399.6240560000006</v>
      </c>
      <c r="CM41" s="112">
        <f t="shared" si="18"/>
        <v>4399624.0559999999</v>
      </c>
      <c r="CN41" s="112">
        <f t="shared" si="19"/>
        <v>4083084.3470000001</v>
      </c>
      <c r="CO41" s="112">
        <f t="shared" si="20"/>
        <v>4083084.3470000001</v>
      </c>
      <c r="CP41" s="112">
        <f t="shared" si="21"/>
        <v>2351801.3490000004</v>
      </c>
      <c r="CQ41" s="112">
        <f t="shared" si="22"/>
        <v>4266804.5480000004</v>
      </c>
      <c r="CR41" s="112">
        <f t="shared" si="23"/>
        <v>4266804.5480000004</v>
      </c>
      <c r="CS41" s="112">
        <f t="shared" si="24"/>
        <v>1809348.2480000001</v>
      </c>
      <c r="CT41" s="112">
        <f t="shared" si="54"/>
        <v>8349888.8950000005</v>
      </c>
      <c r="CU41" s="124">
        <f t="shared" si="55"/>
        <v>6135563.8878683224</v>
      </c>
      <c r="CV41" s="112">
        <f t="shared" si="25"/>
        <v>1513570.523</v>
      </c>
      <c r="CW41" s="112">
        <f t="shared" si="26"/>
        <v>1604382.4279999998</v>
      </c>
      <c r="CX41" s="112">
        <f t="shared" si="56"/>
        <v>3117952.9509999999</v>
      </c>
      <c r="CY41" s="112">
        <f t="shared" si="27"/>
        <v>4333149.1488000005</v>
      </c>
      <c r="CZ41" s="112">
        <f t="shared" si="28"/>
        <v>4489826.8440000005</v>
      </c>
      <c r="DA41" s="106"/>
      <c r="DB41" s="128">
        <f t="shared" si="57"/>
        <v>120.73469298133259</v>
      </c>
      <c r="DC41" s="106"/>
      <c r="DD41" s="106"/>
      <c r="DE41" s="106"/>
      <c r="DF41" s="106"/>
      <c r="DG41" s="618">
        <f t="shared" si="29"/>
        <v>0</v>
      </c>
      <c r="DH41" s="618">
        <f t="shared" si="30"/>
        <v>0</v>
      </c>
      <c r="DI41" s="618">
        <f t="shared" si="31"/>
        <v>0</v>
      </c>
      <c r="DJ41" s="115"/>
    </row>
    <row r="42" spans="1:114" s="20" customFormat="1" ht="63.75" customHeight="1">
      <c r="A42" s="20">
        <f t="shared" si="58"/>
        <v>29</v>
      </c>
      <c r="B42" s="1897"/>
      <c r="C42" s="806" t="s">
        <v>91</v>
      </c>
      <c r="D42" s="749" t="s">
        <v>144</v>
      </c>
      <c r="E42" s="617">
        <v>4632024035</v>
      </c>
      <c r="F42" s="806" t="s">
        <v>8</v>
      </c>
      <c r="G42" s="752" t="s">
        <v>890</v>
      </c>
      <c r="H42" s="16">
        <f t="shared" si="65"/>
        <v>3184.0320000000002</v>
      </c>
      <c r="I42" s="16">
        <f t="shared" si="65"/>
        <v>3184.0320000000002</v>
      </c>
      <c r="J42" s="38"/>
      <c r="K42" s="38"/>
      <c r="L42" s="819">
        <f t="shared" si="66"/>
        <v>3184.0320000000002</v>
      </c>
      <c r="M42" s="10"/>
      <c r="N42" s="622">
        <f t="shared" si="67"/>
        <v>3299.1600000000003</v>
      </c>
      <c r="O42" s="622">
        <f t="shared" si="67"/>
        <v>3299.1600000000003</v>
      </c>
      <c r="P42" s="10"/>
      <c r="Q42" s="10"/>
      <c r="R42" s="622">
        <f t="shared" si="68"/>
        <v>3299.1600000000003</v>
      </c>
      <c r="S42" s="10"/>
      <c r="T42" s="35">
        <v>631.65300000000002</v>
      </c>
      <c r="U42" s="15"/>
      <c r="V42" s="208"/>
      <c r="W42" s="15"/>
      <c r="X42" s="15"/>
      <c r="Y42" s="15"/>
      <c r="Z42" s="35">
        <f t="shared" si="34"/>
        <v>631.65300000000002</v>
      </c>
      <c r="AA42" s="35">
        <v>366.79200000000003</v>
      </c>
      <c r="AB42" s="15"/>
      <c r="AC42" s="208"/>
      <c r="AD42" s="15"/>
      <c r="AE42" s="15"/>
      <c r="AF42" s="15"/>
      <c r="AG42" s="35">
        <f t="shared" si="35"/>
        <v>366.79200000000003</v>
      </c>
      <c r="AH42" s="35">
        <f t="shared" si="36"/>
        <v>998.44500000000005</v>
      </c>
      <c r="AI42" s="15">
        <f t="shared" si="64"/>
        <v>998.44500000000005</v>
      </c>
      <c r="AJ42" s="15">
        <f t="shared" si="64"/>
        <v>0</v>
      </c>
      <c r="AK42" s="15">
        <f t="shared" si="64"/>
        <v>0</v>
      </c>
      <c r="AL42" s="15">
        <f t="shared" si="64"/>
        <v>0</v>
      </c>
      <c r="AM42" s="15">
        <f t="shared" si="64"/>
        <v>0</v>
      </c>
      <c r="AN42" s="15"/>
      <c r="AO42" s="15">
        <f t="shared" si="7"/>
        <v>998.44500000000005</v>
      </c>
      <c r="AP42" s="15">
        <f t="shared" si="37"/>
        <v>998.44500000000005</v>
      </c>
      <c r="AQ42" s="15">
        <f t="shared" si="38"/>
        <v>998.44500000000005</v>
      </c>
      <c r="AR42" s="127">
        <f t="shared" si="39"/>
        <v>0</v>
      </c>
      <c r="AS42" s="112">
        <f t="shared" si="8"/>
        <v>3179080.8302400005</v>
      </c>
      <c r="AT42" s="112">
        <f t="shared" si="8"/>
        <v>0</v>
      </c>
      <c r="AU42" s="112">
        <f t="shared" si="8"/>
        <v>0</v>
      </c>
      <c r="AV42" s="112">
        <f t="shared" si="8"/>
        <v>0</v>
      </c>
      <c r="AW42" s="112">
        <f t="shared" si="8"/>
        <v>0</v>
      </c>
      <c r="AX42" s="112">
        <f t="shared" si="40"/>
        <v>3179080.8302400005</v>
      </c>
      <c r="AY42" s="112">
        <f t="shared" si="41"/>
        <v>3179080.8302400005</v>
      </c>
      <c r="AZ42" s="112">
        <f t="shared" si="9"/>
        <v>3294029.8062000005</v>
      </c>
      <c r="BA42" s="112">
        <f t="shared" si="9"/>
        <v>0</v>
      </c>
      <c r="BB42" s="112">
        <f t="shared" si="9"/>
        <v>0</v>
      </c>
      <c r="BC42" s="112">
        <f t="shared" si="9"/>
        <v>0</v>
      </c>
      <c r="BD42" s="112">
        <f t="shared" si="9"/>
        <v>0</v>
      </c>
      <c r="BE42" s="112">
        <f t="shared" si="42"/>
        <v>3294029.8062000005</v>
      </c>
      <c r="BF42" s="112">
        <f t="shared" si="43"/>
        <v>3294029.8062000005</v>
      </c>
      <c r="BG42" s="112"/>
      <c r="BH42" s="112"/>
      <c r="BI42" s="112">
        <f t="shared" si="69"/>
        <v>0</v>
      </c>
      <c r="BJ42" s="112"/>
      <c r="BK42" s="112"/>
      <c r="BL42" s="112">
        <f t="shared" si="10"/>
        <v>2011203.3648960001</v>
      </c>
      <c r="BM42" s="112">
        <f t="shared" si="10"/>
        <v>0</v>
      </c>
      <c r="BN42" s="112">
        <f t="shared" si="10"/>
        <v>0</v>
      </c>
      <c r="BO42" s="112">
        <f t="shared" si="10"/>
        <v>0</v>
      </c>
      <c r="BP42" s="112">
        <f t="shared" si="10"/>
        <v>0</v>
      </c>
      <c r="BQ42" s="112">
        <f t="shared" si="44"/>
        <v>2011203.3648960001</v>
      </c>
      <c r="BR42" s="112">
        <f t="shared" si="45"/>
        <v>2011203.3648960001</v>
      </c>
      <c r="BS42" s="112">
        <f t="shared" si="11"/>
        <v>1210105.4947200003</v>
      </c>
      <c r="BT42" s="112">
        <f t="shared" si="11"/>
        <v>0</v>
      </c>
      <c r="BU42" s="112">
        <f t="shared" si="11"/>
        <v>0</v>
      </c>
      <c r="BV42" s="112">
        <f t="shared" si="12"/>
        <v>0</v>
      </c>
      <c r="BW42" s="112">
        <f t="shared" si="13"/>
        <v>0</v>
      </c>
      <c r="BX42" s="112">
        <f t="shared" si="46"/>
        <v>1210105.4947200003</v>
      </c>
      <c r="BY42" s="112">
        <f t="shared" si="47"/>
        <v>1210105.4947200003</v>
      </c>
      <c r="BZ42" s="113">
        <f t="shared" si="48"/>
        <v>0</v>
      </c>
      <c r="CA42" s="113">
        <f t="shared" si="48"/>
        <v>0</v>
      </c>
      <c r="CB42" s="113">
        <f t="shared" si="49"/>
        <v>0</v>
      </c>
      <c r="CC42" s="119" t="e">
        <f t="shared" si="50"/>
        <v>#DIV/0!</v>
      </c>
      <c r="CD42" s="119" t="e">
        <f t="shared" si="50"/>
        <v>#DIV/0!</v>
      </c>
      <c r="CE42" s="119" t="e">
        <f t="shared" si="51"/>
        <v>#DIV/0!</v>
      </c>
      <c r="CF42" s="113" t="e">
        <f t="shared" si="14"/>
        <v>#DIV/0!</v>
      </c>
      <c r="CG42" s="619">
        <f t="shared" si="15"/>
        <v>0</v>
      </c>
      <c r="CH42" s="132" t="e">
        <f t="shared" si="52"/>
        <v>#DIV/0!</v>
      </c>
      <c r="CI42" s="106"/>
      <c r="CJ42" s="208">
        <f t="shared" si="16"/>
        <v>2011.203364896</v>
      </c>
      <c r="CK42" s="208">
        <f t="shared" si="17"/>
        <v>1210.1054947200003</v>
      </c>
      <c r="CL42" s="208">
        <f t="shared" si="53"/>
        <v>3221.3088596160005</v>
      </c>
      <c r="CM42" s="112">
        <f t="shared" si="18"/>
        <v>3221308.8596160002</v>
      </c>
      <c r="CN42" s="112">
        <f t="shared" si="19"/>
        <v>3179080.8302400005</v>
      </c>
      <c r="CO42" s="112">
        <f t="shared" si="20"/>
        <v>3179080.8302400005</v>
      </c>
      <c r="CP42" s="112">
        <f t="shared" si="21"/>
        <v>2011203.3648960001</v>
      </c>
      <c r="CQ42" s="112">
        <f t="shared" si="22"/>
        <v>3294029.8062000005</v>
      </c>
      <c r="CR42" s="112">
        <f t="shared" si="23"/>
        <v>3294029.8062000005</v>
      </c>
      <c r="CS42" s="112">
        <f t="shared" si="24"/>
        <v>1210105.4947200003</v>
      </c>
      <c r="CT42" s="112">
        <f t="shared" si="54"/>
        <v>6473110.6364400014</v>
      </c>
      <c r="CU42" s="124">
        <f t="shared" si="55"/>
        <v>6483192.0000000009</v>
      </c>
      <c r="CV42" s="112">
        <f t="shared" si="25"/>
        <v>0</v>
      </c>
      <c r="CW42" s="112">
        <f t="shared" si="26"/>
        <v>0</v>
      </c>
      <c r="CX42" s="112">
        <f t="shared" si="56"/>
        <v>0</v>
      </c>
      <c r="CY42" s="112">
        <f t="shared" si="27"/>
        <v>3179080.8302400005</v>
      </c>
      <c r="CZ42" s="112">
        <f t="shared" si="28"/>
        <v>3294029.8062000005</v>
      </c>
      <c r="DA42" s="106"/>
      <c r="DB42" s="128" t="e">
        <f t="shared" si="57"/>
        <v>#DIV/0!</v>
      </c>
      <c r="DC42" s="106"/>
      <c r="DD42" s="106"/>
      <c r="DE42" s="106"/>
      <c r="DF42" s="106"/>
      <c r="DG42" s="618">
        <f t="shared" si="29"/>
        <v>0</v>
      </c>
      <c r="DH42" s="618">
        <f t="shared" si="30"/>
        <v>0</v>
      </c>
      <c r="DI42" s="618">
        <f t="shared" si="31"/>
        <v>0</v>
      </c>
      <c r="DJ42" s="115"/>
    </row>
    <row r="43" spans="1:114" s="13" customFormat="1" ht="164.25" hidden="1" customHeight="1">
      <c r="A43" s="695">
        <f t="shared" si="58"/>
        <v>30</v>
      </c>
      <c r="B43" s="1905"/>
      <c r="C43" s="808" t="s">
        <v>181</v>
      </c>
      <c r="D43" s="725" t="s">
        <v>261</v>
      </c>
      <c r="E43" s="706">
        <v>7708503727</v>
      </c>
      <c r="F43" s="696" t="s">
        <v>8</v>
      </c>
      <c r="G43" s="808" t="s">
        <v>870</v>
      </c>
      <c r="H43" s="697">
        <v>2509.19</v>
      </c>
      <c r="I43" s="697">
        <v>2509.19</v>
      </c>
      <c r="J43" s="697">
        <v>0</v>
      </c>
      <c r="K43" s="697">
        <v>0</v>
      </c>
      <c r="L43" s="697">
        <v>0</v>
      </c>
      <c r="M43" s="697">
        <v>0</v>
      </c>
      <c r="N43" s="697">
        <v>2666.58</v>
      </c>
      <c r="O43" s="697">
        <v>2666.58</v>
      </c>
      <c r="P43" s="697">
        <v>0</v>
      </c>
      <c r="Q43" s="697">
        <v>0</v>
      </c>
      <c r="R43" s="697">
        <v>0</v>
      </c>
      <c r="S43" s="697">
        <v>0</v>
      </c>
      <c r="T43" s="163">
        <v>207.92</v>
      </c>
      <c r="U43" s="163">
        <v>0</v>
      </c>
      <c r="V43" s="163">
        <v>0</v>
      </c>
      <c r="W43" s="163">
        <v>0</v>
      </c>
      <c r="X43" s="163">
        <v>0</v>
      </c>
      <c r="Y43" s="163">
        <v>0</v>
      </c>
      <c r="Z43" s="164">
        <f>SUM(T43:Y43)</f>
        <v>207.92</v>
      </c>
      <c r="AA43" s="163">
        <v>207.92</v>
      </c>
      <c r="AB43" s="163">
        <v>0</v>
      </c>
      <c r="AC43" s="163">
        <v>0</v>
      </c>
      <c r="AD43" s="163">
        <v>0</v>
      </c>
      <c r="AE43" s="163">
        <v>0</v>
      </c>
      <c r="AF43" s="163">
        <v>0</v>
      </c>
      <c r="AG43" s="164">
        <f t="shared" si="35"/>
        <v>207.92</v>
      </c>
      <c r="AH43" s="164">
        <f t="shared" si="36"/>
        <v>415.84</v>
      </c>
      <c r="AI43" s="163">
        <f t="shared" si="64"/>
        <v>415.84</v>
      </c>
      <c r="AJ43" s="163">
        <f t="shared" si="64"/>
        <v>0</v>
      </c>
      <c r="AK43" s="163">
        <f t="shared" si="64"/>
        <v>0</v>
      </c>
      <c r="AL43" s="163">
        <f t="shared" si="64"/>
        <v>0</v>
      </c>
      <c r="AM43" s="163">
        <f t="shared" si="64"/>
        <v>0</v>
      </c>
      <c r="AN43" s="163"/>
      <c r="AO43" s="163">
        <f t="shared" si="7"/>
        <v>415.84</v>
      </c>
      <c r="AP43" s="163">
        <f t="shared" si="37"/>
        <v>415.84</v>
      </c>
      <c r="AQ43" s="163">
        <f t="shared" si="38"/>
        <v>415.84</v>
      </c>
      <c r="AR43" s="99">
        <f t="shared" si="39"/>
        <v>0</v>
      </c>
      <c r="AS43" s="18">
        <f t="shared" si="8"/>
        <v>1043421.5695999999</v>
      </c>
      <c r="AT43" s="18">
        <f t="shared" si="8"/>
        <v>0</v>
      </c>
      <c r="AU43" s="18">
        <f t="shared" si="8"/>
        <v>0</v>
      </c>
      <c r="AV43" s="18">
        <f t="shared" si="8"/>
        <v>0</v>
      </c>
      <c r="AW43" s="18">
        <f t="shared" si="8"/>
        <v>0</v>
      </c>
      <c r="AX43" s="18">
        <f t="shared" si="40"/>
        <v>1043421.5695999999</v>
      </c>
      <c r="AY43" s="18">
        <f t="shared" si="41"/>
        <v>1043421.5695999999</v>
      </c>
      <c r="AZ43" s="18">
        <f t="shared" si="9"/>
        <v>1108870.6272</v>
      </c>
      <c r="BA43" s="18">
        <f t="shared" si="9"/>
        <v>0</v>
      </c>
      <c r="BB43" s="18">
        <f t="shared" si="9"/>
        <v>0</v>
      </c>
      <c r="BC43" s="18">
        <f t="shared" si="9"/>
        <v>0</v>
      </c>
      <c r="BD43" s="18">
        <f t="shared" si="9"/>
        <v>0</v>
      </c>
      <c r="BE43" s="18">
        <f t="shared" si="42"/>
        <v>1108870.6272</v>
      </c>
      <c r="BF43" s="18">
        <f t="shared" si="43"/>
        <v>1108870.6272</v>
      </c>
      <c r="BG43" s="18">
        <v>0</v>
      </c>
      <c r="BH43" s="18">
        <v>0</v>
      </c>
      <c r="BI43" s="18">
        <v>0</v>
      </c>
      <c r="BJ43" s="29">
        <v>1076.1600000000001</v>
      </c>
      <c r="BK43" s="18">
        <v>1409.61</v>
      </c>
      <c r="BL43" s="18">
        <f t="shared" si="10"/>
        <v>521710.78479999996</v>
      </c>
      <c r="BM43" s="18">
        <f t="shared" si="10"/>
        <v>0</v>
      </c>
      <c r="BN43" s="18">
        <f t="shared" si="10"/>
        <v>0</v>
      </c>
      <c r="BO43" s="18">
        <f t="shared" si="10"/>
        <v>0</v>
      </c>
      <c r="BP43" s="18">
        <f t="shared" si="10"/>
        <v>0</v>
      </c>
      <c r="BQ43" s="18">
        <f t="shared" si="44"/>
        <v>521710.78479999996</v>
      </c>
      <c r="BR43" s="18">
        <f t="shared" si="45"/>
        <v>521710.78479999996</v>
      </c>
      <c r="BS43" s="18">
        <f t="shared" si="11"/>
        <v>554435.31359999999</v>
      </c>
      <c r="BT43" s="18">
        <f t="shared" si="11"/>
        <v>0</v>
      </c>
      <c r="BU43" s="18">
        <f t="shared" si="11"/>
        <v>0</v>
      </c>
      <c r="BV43" s="18">
        <f t="shared" si="12"/>
        <v>0</v>
      </c>
      <c r="BW43" s="18">
        <f t="shared" si="13"/>
        <v>0</v>
      </c>
      <c r="BX43" s="18">
        <f t="shared" si="46"/>
        <v>554435.31359999999</v>
      </c>
      <c r="BY43" s="18">
        <f t="shared" si="47"/>
        <v>554435.31359999999</v>
      </c>
      <c r="BZ43" s="161">
        <f t="shared" si="48"/>
        <v>0</v>
      </c>
      <c r="CA43" s="161">
        <f t="shared" si="48"/>
        <v>0</v>
      </c>
      <c r="CB43" s="161">
        <f t="shared" si="49"/>
        <v>0</v>
      </c>
      <c r="CC43" s="162" t="e">
        <f t="shared" si="50"/>
        <v>#DIV/0!</v>
      </c>
      <c r="CD43" s="162" t="e">
        <f t="shared" si="50"/>
        <v>#DIV/0!</v>
      </c>
      <c r="CE43" s="162" t="e">
        <f t="shared" si="51"/>
        <v>#DIV/0!</v>
      </c>
      <c r="CF43" s="161" t="e">
        <f t="shared" si="14"/>
        <v>#DIV/0!</v>
      </c>
      <c r="CG43" s="651">
        <f t="shared" si="15"/>
        <v>0</v>
      </c>
      <c r="CH43" s="652" t="e">
        <f t="shared" si="52"/>
        <v>#DIV/0!</v>
      </c>
      <c r="CJ43" s="18">
        <f t="shared" si="16"/>
        <v>521.71078479999994</v>
      </c>
      <c r="CK43" s="18">
        <f t="shared" si="17"/>
        <v>554.43531359999997</v>
      </c>
      <c r="CL43" s="18">
        <f t="shared" si="53"/>
        <v>1076.1460984</v>
      </c>
      <c r="CM43" s="18">
        <f t="shared" si="18"/>
        <v>1076146.0984</v>
      </c>
      <c r="CN43" s="18">
        <f t="shared" si="19"/>
        <v>1043421.5695999999</v>
      </c>
      <c r="CO43" s="18">
        <f t="shared" si="20"/>
        <v>1043421.5695999999</v>
      </c>
      <c r="CP43" s="18">
        <f t="shared" si="21"/>
        <v>521710.78479999996</v>
      </c>
      <c r="CQ43" s="18">
        <f t="shared" si="22"/>
        <v>1108870.6272</v>
      </c>
      <c r="CR43" s="18">
        <f t="shared" si="23"/>
        <v>1108870.6272</v>
      </c>
      <c r="CS43" s="18">
        <f t="shared" si="24"/>
        <v>554435.31359999999</v>
      </c>
      <c r="CT43" s="18">
        <f t="shared" si="54"/>
        <v>2152292.1968</v>
      </c>
      <c r="CU43" s="29">
        <f t="shared" si="55"/>
        <v>5175770</v>
      </c>
      <c r="CV43" s="18">
        <f t="shared" si="25"/>
        <v>0</v>
      </c>
      <c r="CW43" s="18">
        <f t="shared" si="26"/>
        <v>0</v>
      </c>
      <c r="CX43" s="18">
        <f t="shared" si="56"/>
        <v>0</v>
      </c>
      <c r="CY43" s="18">
        <f t="shared" si="27"/>
        <v>1043421.5695999999</v>
      </c>
      <c r="CZ43" s="18">
        <f t="shared" si="28"/>
        <v>1108870.6272</v>
      </c>
      <c r="DB43" s="653" t="e">
        <f t="shared" si="57"/>
        <v>#DIV/0!</v>
      </c>
      <c r="DG43" s="701">
        <f t="shared" si="29"/>
        <v>0</v>
      </c>
      <c r="DH43" s="701">
        <f t="shared" si="30"/>
        <v>0</v>
      </c>
      <c r="DI43" s="701">
        <f t="shared" si="31"/>
        <v>0</v>
      </c>
    </row>
    <row r="44" spans="1:114" s="20" customFormat="1" ht="63.75" customHeight="1">
      <c r="A44" s="20">
        <f t="shared" si="58"/>
        <v>31</v>
      </c>
      <c r="B44" s="22" t="s">
        <v>16</v>
      </c>
      <c r="C44" s="22" t="s">
        <v>92</v>
      </c>
      <c r="D44" s="749" t="s">
        <v>142</v>
      </c>
      <c r="E44" s="617">
        <v>4632024035</v>
      </c>
      <c r="F44" s="806" t="s">
        <v>8</v>
      </c>
      <c r="G44" s="752" t="s">
        <v>890</v>
      </c>
      <c r="H44" s="819">
        <f>2653.36*1.2</f>
        <v>3184.0320000000002</v>
      </c>
      <c r="I44" s="819">
        <f>2653.36*1.2</f>
        <v>3184.0320000000002</v>
      </c>
      <c r="J44" s="38">
        <v>2103.35</v>
      </c>
      <c r="K44" s="38"/>
      <c r="L44" s="819">
        <f>2653.36*1.2</f>
        <v>3184.0320000000002</v>
      </c>
      <c r="M44" s="38"/>
      <c r="N44" s="622">
        <f>2749.3*1.2</f>
        <v>3299.1600000000003</v>
      </c>
      <c r="O44" s="622">
        <f>2749.3*1.2</f>
        <v>3299.1600000000003</v>
      </c>
      <c r="P44" s="38">
        <v>2239.86</v>
      </c>
      <c r="Q44" s="38"/>
      <c r="R44" s="622">
        <f>2749.3*1.2</f>
        <v>3299.1600000000003</v>
      </c>
      <c r="S44" s="38"/>
      <c r="T44" s="648">
        <v>443.47500000000002</v>
      </c>
      <c r="U44" s="650">
        <v>110.4</v>
      </c>
      <c r="V44" s="227"/>
      <c r="W44" s="16"/>
      <c r="X44" s="16"/>
      <c r="Y44" s="16"/>
      <c r="Z44" s="178">
        <f t="shared" si="34"/>
        <v>553.875</v>
      </c>
      <c r="AA44" s="178">
        <v>257.52</v>
      </c>
      <c r="AB44" s="16">
        <v>82.800000000000011</v>
      </c>
      <c r="AC44" s="227"/>
      <c r="AD44" s="16"/>
      <c r="AE44" s="16"/>
      <c r="AF44" s="16"/>
      <c r="AG44" s="178">
        <f t="shared" si="35"/>
        <v>340.32</v>
      </c>
      <c r="AH44" s="178">
        <f t="shared" si="36"/>
        <v>894.19499999999994</v>
      </c>
      <c r="AI44" s="16">
        <f t="shared" si="64"/>
        <v>700.995</v>
      </c>
      <c r="AJ44" s="16">
        <f t="shared" si="64"/>
        <v>193.20000000000002</v>
      </c>
      <c r="AK44" s="16">
        <f t="shared" si="64"/>
        <v>0</v>
      </c>
      <c r="AL44" s="16">
        <f t="shared" si="64"/>
        <v>0</v>
      </c>
      <c r="AM44" s="16">
        <f t="shared" si="64"/>
        <v>0</v>
      </c>
      <c r="AN44" s="16"/>
      <c r="AO44" s="16">
        <f t="shared" si="7"/>
        <v>894.19500000000005</v>
      </c>
      <c r="AP44" s="16">
        <f t="shared" si="37"/>
        <v>894.19500000000005</v>
      </c>
      <c r="AQ44" s="16">
        <f t="shared" si="38"/>
        <v>894.19500000000005</v>
      </c>
      <c r="AR44" s="127">
        <f t="shared" si="39"/>
        <v>0</v>
      </c>
      <c r="AS44" s="112">
        <f t="shared" si="8"/>
        <v>2231990.5118400003</v>
      </c>
      <c r="AT44" s="112">
        <f t="shared" si="8"/>
        <v>406367.22000000003</v>
      </c>
      <c r="AU44" s="112">
        <f t="shared" si="8"/>
        <v>0</v>
      </c>
      <c r="AV44" s="112">
        <f t="shared" si="8"/>
        <v>0</v>
      </c>
      <c r="AW44" s="112">
        <f t="shared" si="8"/>
        <v>0</v>
      </c>
      <c r="AX44" s="112">
        <f t="shared" si="40"/>
        <v>2638357.7318400005</v>
      </c>
      <c r="AY44" s="112">
        <f t="shared" si="41"/>
        <v>2638357.7318400005</v>
      </c>
      <c r="AZ44" s="112">
        <f t="shared" si="9"/>
        <v>2312694.6642</v>
      </c>
      <c r="BA44" s="112">
        <f t="shared" si="9"/>
        <v>432740.95200000005</v>
      </c>
      <c r="BB44" s="112">
        <f t="shared" si="9"/>
        <v>0</v>
      </c>
      <c r="BC44" s="112">
        <f t="shared" si="9"/>
        <v>0</v>
      </c>
      <c r="BD44" s="112">
        <f t="shared" si="9"/>
        <v>0</v>
      </c>
      <c r="BE44" s="112">
        <f t="shared" si="42"/>
        <v>2745435.6162</v>
      </c>
      <c r="BF44" s="112">
        <f t="shared" si="43"/>
        <v>2745435.6162</v>
      </c>
      <c r="BG44" s="623">
        <f>(I44-J44)/1.2*U44/1000</f>
        <v>99.422744000000037</v>
      </c>
      <c r="BH44" s="624">
        <f>(O44-P44)/1.2*AB44/1000</f>
        <v>73.091700000000031</v>
      </c>
      <c r="BI44" s="623">
        <f>BG44+BH44</f>
        <v>172.51444400000008</v>
      </c>
      <c r="BJ44" s="169"/>
      <c r="BK44" s="169"/>
      <c r="BL44" s="112">
        <f t="shared" si="10"/>
        <v>1412038.5912000001</v>
      </c>
      <c r="BM44" s="112">
        <f t="shared" si="10"/>
        <v>232209.84</v>
      </c>
      <c r="BN44" s="112">
        <f t="shared" si="10"/>
        <v>0</v>
      </c>
      <c r="BO44" s="112">
        <f t="shared" si="10"/>
        <v>0</v>
      </c>
      <c r="BP44" s="112">
        <f t="shared" si="10"/>
        <v>0</v>
      </c>
      <c r="BQ44" s="112">
        <f t="shared" si="44"/>
        <v>1644248.4312000002</v>
      </c>
      <c r="BR44" s="112">
        <f t="shared" si="45"/>
        <v>1644248.4312000002</v>
      </c>
      <c r="BS44" s="112">
        <f t="shared" si="11"/>
        <v>849599.68319999997</v>
      </c>
      <c r="BT44" s="112">
        <f t="shared" si="11"/>
        <v>185460.40800000002</v>
      </c>
      <c r="BU44" s="112">
        <f t="shared" si="11"/>
        <v>0</v>
      </c>
      <c r="BV44" s="112">
        <f t="shared" si="12"/>
        <v>0</v>
      </c>
      <c r="BW44" s="112">
        <f t="shared" si="13"/>
        <v>0</v>
      </c>
      <c r="BX44" s="112">
        <f t="shared" si="46"/>
        <v>1035060.0912</v>
      </c>
      <c r="BY44" s="112">
        <f t="shared" si="47"/>
        <v>1035060.0912</v>
      </c>
      <c r="BZ44" s="113">
        <f t="shared" si="48"/>
        <v>417670.24800000002</v>
      </c>
      <c r="CA44" s="113">
        <f t="shared" si="48"/>
        <v>0</v>
      </c>
      <c r="CB44" s="113">
        <f t="shared" si="49"/>
        <v>417670.24800000002</v>
      </c>
      <c r="CC44" s="119">
        <f t="shared" si="50"/>
        <v>2161.8542857142857</v>
      </c>
      <c r="CD44" s="119" t="e">
        <f t="shared" si="50"/>
        <v>#DIV/0!</v>
      </c>
      <c r="CE44" s="119">
        <f t="shared" si="51"/>
        <v>2161.8542857142857</v>
      </c>
      <c r="CF44" s="119">
        <f t="shared" si="14"/>
        <v>2161.8542857142857</v>
      </c>
      <c r="CG44" s="619">
        <f t="shared" si="15"/>
        <v>624687.58080000011</v>
      </c>
      <c r="CH44" s="132">
        <f t="shared" si="52"/>
        <v>3233.3725714285715</v>
      </c>
      <c r="CI44" s="106"/>
      <c r="CJ44" s="208">
        <f t="shared" si="16"/>
        <v>1763.5557240000001</v>
      </c>
      <c r="CK44" s="208">
        <f t="shared" si="17"/>
        <v>1122.7701312000002</v>
      </c>
      <c r="CL44" s="208">
        <f>CJ44+CK44</f>
        <v>2886.3258552000002</v>
      </c>
      <c r="CM44" s="112">
        <f t="shared" si="18"/>
        <v>2886325.8552000001</v>
      </c>
      <c r="CN44" s="112">
        <f t="shared" si="19"/>
        <v>2638357.7318400005</v>
      </c>
      <c r="CO44" s="112">
        <f t="shared" si="20"/>
        <v>2638357.7318400005</v>
      </c>
      <c r="CP44" s="112">
        <f t="shared" si="21"/>
        <v>1644248.4312000002</v>
      </c>
      <c r="CQ44" s="112">
        <f t="shared" si="22"/>
        <v>2745435.6162</v>
      </c>
      <c r="CR44" s="112">
        <f t="shared" si="23"/>
        <v>2745435.6162</v>
      </c>
      <c r="CS44" s="112">
        <f t="shared" si="24"/>
        <v>1035060.0912</v>
      </c>
      <c r="CT44" s="112">
        <f t="shared" si="54"/>
        <v>5383793.3480400005</v>
      </c>
      <c r="CU44" s="124">
        <f t="shared" si="55"/>
        <v>6020826.9427138381</v>
      </c>
      <c r="CV44" s="112">
        <f t="shared" si="25"/>
        <v>406367.22000000003</v>
      </c>
      <c r="CW44" s="112">
        <f t="shared" si="26"/>
        <v>432740.95200000005</v>
      </c>
      <c r="CX44" s="112">
        <f t="shared" si="56"/>
        <v>839108.17200000002</v>
      </c>
      <c r="CY44" s="112">
        <f t="shared" si="27"/>
        <v>2847145.4942400004</v>
      </c>
      <c r="CZ44" s="112">
        <f t="shared" si="28"/>
        <v>2950092.3762000003</v>
      </c>
      <c r="DA44" s="106"/>
      <c r="DB44" s="128">
        <f t="shared" si="57"/>
        <v>156.8526398364514</v>
      </c>
      <c r="DC44" s="106"/>
      <c r="DD44" s="106"/>
      <c r="DE44" s="106"/>
      <c r="DF44" s="106"/>
      <c r="DG44" s="618">
        <f t="shared" si="29"/>
        <v>0</v>
      </c>
      <c r="DH44" s="618">
        <f t="shared" si="30"/>
        <v>0</v>
      </c>
      <c r="DI44" s="618">
        <f t="shared" si="31"/>
        <v>0</v>
      </c>
      <c r="DJ44" s="115"/>
    </row>
    <row r="45" spans="1:114" s="13" customFormat="1" ht="95.25" hidden="1" customHeight="1">
      <c r="A45" s="20">
        <f t="shared" si="58"/>
        <v>32</v>
      </c>
      <c r="B45" s="705" t="s">
        <v>17</v>
      </c>
      <c r="C45" s="705" t="s">
        <v>57</v>
      </c>
      <c r="D45" s="696" t="s">
        <v>278</v>
      </c>
      <c r="E45" s="696">
        <v>4610006900</v>
      </c>
      <c r="F45" s="696" t="s">
        <v>8</v>
      </c>
      <c r="G45" s="808" t="s">
        <v>865</v>
      </c>
      <c r="H45" s="38">
        <v>3056.24</v>
      </c>
      <c r="I45" s="38">
        <v>3056.24</v>
      </c>
      <c r="J45" s="38">
        <v>2512.1799999999998</v>
      </c>
      <c r="K45" s="38"/>
      <c r="L45" s="38">
        <v>3056.24</v>
      </c>
      <c r="M45" s="10"/>
      <c r="N45" s="10">
        <v>3667.49</v>
      </c>
      <c r="O45" s="10">
        <v>3667.49</v>
      </c>
      <c r="P45" s="10">
        <v>2662.91</v>
      </c>
      <c r="Q45" s="10"/>
      <c r="R45" s="10">
        <v>3667.49</v>
      </c>
      <c r="S45" s="10"/>
      <c r="T45" s="175">
        <v>294.375</v>
      </c>
      <c r="U45" s="175">
        <v>1232.2750000000001</v>
      </c>
      <c r="V45" s="225">
        <v>0</v>
      </c>
      <c r="W45" s="175">
        <v>231.57</v>
      </c>
      <c r="X45" s="175"/>
      <c r="Y45" s="175"/>
      <c r="Z45" s="35">
        <f t="shared" si="34"/>
        <v>1758.22</v>
      </c>
      <c r="AA45" s="175">
        <v>208.834</v>
      </c>
      <c r="AB45" s="175">
        <v>867.94500000000005</v>
      </c>
      <c r="AC45" s="225">
        <v>0</v>
      </c>
      <c r="AD45" s="174">
        <v>147.375</v>
      </c>
      <c r="AE45" s="175"/>
      <c r="AF45" s="175">
        <v>0</v>
      </c>
      <c r="AG45" s="35">
        <f t="shared" si="35"/>
        <v>1224.154</v>
      </c>
      <c r="AH45" s="35">
        <f t="shared" si="36"/>
        <v>2982.3739999999998</v>
      </c>
      <c r="AI45" s="15">
        <f t="shared" si="64"/>
        <v>503.209</v>
      </c>
      <c r="AJ45" s="15">
        <f t="shared" si="64"/>
        <v>2100.2200000000003</v>
      </c>
      <c r="AK45" s="15">
        <f t="shared" si="64"/>
        <v>0</v>
      </c>
      <c r="AL45" s="15">
        <f t="shared" si="64"/>
        <v>378.94499999999999</v>
      </c>
      <c r="AM45" s="15">
        <f t="shared" si="64"/>
        <v>0</v>
      </c>
      <c r="AN45" s="15"/>
      <c r="AO45" s="15">
        <f t="shared" si="7"/>
        <v>2982.3740000000003</v>
      </c>
      <c r="AP45" s="15">
        <f t="shared" si="37"/>
        <v>2982.3740000000003</v>
      </c>
      <c r="AQ45" s="11">
        <f t="shared" si="38"/>
        <v>2982.3740000000003</v>
      </c>
      <c r="AR45" s="99">
        <f t="shared" si="39"/>
        <v>0</v>
      </c>
      <c r="AS45" s="18">
        <f t="shared" ref="AS45:AW75" si="70">I45*AI45</f>
        <v>1537927.47416</v>
      </c>
      <c r="AT45" s="18">
        <f t="shared" si="70"/>
        <v>5276130.6796000004</v>
      </c>
      <c r="AU45" s="18">
        <f t="shared" si="70"/>
        <v>0</v>
      </c>
      <c r="AV45" s="18">
        <f t="shared" si="70"/>
        <v>1158146.8668</v>
      </c>
      <c r="AW45" s="18">
        <f t="shared" si="70"/>
        <v>0</v>
      </c>
      <c r="AX45" s="18">
        <f t="shared" si="40"/>
        <v>7972205.0205600001</v>
      </c>
      <c r="AY45" s="18">
        <f t="shared" si="41"/>
        <v>7972205.0205600001</v>
      </c>
      <c r="AZ45" s="18">
        <f t="shared" ref="AZ45:BD75" si="71">O45*AI45</f>
        <v>1845513.97541</v>
      </c>
      <c r="BA45" s="18">
        <f t="shared" si="71"/>
        <v>5592696.8402000004</v>
      </c>
      <c r="BB45" s="18">
        <f t="shared" si="71"/>
        <v>0</v>
      </c>
      <c r="BC45" s="18">
        <f t="shared" si="71"/>
        <v>1389776.9980499998</v>
      </c>
      <c r="BD45" s="18">
        <f t="shared" si="71"/>
        <v>0</v>
      </c>
      <c r="BE45" s="18">
        <f t="shared" si="42"/>
        <v>8827987.8136600014</v>
      </c>
      <c r="BF45" s="18">
        <f t="shared" si="43"/>
        <v>8827987.8136600014</v>
      </c>
      <c r="BG45" s="18">
        <v>670.43</v>
      </c>
      <c r="BH45" s="18">
        <v>3185.78</v>
      </c>
      <c r="BI45" s="99">
        <f t="shared" si="5"/>
        <v>3856.21</v>
      </c>
      <c r="BJ45" s="18">
        <v>9863.1299999999992</v>
      </c>
      <c r="BK45" s="18">
        <v>23655.63</v>
      </c>
      <c r="BL45" s="18">
        <f t="shared" ref="BL45:BP75" si="72">I45*T45</f>
        <v>899680.64999999991</v>
      </c>
      <c r="BM45" s="18">
        <f t="shared" si="72"/>
        <v>3095696.6095000003</v>
      </c>
      <c r="BN45" s="18">
        <f t="shared" si="72"/>
        <v>0</v>
      </c>
      <c r="BO45" s="18">
        <f t="shared" si="72"/>
        <v>707733.49679999996</v>
      </c>
      <c r="BP45" s="18">
        <f t="shared" si="72"/>
        <v>0</v>
      </c>
      <c r="BQ45" s="18">
        <f t="shared" si="44"/>
        <v>4703110.7563000005</v>
      </c>
      <c r="BR45" s="18">
        <f t="shared" si="45"/>
        <v>4703110.7563000005</v>
      </c>
      <c r="BS45" s="18">
        <f t="shared" ref="BS45:BU75" si="73">O45*AA45</f>
        <v>765896.60665999993</v>
      </c>
      <c r="BT45" s="18">
        <f t="shared" si="73"/>
        <v>2311259.41995</v>
      </c>
      <c r="BU45" s="18">
        <f t="shared" si="73"/>
        <v>0</v>
      </c>
      <c r="BV45" s="18">
        <f t="shared" si="12"/>
        <v>849280.65929999994</v>
      </c>
      <c r="BW45" s="18">
        <f t="shared" si="13"/>
        <v>0</v>
      </c>
      <c r="BX45" s="18">
        <f t="shared" si="46"/>
        <v>3926436.68591</v>
      </c>
      <c r="BY45" s="18">
        <f t="shared" si="47"/>
        <v>3926436.68591</v>
      </c>
      <c r="BZ45" s="161">
        <f t="shared" si="48"/>
        <v>5406956.0294500003</v>
      </c>
      <c r="CA45" s="161">
        <f t="shared" si="48"/>
        <v>0</v>
      </c>
      <c r="CB45" s="161">
        <f t="shared" si="49"/>
        <v>5406956.0294500003</v>
      </c>
      <c r="CC45" s="162">
        <f t="shared" si="50"/>
        <v>2574.4712598918209</v>
      </c>
      <c r="CD45" s="162" t="e">
        <f t="shared" si="50"/>
        <v>#DIV/0!</v>
      </c>
      <c r="CE45" s="162">
        <f t="shared" si="51"/>
        <v>2574.4712598918209</v>
      </c>
      <c r="CF45" s="162">
        <f t="shared" si="14"/>
        <v>2574.4712598918209</v>
      </c>
      <c r="CG45" s="651">
        <f t="shared" si="15"/>
        <v>6949307.7540499996</v>
      </c>
      <c r="CH45" s="652">
        <f t="shared" si="52"/>
        <v>3308.8475274256975</v>
      </c>
      <c r="CJ45" s="18">
        <f t="shared" si="16"/>
        <v>5373.5422927999998</v>
      </c>
      <c r="CK45" s="18">
        <f t="shared" si="17"/>
        <v>4489.5725534599997</v>
      </c>
      <c r="CL45" s="18">
        <f t="shared" si="53"/>
        <v>9863.1148462599995</v>
      </c>
      <c r="CM45" s="18">
        <f t="shared" si="18"/>
        <v>9863114.84626</v>
      </c>
      <c r="CN45" s="18">
        <f t="shared" si="19"/>
        <v>7972205.0205600001</v>
      </c>
      <c r="CO45" s="18">
        <f t="shared" si="20"/>
        <v>7972205.0205600001</v>
      </c>
      <c r="CP45" s="18">
        <f t="shared" si="21"/>
        <v>4703110.7563000005</v>
      </c>
      <c r="CQ45" s="18">
        <f t="shared" si="22"/>
        <v>8827987.8136600014</v>
      </c>
      <c r="CR45" s="18">
        <f t="shared" si="23"/>
        <v>8827987.8136600014</v>
      </c>
      <c r="CS45" s="18">
        <f t="shared" si="24"/>
        <v>3617652.3653600002</v>
      </c>
      <c r="CT45" s="18">
        <f t="shared" si="54"/>
        <v>16800192.83422</v>
      </c>
      <c r="CU45" s="29">
        <f t="shared" si="55"/>
        <v>5633160.9765307773</v>
      </c>
      <c r="CV45" s="18">
        <f t="shared" si="25"/>
        <v>5276130.6796000004</v>
      </c>
      <c r="CW45" s="18">
        <f t="shared" si="26"/>
        <v>5592696.8402000004</v>
      </c>
      <c r="CX45" s="18">
        <f t="shared" si="56"/>
        <v>10868827.5198</v>
      </c>
      <c r="CY45" s="18">
        <f t="shared" si="27"/>
        <v>9114850.7137599997</v>
      </c>
      <c r="CZ45" s="18">
        <f t="shared" si="28"/>
        <v>10937826.821260002</v>
      </c>
      <c r="DB45" s="653">
        <f t="shared" si="57"/>
        <v>145.98834478421134</v>
      </c>
      <c r="DG45" s="618">
        <f t="shared" si="29"/>
        <v>0</v>
      </c>
      <c r="DH45" s="618">
        <f t="shared" si="30"/>
        <v>0</v>
      </c>
      <c r="DI45" s="618">
        <f t="shared" si="31"/>
        <v>0</v>
      </c>
    </row>
    <row r="46" spans="1:114" ht="63.75" hidden="1" customHeight="1">
      <c r="A46" s="20">
        <f t="shared" si="58"/>
        <v>33</v>
      </c>
      <c r="B46" s="1896" t="s">
        <v>18</v>
      </c>
      <c r="C46" s="1896" t="s">
        <v>93</v>
      </c>
      <c r="D46" s="807" t="s">
        <v>275</v>
      </c>
      <c r="E46" s="804">
        <v>4611016308</v>
      </c>
      <c r="F46" s="806" t="s">
        <v>8</v>
      </c>
      <c r="G46" s="807" t="s">
        <v>893</v>
      </c>
      <c r="H46" s="38">
        <f>2352.32*1.2</f>
        <v>2822.7840000000001</v>
      </c>
      <c r="I46" s="38">
        <f>2352.32*1.2</f>
        <v>2822.7840000000001</v>
      </c>
      <c r="J46" s="38">
        <v>1579.89</v>
      </c>
      <c r="K46" s="38">
        <v>1579.89</v>
      </c>
      <c r="L46" s="38">
        <f>2352.32*1.2</f>
        <v>2822.7840000000001</v>
      </c>
      <c r="M46" s="10">
        <v>0</v>
      </c>
      <c r="N46" s="38">
        <f>2419.84*1.2</f>
        <v>2903.808</v>
      </c>
      <c r="O46" s="38">
        <f>2419.84*1.2</f>
        <v>2903.808</v>
      </c>
      <c r="P46" s="38">
        <v>1674.68</v>
      </c>
      <c r="Q46" s="38">
        <v>1674.68</v>
      </c>
      <c r="R46" s="38">
        <f>2419.84*1.2</f>
        <v>2903.808</v>
      </c>
      <c r="S46" s="10"/>
      <c r="T46" s="15">
        <v>9045.92</v>
      </c>
      <c r="U46" s="15">
        <v>8463.73</v>
      </c>
      <c r="V46" s="232">
        <v>2647.1</v>
      </c>
      <c r="W46" s="15">
        <v>210.78</v>
      </c>
      <c r="X46" s="15">
        <v>0</v>
      </c>
      <c r="Y46" s="15">
        <v>0</v>
      </c>
      <c r="Z46" s="35">
        <f>SUM(T46:W46)</f>
        <v>20367.53</v>
      </c>
      <c r="AA46" s="15">
        <v>6647.51</v>
      </c>
      <c r="AB46" s="15">
        <v>5661.31</v>
      </c>
      <c r="AC46" s="226">
        <v>1990.27</v>
      </c>
      <c r="AD46" s="15">
        <v>168.14</v>
      </c>
      <c r="AE46" s="15">
        <v>0</v>
      </c>
      <c r="AF46" s="15">
        <v>0</v>
      </c>
      <c r="AG46" s="35">
        <f>SUM(AA46:AD46)</f>
        <v>14467.23</v>
      </c>
      <c r="AH46" s="35">
        <f>Z46+AG46</f>
        <v>34834.759999999995</v>
      </c>
      <c r="AI46" s="15">
        <f>T46+AA46</f>
        <v>15693.43</v>
      </c>
      <c r="AJ46" s="15">
        <f>U46+AB46</f>
        <v>14125.04</v>
      </c>
      <c r="AK46" s="35">
        <f>V46+AC46</f>
        <v>4637.37</v>
      </c>
      <c r="AL46" s="15">
        <f t="shared" si="64"/>
        <v>378.91999999999996</v>
      </c>
      <c r="AM46" s="15">
        <f t="shared" si="64"/>
        <v>0</v>
      </c>
      <c r="AN46" s="15"/>
      <c r="AO46" s="15">
        <f>SUM(AI46:AN46)</f>
        <v>34834.76</v>
      </c>
      <c r="AP46" s="15">
        <f>SUM(AI46:AM46)</f>
        <v>34834.76</v>
      </c>
      <c r="AQ46" s="15">
        <f>SUM(AI46:AL46)</f>
        <v>34834.76</v>
      </c>
      <c r="AR46" s="127">
        <f t="shared" si="39"/>
        <v>0</v>
      </c>
      <c r="AS46" s="112">
        <f t="shared" si="70"/>
        <v>44299163.109120004</v>
      </c>
      <c r="AT46" s="112">
        <f t="shared" si="70"/>
        <v>22316009.445600003</v>
      </c>
      <c r="AU46" s="112">
        <f t="shared" si="70"/>
        <v>7326534.4893000005</v>
      </c>
      <c r="AV46" s="112">
        <f t="shared" si="70"/>
        <v>1069609.3132799999</v>
      </c>
      <c r="AW46" s="112">
        <f t="shared" si="70"/>
        <v>0</v>
      </c>
      <c r="AX46" s="112">
        <f t="shared" si="40"/>
        <v>75011316.357300013</v>
      </c>
      <c r="AY46" s="112">
        <f t="shared" si="41"/>
        <v>75011316.357300013</v>
      </c>
      <c r="AZ46" s="112">
        <f t="shared" si="71"/>
        <v>45570707.581440002</v>
      </c>
      <c r="BA46" s="112">
        <f t="shared" si="71"/>
        <v>23654921.987200003</v>
      </c>
      <c r="BB46" s="112">
        <f t="shared" si="71"/>
        <v>7766110.7916000001</v>
      </c>
      <c r="BC46" s="112">
        <f t="shared" si="71"/>
        <v>1100310.9273599999</v>
      </c>
      <c r="BD46" s="112">
        <f t="shared" si="71"/>
        <v>0</v>
      </c>
      <c r="BE46" s="112">
        <f t="shared" si="42"/>
        <v>78092051.287600011</v>
      </c>
      <c r="BF46" s="112">
        <f t="shared" si="43"/>
        <v>78092051.287600011</v>
      </c>
      <c r="BG46" s="623">
        <f>(I46-J46)/1.2*U46/1000+(I46-K46)/1.2*V46/1000+0.00901776333193993</f>
        <v>11507.995636113334</v>
      </c>
      <c r="BH46" s="624">
        <f>(O46-P46)/1.2*AB46/1000+(O46-Q46)/1.2*AC46/1000</f>
        <v>7837.3093518666665</v>
      </c>
      <c r="BI46" s="623">
        <f t="shared" si="5"/>
        <v>19345.304987980002</v>
      </c>
      <c r="BJ46" s="112">
        <v>84432.02</v>
      </c>
      <c r="BK46" s="112">
        <v>95884.81</v>
      </c>
      <c r="BL46" s="112">
        <f>I46*T46</f>
        <v>25534678.241280001</v>
      </c>
      <c r="BM46" s="112">
        <f>J46*U46</f>
        <v>13371762.389699999</v>
      </c>
      <c r="BN46" s="112">
        <f>K46*V46</f>
        <v>4182126.8190000001</v>
      </c>
      <c r="BO46" s="112">
        <f>L46*W46</f>
        <v>594986.41152000008</v>
      </c>
      <c r="BP46" s="112">
        <f t="shared" si="72"/>
        <v>0</v>
      </c>
      <c r="BQ46" s="112">
        <f>BL46+BM46+BN46+BO46+BP46</f>
        <v>43683553.861499995</v>
      </c>
      <c r="BR46" s="112">
        <f>BQ46-BP46</f>
        <v>43683553.861499995</v>
      </c>
      <c r="BS46" s="112">
        <f t="shared" si="73"/>
        <v>19303092.718079999</v>
      </c>
      <c r="BT46" s="112">
        <f t="shared" si="73"/>
        <v>9480882.6308000013</v>
      </c>
      <c r="BU46" s="112">
        <f t="shared" si="73"/>
        <v>3333065.3636000003</v>
      </c>
      <c r="BV46" s="112">
        <f t="shared" si="12"/>
        <v>612064.65023999999</v>
      </c>
      <c r="BW46" s="112">
        <f t="shared" si="13"/>
        <v>0</v>
      </c>
      <c r="BX46" s="112">
        <f t="shared" si="46"/>
        <v>32729105.362720001</v>
      </c>
      <c r="BY46" s="112">
        <f t="shared" si="47"/>
        <v>32729105.362720001</v>
      </c>
      <c r="BZ46" s="113">
        <f>BM46+BT46</f>
        <v>22852645.020500001</v>
      </c>
      <c r="CA46" s="113">
        <f>BN46+BU46</f>
        <v>7515192.1826000009</v>
      </c>
      <c r="CB46" s="113">
        <f>BZ46+CA46</f>
        <v>30367837.203100003</v>
      </c>
      <c r="CC46" s="119">
        <f t="shared" si="50"/>
        <v>1617.8817915205902</v>
      </c>
      <c r="CD46" s="119">
        <f t="shared" si="50"/>
        <v>1620.5720446287446</v>
      </c>
      <c r="CE46" s="119">
        <f t="shared" si="51"/>
        <v>1618.5467220415717</v>
      </c>
      <c r="CF46" s="119">
        <f t="shared" si="14"/>
        <v>1618.5467220415717</v>
      </c>
      <c r="CG46" s="619">
        <f t="shared" si="15"/>
        <v>53582192.367359996</v>
      </c>
      <c r="CH46" s="132">
        <f t="shared" si="52"/>
        <v>2855.8267497277798</v>
      </c>
      <c r="CI46" s="106"/>
      <c r="CJ46" s="112">
        <f t="shared" si="16"/>
        <v>57493.137803520003</v>
      </c>
      <c r="CK46" s="112">
        <f t="shared" si="17"/>
        <v>42010.058211839998</v>
      </c>
      <c r="CL46" s="112">
        <f t="shared" si="53"/>
        <v>99503.196015360008</v>
      </c>
      <c r="CM46" s="112">
        <f t="shared" si="18"/>
        <v>99503196.015359998</v>
      </c>
      <c r="CN46" s="112">
        <f t="shared" si="19"/>
        <v>75011316.357300013</v>
      </c>
      <c r="CO46" s="112">
        <f t="shared" si="20"/>
        <v>75011316.357299998</v>
      </c>
      <c r="CP46" s="112">
        <f t="shared" si="21"/>
        <v>43683553.861499995</v>
      </c>
      <c r="CQ46" s="112">
        <f t="shared" si="22"/>
        <v>78092051.287600011</v>
      </c>
      <c r="CR46" s="112">
        <f t="shared" si="23"/>
        <v>78092051.287599996</v>
      </c>
      <c r="CS46" s="112">
        <f t="shared" si="24"/>
        <v>32605286.989600003</v>
      </c>
      <c r="CT46" s="112">
        <f t="shared" si="54"/>
        <v>153103367.64490002</v>
      </c>
      <c r="CU46" s="124">
        <f t="shared" si="55"/>
        <v>4395131.9786586743</v>
      </c>
      <c r="CV46" s="112">
        <f t="shared" si="25"/>
        <v>29642543.934900004</v>
      </c>
      <c r="CW46" s="112">
        <f t="shared" si="26"/>
        <v>31421032.778800003</v>
      </c>
      <c r="CX46" s="112">
        <f t="shared" si="56"/>
        <v>61063576.713700011</v>
      </c>
      <c r="CY46" s="112">
        <f t="shared" si="27"/>
        <v>98331003.171840012</v>
      </c>
      <c r="CZ46" s="112">
        <f t="shared" si="28"/>
        <v>101153454.76607999</v>
      </c>
      <c r="DA46" s="106"/>
      <c r="DB46" s="128">
        <f t="shared" si="57"/>
        <v>183.79811252682148</v>
      </c>
      <c r="DC46" s="106"/>
      <c r="DD46" s="106"/>
      <c r="DE46" s="106"/>
      <c r="DF46" s="106"/>
      <c r="DG46" s="618">
        <f t="shared" si="29"/>
        <v>0</v>
      </c>
      <c r="DH46" s="618">
        <f t="shared" si="30"/>
        <v>0</v>
      </c>
      <c r="DI46" s="618">
        <f t="shared" si="31"/>
        <v>0</v>
      </c>
      <c r="DJ46" s="106"/>
    </row>
    <row r="47" spans="1:114" ht="75.75" hidden="1" customHeight="1">
      <c r="A47" s="20">
        <f t="shared" si="58"/>
        <v>34</v>
      </c>
      <c r="B47" s="1897"/>
      <c r="C47" s="1897"/>
      <c r="D47" s="808" t="s">
        <v>151</v>
      </c>
      <c r="E47" s="768">
        <v>6829012680</v>
      </c>
      <c r="F47" s="696" t="s">
        <v>8</v>
      </c>
      <c r="G47" s="696" t="s">
        <v>907</v>
      </c>
      <c r="H47" s="697">
        <v>1958.86</v>
      </c>
      <c r="I47" s="697">
        <v>1958.86</v>
      </c>
      <c r="J47" s="697">
        <v>1958.86</v>
      </c>
      <c r="K47" s="697">
        <v>1958.86</v>
      </c>
      <c r="L47" s="697">
        <v>1958.86</v>
      </c>
      <c r="M47" s="697">
        <v>0</v>
      </c>
      <c r="N47" s="714">
        <f>1844.59*1.2</f>
        <v>2213.5079999999998</v>
      </c>
      <c r="O47" s="714">
        <f>N47</f>
        <v>2213.5079999999998</v>
      </c>
      <c r="P47" s="714">
        <v>2047</v>
      </c>
      <c r="Q47" s="714">
        <f>P47</f>
        <v>2047</v>
      </c>
      <c r="R47" s="714">
        <f>O47</f>
        <v>2213.5079999999998</v>
      </c>
      <c r="S47" s="714">
        <v>0</v>
      </c>
      <c r="T47" s="747">
        <v>477.4</v>
      </c>
      <c r="U47" s="747">
        <v>109.8</v>
      </c>
      <c r="V47" s="18"/>
      <c r="W47" s="18"/>
      <c r="X47" s="18"/>
      <c r="Y47" s="18"/>
      <c r="Z47" s="99">
        <f t="shared" si="34"/>
        <v>587.19999999999993</v>
      </c>
      <c r="AA47" s="747">
        <v>429.5</v>
      </c>
      <c r="AB47" s="747">
        <v>67</v>
      </c>
      <c r="AC47" s="18">
        <v>0</v>
      </c>
      <c r="AD47" s="18"/>
      <c r="AE47" s="18">
        <v>0</v>
      </c>
      <c r="AF47" s="18"/>
      <c r="AG47" s="99">
        <f t="shared" si="35"/>
        <v>496.5</v>
      </c>
      <c r="AH47" s="99">
        <f t="shared" si="36"/>
        <v>1083.6999999999998</v>
      </c>
      <c r="AI47" s="15">
        <f t="shared" si="64"/>
        <v>906.9</v>
      </c>
      <c r="AJ47" s="15">
        <f t="shared" si="64"/>
        <v>176.8</v>
      </c>
      <c r="AK47" s="15">
        <f t="shared" si="64"/>
        <v>0</v>
      </c>
      <c r="AL47" s="15">
        <f t="shared" si="64"/>
        <v>0</v>
      </c>
      <c r="AM47" s="15">
        <f t="shared" si="64"/>
        <v>0</v>
      </c>
      <c r="AN47" s="15"/>
      <c r="AO47" s="15">
        <f t="shared" si="7"/>
        <v>1083.7</v>
      </c>
      <c r="AP47" s="15">
        <f t="shared" si="37"/>
        <v>1083.7</v>
      </c>
      <c r="AQ47" s="15">
        <f t="shared" si="38"/>
        <v>1083.7</v>
      </c>
      <c r="AR47" s="127">
        <f t="shared" si="39"/>
        <v>0</v>
      </c>
      <c r="AS47" s="112">
        <f t="shared" si="70"/>
        <v>1776490.1339999998</v>
      </c>
      <c r="AT47" s="112">
        <f t="shared" si="70"/>
        <v>346326.44800000003</v>
      </c>
      <c r="AU47" s="112">
        <f t="shared" si="70"/>
        <v>0</v>
      </c>
      <c r="AV47" s="112">
        <f t="shared" si="70"/>
        <v>0</v>
      </c>
      <c r="AW47" s="112">
        <f t="shared" si="70"/>
        <v>0</v>
      </c>
      <c r="AX47" s="112">
        <f t="shared" si="40"/>
        <v>2122816.5819999999</v>
      </c>
      <c r="AY47" s="112">
        <f t="shared" si="41"/>
        <v>2122816.5819999999</v>
      </c>
      <c r="AZ47" s="112">
        <f t="shared" si="71"/>
        <v>2007430.4051999997</v>
      </c>
      <c r="BA47" s="112">
        <f t="shared" si="71"/>
        <v>361909.60000000003</v>
      </c>
      <c r="BB47" s="112">
        <f t="shared" si="71"/>
        <v>0</v>
      </c>
      <c r="BC47" s="112">
        <f t="shared" si="71"/>
        <v>0</v>
      </c>
      <c r="BD47" s="112">
        <f t="shared" si="71"/>
        <v>0</v>
      </c>
      <c r="BE47" s="112">
        <f t="shared" si="42"/>
        <v>2369340.0051999995</v>
      </c>
      <c r="BF47" s="112">
        <f t="shared" si="43"/>
        <v>2369340.0051999995</v>
      </c>
      <c r="BG47" s="18"/>
      <c r="BH47" s="99">
        <f>((O47-P47)*0.067)/1.2</f>
        <v>9.2966966666666568</v>
      </c>
      <c r="BI47" s="99">
        <f t="shared" si="5"/>
        <v>9.2966966666666568</v>
      </c>
      <c r="BJ47" s="112"/>
      <c r="BK47" s="112"/>
      <c r="BL47" s="112">
        <f t="shared" si="72"/>
        <v>935159.76399999985</v>
      </c>
      <c r="BM47" s="112">
        <f t="shared" si="72"/>
        <v>215082.82799999998</v>
      </c>
      <c r="BN47" s="112">
        <f t="shared" si="72"/>
        <v>0</v>
      </c>
      <c r="BO47" s="112">
        <f t="shared" si="72"/>
        <v>0</v>
      </c>
      <c r="BP47" s="112">
        <f t="shared" si="72"/>
        <v>0</v>
      </c>
      <c r="BQ47" s="112">
        <f t="shared" si="44"/>
        <v>1150242.5919999997</v>
      </c>
      <c r="BR47" s="112">
        <f t="shared" si="45"/>
        <v>1150242.5919999997</v>
      </c>
      <c r="BS47" s="112">
        <f t="shared" si="73"/>
        <v>950701.68599999987</v>
      </c>
      <c r="BT47" s="112">
        <f t="shared" si="73"/>
        <v>137149</v>
      </c>
      <c r="BU47" s="112">
        <f t="shared" si="73"/>
        <v>0</v>
      </c>
      <c r="BV47" s="112">
        <f t="shared" si="12"/>
        <v>0</v>
      </c>
      <c r="BW47" s="112">
        <f t="shared" si="13"/>
        <v>0</v>
      </c>
      <c r="BX47" s="112">
        <f t="shared" si="46"/>
        <v>1087850.6859999998</v>
      </c>
      <c r="BY47" s="112">
        <f t="shared" si="47"/>
        <v>1087850.6859999998</v>
      </c>
      <c r="BZ47" s="113">
        <f t="shared" si="48"/>
        <v>352231.82799999998</v>
      </c>
      <c r="CA47" s="113">
        <f t="shared" si="48"/>
        <v>0</v>
      </c>
      <c r="CB47" s="113">
        <f t="shared" si="49"/>
        <v>352231.82799999998</v>
      </c>
      <c r="CC47" s="119">
        <f t="shared" si="50"/>
        <v>1992.2614705882349</v>
      </c>
      <c r="CD47" s="119" t="e">
        <f t="shared" si="50"/>
        <v>#DIV/0!</v>
      </c>
      <c r="CE47" s="119">
        <f t="shared" si="51"/>
        <v>1992.2614705882349</v>
      </c>
      <c r="CF47" s="119">
        <f t="shared" si="14"/>
        <v>1992.2614705882349</v>
      </c>
      <c r="CG47" s="619">
        <f t="shared" si="15"/>
        <v>363387.86399999994</v>
      </c>
      <c r="CH47" s="132">
        <f t="shared" si="52"/>
        <v>2055.3612217194564</v>
      </c>
      <c r="CI47" s="106"/>
      <c r="CJ47" s="112">
        <f t="shared" si="16"/>
        <v>1150.2425919999996</v>
      </c>
      <c r="CK47" s="112">
        <f t="shared" si="17"/>
        <v>1099.0067219999999</v>
      </c>
      <c r="CL47" s="112">
        <f t="shared" si="53"/>
        <v>2249.2493139999997</v>
      </c>
      <c r="CM47" s="112">
        <f t="shared" si="18"/>
        <v>2249249.3139999993</v>
      </c>
      <c r="CN47" s="112">
        <f t="shared" si="19"/>
        <v>2122816.5819999999</v>
      </c>
      <c r="CO47" s="112">
        <f t="shared" si="20"/>
        <v>2122816.5819999999</v>
      </c>
      <c r="CP47" s="112">
        <f t="shared" si="21"/>
        <v>1150242.5919999997</v>
      </c>
      <c r="CQ47" s="112">
        <f t="shared" si="22"/>
        <v>2369340.0051999995</v>
      </c>
      <c r="CR47" s="112">
        <f t="shared" si="23"/>
        <v>2369340.0051999995</v>
      </c>
      <c r="CS47" s="112">
        <f t="shared" si="24"/>
        <v>1087850.6859999998</v>
      </c>
      <c r="CT47" s="112">
        <f t="shared" si="54"/>
        <v>4492156.587199999</v>
      </c>
      <c r="CU47" s="124">
        <f t="shared" si="55"/>
        <v>4145203.0886776783</v>
      </c>
      <c r="CV47" s="112">
        <f t="shared" si="25"/>
        <v>346326.44800000003</v>
      </c>
      <c r="CW47" s="112">
        <f t="shared" si="26"/>
        <v>361909.60000000003</v>
      </c>
      <c r="CX47" s="112">
        <f t="shared" si="56"/>
        <v>708236.04800000007</v>
      </c>
      <c r="CY47" s="112">
        <f t="shared" si="27"/>
        <v>2122816.5819999999</v>
      </c>
      <c r="CZ47" s="112">
        <f t="shared" si="28"/>
        <v>2398778.6195999999</v>
      </c>
      <c r="DA47" s="106"/>
      <c r="DB47" s="128">
        <f t="shared" si="57"/>
        <v>112.99980600961783</v>
      </c>
      <c r="DC47" s="106"/>
      <c r="DD47" s="106"/>
      <c r="DE47" s="106"/>
      <c r="DF47" s="106"/>
      <c r="DG47" s="618">
        <f t="shared" si="29"/>
        <v>0</v>
      </c>
      <c r="DH47" s="618">
        <f t="shared" si="30"/>
        <v>0</v>
      </c>
      <c r="DI47" s="618">
        <f t="shared" si="31"/>
        <v>0</v>
      </c>
      <c r="DJ47" s="106"/>
    </row>
    <row r="48" spans="1:114" s="20" customFormat="1" ht="51" hidden="1" customHeight="1">
      <c r="A48" s="20">
        <f t="shared" si="58"/>
        <v>35</v>
      </c>
      <c r="B48" s="1974"/>
      <c r="C48" s="1897"/>
      <c r="D48" s="757" t="s">
        <v>152</v>
      </c>
      <c r="E48" s="806">
        <v>7729314745</v>
      </c>
      <c r="F48" s="806" t="s">
        <v>8</v>
      </c>
      <c r="G48" s="1975" t="s">
        <v>894</v>
      </c>
      <c r="H48" s="38">
        <f>2272.52 *1.2</f>
        <v>2727.0239999999999</v>
      </c>
      <c r="I48" s="38">
        <f>2272.52 *1.2</f>
        <v>2727.0239999999999</v>
      </c>
      <c r="J48" s="38">
        <v>1000</v>
      </c>
      <c r="K48" s="38"/>
      <c r="L48" s="38"/>
      <c r="M48" s="10"/>
      <c r="N48" s="38">
        <f>2272.52 *1.2</f>
        <v>2727.0239999999999</v>
      </c>
      <c r="O48" s="38">
        <f>2272.52 *1.2</f>
        <v>2727.0239999999999</v>
      </c>
      <c r="P48" s="38">
        <v>1064.9000000000001</v>
      </c>
      <c r="Q48" s="10"/>
      <c r="R48" s="10"/>
      <c r="S48" s="10"/>
      <c r="T48" s="23">
        <v>777.39862900000003</v>
      </c>
      <c r="U48" s="23">
        <v>1141.1861724</v>
      </c>
      <c r="V48" s="206"/>
      <c r="W48" s="23"/>
      <c r="X48" s="23"/>
      <c r="Y48" s="23"/>
      <c r="Z48" s="23">
        <f t="shared" si="34"/>
        <v>1918.5848014000001</v>
      </c>
      <c r="AA48" s="23">
        <v>517.46435199999996</v>
      </c>
      <c r="AB48" s="23">
        <v>901.71497939999995</v>
      </c>
      <c r="AC48" s="206"/>
      <c r="AD48" s="15"/>
      <c r="AE48" s="15"/>
      <c r="AF48" s="15"/>
      <c r="AG48" s="35">
        <f t="shared" si="35"/>
        <v>1419.1793313999999</v>
      </c>
      <c r="AH48" s="35">
        <f t="shared" si="36"/>
        <v>3337.7641328</v>
      </c>
      <c r="AI48" s="15">
        <f t="shared" si="64"/>
        <v>1294.862981</v>
      </c>
      <c r="AJ48" s="15">
        <f t="shared" si="64"/>
        <v>2042.9011518</v>
      </c>
      <c r="AK48" s="15">
        <f t="shared" si="64"/>
        <v>0</v>
      </c>
      <c r="AL48" s="15">
        <f t="shared" si="64"/>
        <v>0</v>
      </c>
      <c r="AM48" s="15">
        <f t="shared" si="64"/>
        <v>0</v>
      </c>
      <c r="AN48" s="15"/>
      <c r="AO48" s="15">
        <f t="shared" si="7"/>
        <v>3337.7641328</v>
      </c>
      <c r="AP48" s="15">
        <f t="shared" si="37"/>
        <v>3337.7641328</v>
      </c>
      <c r="AQ48" s="17">
        <f t="shared" si="38"/>
        <v>3337.7641328</v>
      </c>
      <c r="AR48" s="127">
        <f t="shared" si="39"/>
        <v>0</v>
      </c>
      <c r="AS48" s="112">
        <f t="shared" si="70"/>
        <v>3531122.425898544</v>
      </c>
      <c r="AT48" s="112">
        <f t="shared" si="70"/>
        <v>2042901.1517999999</v>
      </c>
      <c r="AU48" s="112">
        <f t="shared" si="70"/>
        <v>0</v>
      </c>
      <c r="AV48" s="112">
        <f t="shared" si="70"/>
        <v>0</v>
      </c>
      <c r="AW48" s="112">
        <f t="shared" si="70"/>
        <v>0</v>
      </c>
      <c r="AX48" s="112">
        <f t="shared" si="40"/>
        <v>5574023.5776985437</v>
      </c>
      <c r="AY48" s="112">
        <f t="shared" si="41"/>
        <v>5574023.5776985437</v>
      </c>
      <c r="AZ48" s="112">
        <f t="shared" si="71"/>
        <v>3531122.425898544</v>
      </c>
      <c r="BA48" s="112">
        <f t="shared" si="71"/>
        <v>2175485.43655182</v>
      </c>
      <c r="BB48" s="112">
        <f t="shared" si="71"/>
        <v>0</v>
      </c>
      <c r="BC48" s="112">
        <f t="shared" si="71"/>
        <v>0</v>
      </c>
      <c r="BD48" s="112">
        <f t="shared" si="71"/>
        <v>0</v>
      </c>
      <c r="BE48" s="112">
        <f t="shared" si="42"/>
        <v>5706607.862450364</v>
      </c>
      <c r="BF48" s="112">
        <f t="shared" si="43"/>
        <v>5706607.862450364</v>
      </c>
      <c r="BG48" s="623">
        <f>(I48-J48)/1.2*U48/1000+(I48-K48)/1.2*V48/1000</f>
        <v>1642.379923502448</v>
      </c>
      <c r="BH48" s="624">
        <f>(O48-P48)/1.2*AB48/1000+(O48-Q48)/1.2*AC48/1000</f>
        <v>1248.9684236835378</v>
      </c>
      <c r="BI48" s="623">
        <f t="shared" si="5"/>
        <v>2891.3483471859859</v>
      </c>
      <c r="BJ48" s="112"/>
      <c r="BK48" s="112"/>
      <c r="BL48" s="112">
        <f t="shared" si="72"/>
        <v>2119984.7188500958</v>
      </c>
      <c r="BM48" s="112">
        <f t="shared" si="72"/>
        <v>1141186.1724</v>
      </c>
      <c r="BN48" s="112">
        <f t="shared" si="72"/>
        <v>0</v>
      </c>
      <c r="BO48" s="112">
        <f t="shared" si="72"/>
        <v>0</v>
      </c>
      <c r="BP48" s="112">
        <f t="shared" si="72"/>
        <v>0</v>
      </c>
      <c r="BQ48" s="112">
        <f t="shared" si="44"/>
        <v>3261170.8912500958</v>
      </c>
      <c r="BR48" s="112">
        <f t="shared" si="45"/>
        <v>3261170.8912500958</v>
      </c>
      <c r="BS48" s="112">
        <f t="shared" si="73"/>
        <v>1411137.7070484478</v>
      </c>
      <c r="BT48" s="112">
        <f t="shared" si="73"/>
        <v>960236.28156306001</v>
      </c>
      <c r="BU48" s="112">
        <f t="shared" si="73"/>
        <v>0</v>
      </c>
      <c r="BV48" s="112">
        <f t="shared" si="12"/>
        <v>0</v>
      </c>
      <c r="BW48" s="112">
        <f t="shared" si="13"/>
        <v>0</v>
      </c>
      <c r="BX48" s="112">
        <f t="shared" si="46"/>
        <v>2371373.9886115077</v>
      </c>
      <c r="BY48" s="112">
        <f t="shared" si="47"/>
        <v>2371373.9886115077</v>
      </c>
      <c r="BZ48" s="113">
        <f t="shared" si="48"/>
        <v>2101422.4539630599</v>
      </c>
      <c r="CA48" s="113">
        <f t="shared" si="48"/>
        <v>0</v>
      </c>
      <c r="CB48" s="113">
        <f t="shared" si="49"/>
        <v>2101422.4539630599</v>
      </c>
      <c r="CC48" s="119">
        <f t="shared" si="50"/>
        <v>1028.6461741487085</v>
      </c>
      <c r="CD48" s="119" t="e">
        <f t="shared" si="50"/>
        <v>#DIV/0!</v>
      </c>
      <c r="CE48" s="119">
        <f t="shared" si="51"/>
        <v>1028.6461741487085</v>
      </c>
      <c r="CF48" s="119">
        <f t="shared" si="14"/>
        <v>1028.6461741487085</v>
      </c>
      <c r="CG48" s="619">
        <f t="shared" si="15"/>
        <v>5571040.4705862422</v>
      </c>
      <c r="CH48" s="132">
        <f t="shared" si="52"/>
        <v>2727.0239999999994</v>
      </c>
      <c r="CI48" s="106"/>
      <c r="CJ48" s="124">
        <f t="shared" si="16"/>
        <v>5232.0267994530332</v>
      </c>
      <c r="CK48" s="124">
        <f t="shared" si="17"/>
        <v>3870.1360970317533</v>
      </c>
      <c r="CL48" s="124">
        <f t="shared" si="53"/>
        <v>9102.162896484786</v>
      </c>
      <c r="CM48" s="112">
        <f t="shared" si="18"/>
        <v>9102162.8964847866</v>
      </c>
      <c r="CN48" s="112">
        <f t="shared" si="19"/>
        <v>5574023.5776985437</v>
      </c>
      <c r="CO48" s="112">
        <f t="shared" si="20"/>
        <v>5574023.5776985437</v>
      </c>
      <c r="CP48" s="112">
        <f t="shared" si="21"/>
        <v>3261170.8912500958</v>
      </c>
      <c r="CQ48" s="112">
        <f t="shared" si="22"/>
        <v>5706607.862450364</v>
      </c>
      <c r="CR48" s="112">
        <f t="shared" si="23"/>
        <v>5706607.862450364</v>
      </c>
      <c r="CS48" s="112">
        <f t="shared" si="24"/>
        <v>2371373.9886115077</v>
      </c>
      <c r="CT48" s="112">
        <f t="shared" si="54"/>
        <v>11280631.440148909</v>
      </c>
      <c r="CU48" s="124">
        <f t="shared" si="55"/>
        <v>3379697.0041396418</v>
      </c>
      <c r="CV48" s="112">
        <f t="shared" si="25"/>
        <v>2042901.1517999999</v>
      </c>
      <c r="CW48" s="112">
        <f t="shared" si="26"/>
        <v>2175485.43655182</v>
      </c>
      <c r="CX48" s="112">
        <f t="shared" si="56"/>
        <v>4218386.5883518197</v>
      </c>
      <c r="CY48" s="112">
        <f t="shared" si="27"/>
        <v>9102162.8964847866</v>
      </c>
      <c r="CZ48" s="112">
        <f t="shared" si="28"/>
        <v>9102162.8964847866</v>
      </c>
      <c r="DA48" s="106"/>
      <c r="DB48" s="128">
        <f t="shared" si="57"/>
        <v>272.70239999999995</v>
      </c>
      <c r="DC48" s="106"/>
      <c r="DD48" s="106"/>
      <c r="DE48" s="106"/>
      <c r="DF48" s="106"/>
      <c r="DG48" s="618">
        <f t="shared" si="29"/>
        <v>0</v>
      </c>
      <c r="DH48" s="618">
        <f t="shared" si="30"/>
        <v>0</v>
      </c>
      <c r="DI48" s="618">
        <f t="shared" si="31"/>
        <v>0</v>
      </c>
      <c r="DJ48" s="115"/>
    </row>
    <row r="49" spans="1:114" s="20" customFormat="1" ht="51" hidden="1" customHeight="1">
      <c r="A49" s="20">
        <f t="shared" si="58"/>
        <v>36</v>
      </c>
      <c r="B49" s="1974"/>
      <c r="C49" s="1905"/>
      <c r="D49" s="757" t="s">
        <v>153</v>
      </c>
      <c r="E49" s="806">
        <v>7729314745</v>
      </c>
      <c r="F49" s="806" t="s">
        <v>8</v>
      </c>
      <c r="G49" s="1966"/>
      <c r="H49" s="38">
        <f>1760.95  *1.2</f>
        <v>2113.14</v>
      </c>
      <c r="I49" s="38">
        <f>1760.95  *1.2</f>
        <v>2113.14</v>
      </c>
      <c r="J49" s="38">
        <v>1441.87</v>
      </c>
      <c r="K49" s="38">
        <v>1233.92</v>
      </c>
      <c r="L49" s="38"/>
      <c r="M49" s="10"/>
      <c r="N49" s="38">
        <f>1760.95  *1.2</f>
        <v>2113.14</v>
      </c>
      <c r="O49" s="38">
        <f>1760.95  *1.2</f>
        <v>2113.14</v>
      </c>
      <c r="P49" s="38">
        <v>1535.45</v>
      </c>
      <c r="Q49" s="38">
        <v>1314</v>
      </c>
      <c r="R49" s="10"/>
      <c r="S49" s="10"/>
      <c r="T49" s="23">
        <f>3341.440243+445.654028342152</f>
        <v>3787.0942713421518</v>
      </c>
      <c r="U49" s="23">
        <v>3152.6553239999998</v>
      </c>
      <c r="V49" s="206">
        <v>841.05055919999995</v>
      </c>
      <c r="W49" s="23"/>
      <c r="X49" s="23"/>
      <c r="Y49" s="23"/>
      <c r="Z49" s="23">
        <f t="shared" si="34"/>
        <v>7780.8001545421512</v>
      </c>
      <c r="AA49" s="23">
        <f>2240.014178+453.71565587978</f>
        <v>2693.72983387978</v>
      </c>
      <c r="AB49" s="23">
        <v>2364.491493</v>
      </c>
      <c r="AC49" s="206">
        <v>841.05055919999995</v>
      </c>
      <c r="AD49" s="15"/>
      <c r="AE49" s="15"/>
      <c r="AF49" s="15"/>
      <c r="AG49" s="35">
        <f t="shared" si="35"/>
        <v>5899.2718860797804</v>
      </c>
      <c r="AH49" s="35">
        <f t="shared" si="36"/>
        <v>13680.072040621932</v>
      </c>
      <c r="AI49" s="15">
        <f t="shared" si="64"/>
        <v>6480.8241052219319</v>
      </c>
      <c r="AJ49" s="15">
        <f t="shared" si="64"/>
        <v>5517.1468169999998</v>
      </c>
      <c r="AK49" s="15">
        <f t="shared" si="64"/>
        <v>1682.1011183999999</v>
      </c>
      <c r="AL49" s="15">
        <f t="shared" si="64"/>
        <v>0</v>
      </c>
      <c r="AM49" s="15">
        <f t="shared" si="64"/>
        <v>0</v>
      </c>
      <c r="AN49" s="15"/>
      <c r="AO49" s="15">
        <f t="shared" si="7"/>
        <v>13680.072040621932</v>
      </c>
      <c r="AP49" s="15">
        <f t="shared" si="37"/>
        <v>13680.072040621932</v>
      </c>
      <c r="AQ49" s="17">
        <f t="shared" si="38"/>
        <v>13680.072040621932</v>
      </c>
      <c r="AR49" s="127">
        <f t="shared" si="39"/>
        <v>0</v>
      </c>
      <c r="AS49" s="112">
        <f t="shared" si="70"/>
        <v>13694888.649708671</v>
      </c>
      <c r="AT49" s="112">
        <f t="shared" si="70"/>
        <v>7955008.4810277894</v>
      </c>
      <c r="AU49" s="112">
        <f t="shared" si="70"/>
        <v>2075578.212016128</v>
      </c>
      <c r="AV49" s="112">
        <f t="shared" si="70"/>
        <v>0</v>
      </c>
      <c r="AW49" s="112">
        <f t="shared" si="70"/>
        <v>0</v>
      </c>
      <c r="AX49" s="112">
        <f t="shared" si="40"/>
        <v>23725475.342752591</v>
      </c>
      <c r="AY49" s="112">
        <f t="shared" si="41"/>
        <v>23725475.342752591</v>
      </c>
      <c r="AZ49" s="112">
        <f t="shared" si="71"/>
        <v>13694888.649708671</v>
      </c>
      <c r="BA49" s="112">
        <f t="shared" si="71"/>
        <v>8471303.08016265</v>
      </c>
      <c r="BB49" s="112">
        <f t="shared" si="71"/>
        <v>2210280.8695775997</v>
      </c>
      <c r="BC49" s="112">
        <f t="shared" si="71"/>
        <v>0</v>
      </c>
      <c r="BD49" s="112">
        <f t="shared" si="71"/>
        <v>0</v>
      </c>
      <c r="BE49" s="112">
        <f t="shared" si="42"/>
        <v>24376472.599448919</v>
      </c>
      <c r="BF49" s="112">
        <f t="shared" si="43"/>
        <v>24376472.599448919</v>
      </c>
      <c r="BG49" s="623">
        <f>(I49-J49)/1.2*U49/1000+(I49-K49)/1.2*V49/1000-0.020528973231194</f>
        <v>2379.7723143611884</v>
      </c>
      <c r="BH49" s="624">
        <f>(O49-P49)/1.2*AB49/1000+(O49-Q49)/1.2*AC49/1000</f>
        <v>1698.3835287252145</v>
      </c>
      <c r="BI49" s="623">
        <f t="shared" si="5"/>
        <v>4078.1558430864029</v>
      </c>
      <c r="BJ49" s="112"/>
      <c r="BK49" s="112"/>
      <c r="BL49" s="112">
        <f t="shared" si="72"/>
        <v>8002660.3885439541</v>
      </c>
      <c r="BM49" s="112">
        <f t="shared" si="72"/>
        <v>4545719.1320158793</v>
      </c>
      <c r="BN49" s="112">
        <f t="shared" si="72"/>
        <v>1037789.106008064</v>
      </c>
      <c r="BO49" s="112">
        <f t="shared" si="72"/>
        <v>0</v>
      </c>
      <c r="BP49" s="112">
        <f t="shared" si="72"/>
        <v>0</v>
      </c>
      <c r="BQ49" s="112">
        <f t="shared" si="44"/>
        <v>13586168.626567896</v>
      </c>
      <c r="BR49" s="112">
        <f t="shared" si="45"/>
        <v>13586168.626567896</v>
      </c>
      <c r="BS49" s="112">
        <f t="shared" si="73"/>
        <v>5692228.2611647183</v>
      </c>
      <c r="BT49" s="112">
        <f t="shared" si="73"/>
        <v>3630558.4629268502</v>
      </c>
      <c r="BU49" s="112">
        <f t="shared" si="73"/>
        <v>1105140.4347887998</v>
      </c>
      <c r="BV49" s="112">
        <f t="shared" si="12"/>
        <v>0</v>
      </c>
      <c r="BW49" s="112">
        <f t="shared" si="13"/>
        <v>0</v>
      </c>
      <c r="BX49" s="112">
        <f t="shared" si="46"/>
        <v>10427927.158880368</v>
      </c>
      <c r="BY49" s="112">
        <f t="shared" si="47"/>
        <v>10427927.158880368</v>
      </c>
      <c r="BZ49" s="113">
        <f t="shared" si="48"/>
        <v>8176277.5949427299</v>
      </c>
      <c r="CA49" s="113">
        <f t="shared" si="48"/>
        <v>2142929.5407968638</v>
      </c>
      <c r="CB49" s="113">
        <f t="shared" si="49"/>
        <v>10319207.135739595</v>
      </c>
      <c r="CC49" s="119">
        <f t="shared" si="50"/>
        <v>1481.9757142857143</v>
      </c>
      <c r="CD49" s="119">
        <f t="shared" si="50"/>
        <v>1273.96</v>
      </c>
      <c r="CE49" s="119">
        <f t="shared" si="51"/>
        <v>1433.3729339974795</v>
      </c>
      <c r="CF49" s="119">
        <f t="shared" si="14"/>
        <v>1433.3729339974795</v>
      </c>
      <c r="CG49" s="619">
        <f t="shared" si="15"/>
        <v>15213018.782211155</v>
      </c>
      <c r="CH49" s="132">
        <f t="shared" si="52"/>
        <v>2113.14</v>
      </c>
      <c r="CI49" s="106"/>
      <c r="CJ49" s="112">
        <f t="shared" si="16"/>
        <v>16441.920038569202</v>
      </c>
      <c r="CK49" s="112">
        <f t="shared" si="17"/>
        <v>12465.987393350628</v>
      </c>
      <c r="CL49" s="112">
        <f t="shared" si="53"/>
        <v>28907.90743191983</v>
      </c>
      <c r="CM49" s="112">
        <f t="shared" si="18"/>
        <v>28907907.431919828</v>
      </c>
      <c r="CN49" s="112">
        <f t="shared" si="19"/>
        <v>23725475.342752591</v>
      </c>
      <c r="CO49" s="112">
        <f t="shared" si="20"/>
        <v>24075268.270323869</v>
      </c>
      <c r="CP49" s="112">
        <f t="shared" si="21"/>
        <v>13586168.626567896</v>
      </c>
      <c r="CQ49" s="112">
        <f t="shared" si="22"/>
        <v>24376472.599448919</v>
      </c>
      <c r="CR49" s="112">
        <f t="shared" si="23"/>
        <v>24748973.892118603</v>
      </c>
      <c r="CS49" s="112">
        <f t="shared" si="24"/>
        <v>10427927.158880368</v>
      </c>
      <c r="CT49" s="112">
        <f t="shared" si="54"/>
        <v>48101947.94220151</v>
      </c>
      <c r="CU49" s="124">
        <f t="shared" si="55"/>
        <v>3516205.7479936103</v>
      </c>
      <c r="CV49" s="112">
        <f t="shared" si="25"/>
        <v>10030586.693043917</v>
      </c>
      <c r="CW49" s="112">
        <f t="shared" si="26"/>
        <v>10681583.94974025</v>
      </c>
      <c r="CX49" s="112">
        <f t="shared" si="56"/>
        <v>20712170.642784167</v>
      </c>
      <c r="CY49" s="112">
        <f t="shared" si="27"/>
        <v>28907907.431919828</v>
      </c>
      <c r="CZ49" s="112">
        <f t="shared" si="28"/>
        <v>28907907.431919828</v>
      </c>
      <c r="DA49" s="106"/>
      <c r="DB49" s="128">
        <f t="shared" si="57"/>
        <v>146.55551471353175</v>
      </c>
      <c r="DC49" s="106"/>
      <c r="DD49" s="106"/>
      <c r="DE49" s="106"/>
      <c r="DF49" s="106"/>
      <c r="DG49" s="618">
        <f t="shared" si="29"/>
        <v>0</v>
      </c>
      <c r="DH49" s="618">
        <f t="shared" si="30"/>
        <v>0</v>
      </c>
      <c r="DI49" s="618">
        <f t="shared" si="31"/>
        <v>0</v>
      </c>
      <c r="DJ49" s="115"/>
    </row>
    <row r="50" spans="1:114" ht="51" hidden="1" customHeight="1">
      <c r="A50" s="20">
        <f t="shared" si="58"/>
        <v>37</v>
      </c>
      <c r="B50" s="1897"/>
      <c r="C50" s="1896" t="s">
        <v>148</v>
      </c>
      <c r="D50" s="808" t="s">
        <v>186</v>
      </c>
      <c r="E50" s="768">
        <v>6829012680</v>
      </c>
      <c r="F50" s="696" t="s">
        <v>8</v>
      </c>
      <c r="G50" s="696" t="s">
        <v>907</v>
      </c>
      <c r="H50" s="697">
        <v>1958.86</v>
      </c>
      <c r="I50" s="697">
        <v>1958.86</v>
      </c>
      <c r="J50" s="697">
        <v>1958.86</v>
      </c>
      <c r="K50" s="697">
        <v>1958.86</v>
      </c>
      <c r="L50" s="697">
        <v>1958.86</v>
      </c>
      <c r="M50" s="697">
        <v>0</v>
      </c>
      <c r="N50" s="714">
        <f>1844.59*1.2</f>
        <v>2213.5079999999998</v>
      </c>
      <c r="O50" s="714">
        <f>N50</f>
        <v>2213.5079999999998</v>
      </c>
      <c r="P50" s="714">
        <v>2047</v>
      </c>
      <c r="Q50" s="714">
        <f>P50</f>
        <v>2047</v>
      </c>
      <c r="R50" s="714">
        <f>O50</f>
        <v>2213.5079999999998</v>
      </c>
      <c r="S50" s="714">
        <v>0</v>
      </c>
      <c r="T50" s="766">
        <v>4120</v>
      </c>
      <c r="U50" s="766">
        <f>1669.4-V50</f>
        <v>1543.8000000000002</v>
      </c>
      <c r="V50" s="766">
        <v>125.6</v>
      </c>
      <c r="W50" s="766">
        <v>128</v>
      </c>
      <c r="X50" s="765">
        <v>0</v>
      </c>
      <c r="Y50" s="765"/>
      <c r="Z50" s="767">
        <f t="shared" si="34"/>
        <v>5917.4000000000005</v>
      </c>
      <c r="AA50" s="766">
        <v>2731.9</v>
      </c>
      <c r="AB50" s="765">
        <f>1095.3-259.7</f>
        <v>835.59999999999991</v>
      </c>
      <c r="AC50" s="766">
        <v>259.7</v>
      </c>
      <c r="AD50" s="766">
        <v>18.5</v>
      </c>
      <c r="AE50" s="765"/>
      <c r="AF50" s="765"/>
      <c r="AG50" s="35">
        <f t="shared" si="35"/>
        <v>3845.7</v>
      </c>
      <c r="AH50" s="35">
        <f t="shared" si="36"/>
        <v>9763.1</v>
      </c>
      <c r="AI50" s="15">
        <f t="shared" si="64"/>
        <v>6851.9</v>
      </c>
      <c r="AJ50" s="15">
        <f t="shared" si="64"/>
        <v>2379.4</v>
      </c>
      <c r="AK50" s="15">
        <f t="shared" si="64"/>
        <v>385.29999999999995</v>
      </c>
      <c r="AL50" s="15">
        <f t="shared" si="64"/>
        <v>146.5</v>
      </c>
      <c r="AM50" s="15">
        <f t="shared" si="64"/>
        <v>0</v>
      </c>
      <c r="AN50" s="15"/>
      <c r="AO50" s="15">
        <f t="shared" si="7"/>
        <v>9763.0999999999985</v>
      </c>
      <c r="AP50" s="15">
        <f t="shared" si="37"/>
        <v>9763.0999999999985</v>
      </c>
      <c r="AQ50" s="15">
        <f t="shared" si="38"/>
        <v>9763.0999999999985</v>
      </c>
      <c r="AR50" s="127">
        <f t="shared" si="39"/>
        <v>0</v>
      </c>
      <c r="AS50" s="112">
        <f t="shared" si="70"/>
        <v>13421912.833999999</v>
      </c>
      <c r="AT50" s="112">
        <f t="shared" si="70"/>
        <v>4660911.4840000002</v>
      </c>
      <c r="AU50" s="112">
        <f t="shared" si="70"/>
        <v>754748.75799999991</v>
      </c>
      <c r="AV50" s="112">
        <f t="shared" si="70"/>
        <v>286972.99</v>
      </c>
      <c r="AW50" s="112">
        <f t="shared" si="70"/>
        <v>0</v>
      </c>
      <c r="AX50" s="112">
        <f t="shared" si="40"/>
        <v>19124546.066</v>
      </c>
      <c r="AY50" s="112">
        <f t="shared" si="41"/>
        <v>19124546.066</v>
      </c>
      <c r="AZ50" s="112">
        <f t="shared" si="71"/>
        <v>15166735.465199998</v>
      </c>
      <c r="BA50" s="112">
        <f t="shared" si="71"/>
        <v>4870631.8</v>
      </c>
      <c r="BB50" s="112">
        <f t="shared" si="71"/>
        <v>788709.09999999986</v>
      </c>
      <c r="BC50" s="112">
        <f t="shared" si="71"/>
        <v>324278.92199999996</v>
      </c>
      <c r="BD50" s="112">
        <f t="shared" si="71"/>
        <v>0</v>
      </c>
      <c r="BE50" s="112">
        <f t="shared" si="42"/>
        <v>21150355.287199996</v>
      </c>
      <c r="BF50" s="112">
        <f t="shared" si="43"/>
        <v>21150355.287199996</v>
      </c>
      <c r="BG50" s="769"/>
      <c r="BH50" s="769">
        <f>((O50-P50)*1.0953)/1.2</f>
        <v>151.98017699999983</v>
      </c>
      <c r="BI50" s="769">
        <f t="shared" si="5"/>
        <v>151.98017699999983</v>
      </c>
      <c r="BJ50" s="112"/>
      <c r="BK50" s="112"/>
      <c r="BL50" s="112">
        <f t="shared" si="72"/>
        <v>8070503.1999999993</v>
      </c>
      <c r="BM50" s="112">
        <f t="shared" si="72"/>
        <v>3024088.068</v>
      </c>
      <c r="BN50" s="112">
        <f t="shared" si="72"/>
        <v>246032.81599999996</v>
      </c>
      <c r="BO50" s="112">
        <f t="shared" si="72"/>
        <v>250734.07999999999</v>
      </c>
      <c r="BP50" s="112">
        <f t="shared" si="72"/>
        <v>0</v>
      </c>
      <c r="BQ50" s="112">
        <f t="shared" si="44"/>
        <v>11591358.163999999</v>
      </c>
      <c r="BR50" s="112">
        <f t="shared" si="45"/>
        <v>11591358.163999999</v>
      </c>
      <c r="BS50" s="112">
        <f t="shared" si="73"/>
        <v>6047082.5051999995</v>
      </c>
      <c r="BT50" s="112">
        <f t="shared" si="73"/>
        <v>1710473.1999999997</v>
      </c>
      <c r="BU50" s="112">
        <f t="shared" si="73"/>
        <v>531605.9</v>
      </c>
      <c r="BV50" s="112">
        <f t="shared" si="12"/>
        <v>283329.02399999998</v>
      </c>
      <c r="BW50" s="112">
        <f t="shared" si="13"/>
        <v>0</v>
      </c>
      <c r="BX50" s="112">
        <f t="shared" si="46"/>
        <v>8572490.6292000003</v>
      </c>
      <c r="BY50" s="112">
        <f t="shared" si="47"/>
        <v>8572490.6292000003</v>
      </c>
      <c r="BZ50" s="113">
        <f t="shared" si="48"/>
        <v>4734561.2679999992</v>
      </c>
      <c r="CA50" s="113">
        <f t="shared" si="48"/>
        <v>777638.71600000001</v>
      </c>
      <c r="CB50" s="113">
        <f t="shared" si="49"/>
        <v>5512199.9839999992</v>
      </c>
      <c r="CC50" s="119">
        <f t="shared" si="50"/>
        <v>1989.8130906951328</v>
      </c>
      <c r="CD50" s="119">
        <f t="shared" si="50"/>
        <v>2018.2681443031406</v>
      </c>
      <c r="CE50" s="119">
        <f t="shared" si="51"/>
        <v>1993.7787043802221</v>
      </c>
      <c r="CF50" s="119">
        <f t="shared" si="14"/>
        <v>1993.7787043802221</v>
      </c>
      <c r="CG50" s="619">
        <f t="shared" si="15"/>
        <v>5694576.1963999998</v>
      </c>
      <c r="CH50" s="132">
        <f t="shared" si="52"/>
        <v>2059.7447087929977</v>
      </c>
      <c r="CI50" s="106"/>
      <c r="CJ50" s="112">
        <f t="shared" si="16"/>
        <v>11591.358164000001</v>
      </c>
      <c r="CK50" s="112">
        <f t="shared" si="17"/>
        <v>8512.4877155999984</v>
      </c>
      <c r="CL50" s="112">
        <f t="shared" si="53"/>
        <v>20103.845879599998</v>
      </c>
      <c r="CM50" s="112">
        <f t="shared" si="18"/>
        <v>20103845.8796</v>
      </c>
      <c r="CN50" s="112">
        <f t="shared" si="19"/>
        <v>19124546.066</v>
      </c>
      <c r="CO50" s="112">
        <f t="shared" si="20"/>
        <v>19124546.065999996</v>
      </c>
      <c r="CP50" s="112">
        <f t="shared" si="21"/>
        <v>11591358.163999999</v>
      </c>
      <c r="CQ50" s="112">
        <f t="shared" si="22"/>
        <v>21150355.287199996</v>
      </c>
      <c r="CR50" s="112">
        <f t="shared" si="23"/>
        <v>21150355.287199996</v>
      </c>
      <c r="CS50" s="112">
        <f t="shared" si="24"/>
        <v>8330111.5032000002</v>
      </c>
      <c r="CT50" s="112">
        <f t="shared" si="54"/>
        <v>40274901.353199996</v>
      </c>
      <c r="CU50" s="124">
        <f t="shared" si="55"/>
        <v>4125216.514549681</v>
      </c>
      <c r="CV50" s="112">
        <f t="shared" si="25"/>
        <v>5415660.2420000006</v>
      </c>
      <c r="CW50" s="112">
        <f t="shared" si="26"/>
        <v>5659340.8999999994</v>
      </c>
      <c r="CX50" s="112">
        <f t="shared" si="56"/>
        <v>11075001.142000001</v>
      </c>
      <c r="CY50" s="112">
        <f t="shared" si="27"/>
        <v>19124546.066</v>
      </c>
      <c r="CZ50" s="112">
        <f t="shared" si="28"/>
        <v>21610699.954799995</v>
      </c>
      <c r="DA50" s="106"/>
      <c r="DB50" s="128">
        <f t="shared" si="57"/>
        <v>112.99980600961783</v>
      </c>
      <c r="DC50" s="106"/>
      <c r="DD50" s="106"/>
      <c r="DE50" s="106"/>
      <c r="DF50" s="106"/>
      <c r="DG50" s="618">
        <f t="shared" si="29"/>
        <v>0</v>
      </c>
      <c r="DH50" s="618">
        <f t="shared" si="30"/>
        <v>0</v>
      </c>
      <c r="DI50" s="618">
        <f t="shared" si="31"/>
        <v>0</v>
      </c>
      <c r="DJ50" s="106"/>
    </row>
    <row r="51" spans="1:114" s="32" customFormat="1" ht="63.75" customHeight="1">
      <c r="A51" s="20">
        <f t="shared" si="58"/>
        <v>38</v>
      </c>
      <c r="B51" s="1897"/>
      <c r="C51" s="1897"/>
      <c r="D51" s="749" t="s">
        <v>141</v>
      </c>
      <c r="E51" s="617">
        <v>4632024035</v>
      </c>
      <c r="F51" s="806" t="s">
        <v>8</v>
      </c>
      <c r="G51" s="752" t="s">
        <v>890</v>
      </c>
      <c r="H51" s="819">
        <f>2653.36*1.2</f>
        <v>3184.0320000000002</v>
      </c>
      <c r="I51" s="819">
        <f>2653.36*1.2</f>
        <v>3184.0320000000002</v>
      </c>
      <c r="J51" s="38">
        <v>2732.57</v>
      </c>
      <c r="K51" s="38"/>
      <c r="L51" s="819">
        <f>2653.36*1.2</f>
        <v>3184.0320000000002</v>
      </c>
      <c r="M51" s="38"/>
      <c r="N51" s="622">
        <f>2749.3*1.2</f>
        <v>3299.1600000000003</v>
      </c>
      <c r="O51" s="622">
        <f>2749.3*1.2</f>
        <v>3299.1600000000003</v>
      </c>
      <c r="P51" s="38">
        <v>2896.52</v>
      </c>
      <c r="Q51" s="38"/>
      <c r="R51" s="622">
        <f>2749.3*1.2</f>
        <v>3299.1600000000003</v>
      </c>
      <c r="S51" s="38"/>
      <c r="T51" s="178">
        <v>1164.28</v>
      </c>
      <c r="U51" s="16">
        <v>5.9</v>
      </c>
      <c r="V51" s="227"/>
      <c r="W51" s="16"/>
      <c r="X51" s="16"/>
      <c r="Y51" s="16"/>
      <c r="Z51" s="178">
        <f t="shared" si="34"/>
        <v>1170.18</v>
      </c>
      <c r="AA51" s="178">
        <v>865.39400000000001</v>
      </c>
      <c r="AB51" s="16">
        <v>4.4000000000000004</v>
      </c>
      <c r="AC51" s="227"/>
      <c r="AD51" s="16"/>
      <c r="AE51" s="16"/>
      <c r="AF51" s="16"/>
      <c r="AG51" s="178">
        <f t="shared" si="35"/>
        <v>869.79399999999998</v>
      </c>
      <c r="AH51" s="178">
        <f t="shared" si="36"/>
        <v>2039.9740000000002</v>
      </c>
      <c r="AI51" s="16">
        <f t="shared" si="64"/>
        <v>2029.674</v>
      </c>
      <c r="AJ51" s="16">
        <f t="shared" si="64"/>
        <v>10.3</v>
      </c>
      <c r="AK51" s="16">
        <f t="shared" si="64"/>
        <v>0</v>
      </c>
      <c r="AL51" s="16">
        <f t="shared" si="64"/>
        <v>0</v>
      </c>
      <c r="AM51" s="16">
        <f t="shared" si="64"/>
        <v>0</v>
      </c>
      <c r="AN51" s="16"/>
      <c r="AO51" s="16">
        <f t="shared" si="7"/>
        <v>2039.9739999999999</v>
      </c>
      <c r="AP51" s="16">
        <f t="shared" si="37"/>
        <v>2039.9739999999999</v>
      </c>
      <c r="AQ51" s="16">
        <f t="shared" si="38"/>
        <v>2039.9739999999999</v>
      </c>
      <c r="AR51" s="127">
        <f t="shared" si="39"/>
        <v>0</v>
      </c>
      <c r="AS51" s="112">
        <f t="shared" si="70"/>
        <v>6462546.9655680005</v>
      </c>
      <c r="AT51" s="112">
        <f t="shared" si="70"/>
        <v>28145.471000000005</v>
      </c>
      <c r="AU51" s="112">
        <f t="shared" si="70"/>
        <v>0</v>
      </c>
      <c r="AV51" s="112">
        <f t="shared" si="70"/>
        <v>0</v>
      </c>
      <c r="AW51" s="112">
        <f t="shared" si="70"/>
        <v>0</v>
      </c>
      <c r="AX51" s="112">
        <f t="shared" si="40"/>
        <v>6490692.4365680004</v>
      </c>
      <c r="AY51" s="112">
        <f t="shared" si="41"/>
        <v>6490692.4365680004</v>
      </c>
      <c r="AZ51" s="112">
        <f t="shared" si="71"/>
        <v>6696219.2738400009</v>
      </c>
      <c r="BA51" s="112">
        <f t="shared" si="71"/>
        <v>29834.156000000003</v>
      </c>
      <c r="BB51" s="112">
        <f t="shared" si="71"/>
        <v>0</v>
      </c>
      <c r="BC51" s="112">
        <f t="shared" si="71"/>
        <v>0</v>
      </c>
      <c r="BD51" s="112">
        <f t="shared" si="71"/>
        <v>0</v>
      </c>
      <c r="BE51" s="112">
        <f t="shared" si="42"/>
        <v>6726053.4298400013</v>
      </c>
      <c r="BF51" s="112">
        <f t="shared" si="43"/>
        <v>6726053.4298400013</v>
      </c>
      <c r="BG51" s="623">
        <f>(I51-J51)/1.2*U51/1000</f>
        <v>2.2196881666666668</v>
      </c>
      <c r="BH51" s="624">
        <f>(O51-P51)/1.2*AB51/1000</f>
        <v>1.4763466666666683</v>
      </c>
      <c r="BI51" s="623">
        <f t="shared" si="5"/>
        <v>3.6960348333333348</v>
      </c>
      <c r="BJ51" s="169"/>
      <c r="BK51" s="169"/>
      <c r="BL51" s="112">
        <f t="shared" si="72"/>
        <v>3707104.7769599999</v>
      </c>
      <c r="BM51" s="112">
        <f t="shared" si="72"/>
        <v>16122.163000000002</v>
      </c>
      <c r="BN51" s="112">
        <f t="shared" si="72"/>
        <v>0</v>
      </c>
      <c r="BO51" s="112">
        <f t="shared" si="72"/>
        <v>0</v>
      </c>
      <c r="BP51" s="112">
        <f t="shared" si="72"/>
        <v>0</v>
      </c>
      <c r="BQ51" s="112">
        <f t="shared" si="44"/>
        <v>3723226.9399600001</v>
      </c>
      <c r="BR51" s="112">
        <f t="shared" si="45"/>
        <v>3723226.9399600001</v>
      </c>
      <c r="BS51" s="112">
        <f t="shared" si="73"/>
        <v>2855073.2690400002</v>
      </c>
      <c r="BT51" s="112">
        <f t="shared" si="73"/>
        <v>12744.688</v>
      </c>
      <c r="BU51" s="112">
        <f t="shared" si="73"/>
        <v>0</v>
      </c>
      <c r="BV51" s="112">
        <f t="shared" si="12"/>
        <v>0</v>
      </c>
      <c r="BW51" s="112">
        <f t="shared" si="13"/>
        <v>0</v>
      </c>
      <c r="BX51" s="112">
        <f t="shared" si="46"/>
        <v>2867817.9570400002</v>
      </c>
      <c r="BY51" s="112">
        <f t="shared" si="47"/>
        <v>2867817.9570400002</v>
      </c>
      <c r="BZ51" s="113">
        <f t="shared" si="48"/>
        <v>28866.851000000002</v>
      </c>
      <c r="CA51" s="113">
        <f t="shared" si="48"/>
        <v>0</v>
      </c>
      <c r="CB51" s="113">
        <f t="shared" si="49"/>
        <v>28866.851000000002</v>
      </c>
      <c r="CC51" s="119">
        <f t="shared" si="50"/>
        <v>2802.6068932038834</v>
      </c>
      <c r="CD51" s="119" t="e">
        <f t="shared" si="50"/>
        <v>#DIV/0!</v>
      </c>
      <c r="CE51" s="119">
        <f t="shared" si="51"/>
        <v>2802.6068932038834</v>
      </c>
      <c r="CF51" s="119">
        <f t="shared" si="14"/>
        <v>2802.6068932038834</v>
      </c>
      <c r="CG51" s="619">
        <f t="shared" si="15"/>
        <v>33302.092800000006</v>
      </c>
      <c r="CH51" s="132">
        <f t="shared" si="52"/>
        <v>3233.2128932038841</v>
      </c>
      <c r="CI51" s="625"/>
      <c r="CJ51" s="208">
        <f t="shared" si="16"/>
        <v>3725.8905657600008</v>
      </c>
      <c r="CK51" s="208">
        <f t="shared" si="17"/>
        <v>2869.5895730400002</v>
      </c>
      <c r="CL51" s="208">
        <f>CJ51+CK51</f>
        <v>6595.4801388000014</v>
      </c>
      <c r="CM51" s="112">
        <f t="shared" si="18"/>
        <v>6595480.1388000008</v>
      </c>
      <c r="CN51" s="112">
        <f t="shared" si="19"/>
        <v>6490692.4365680004</v>
      </c>
      <c r="CO51" s="112">
        <f t="shared" si="20"/>
        <v>6490692.4365680004</v>
      </c>
      <c r="CP51" s="112">
        <f t="shared" si="21"/>
        <v>3723226.9399600001</v>
      </c>
      <c r="CQ51" s="112">
        <f t="shared" si="22"/>
        <v>6726053.4298400013</v>
      </c>
      <c r="CR51" s="112">
        <f t="shared" si="23"/>
        <v>6726053.4298400013</v>
      </c>
      <c r="CS51" s="112">
        <f t="shared" si="24"/>
        <v>2867817.9570400002</v>
      </c>
      <c r="CT51" s="112">
        <f t="shared" si="54"/>
        <v>13216745.866408002</v>
      </c>
      <c r="CU51" s="124">
        <f t="shared" si="55"/>
        <v>6478879.5672925245</v>
      </c>
      <c r="CV51" s="112">
        <f t="shared" si="25"/>
        <v>28145.471000000005</v>
      </c>
      <c r="CW51" s="112">
        <f t="shared" si="26"/>
        <v>29834.156000000003</v>
      </c>
      <c r="CX51" s="112">
        <f t="shared" si="56"/>
        <v>57979.627000000008</v>
      </c>
      <c r="CY51" s="112">
        <f t="shared" si="27"/>
        <v>6495342.4951680005</v>
      </c>
      <c r="CZ51" s="112">
        <f t="shared" si="28"/>
        <v>6730200.6218400011</v>
      </c>
      <c r="DA51" s="625"/>
      <c r="DB51" s="128">
        <f t="shared" si="57"/>
        <v>120.73469298133259</v>
      </c>
      <c r="DC51" s="625"/>
      <c r="DD51" s="625"/>
      <c r="DE51" s="625"/>
      <c r="DF51" s="625"/>
      <c r="DG51" s="618">
        <f t="shared" si="29"/>
        <v>0</v>
      </c>
      <c r="DH51" s="618">
        <f t="shared" si="30"/>
        <v>0</v>
      </c>
      <c r="DI51" s="618">
        <f t="shared" si="31"/>
        <v>0</v>
      </c>
      <c r="DJ51" s="123"/>
    </row>
    <row r="52" spans="1:114" s="13" customFormat="1" ht="76.5" hidden="1" customHeight="1">
      <c r="A52" s="695">
        <f t="shared" si="58"/>
        <v>39</v>
      </c>
      <c r="B52" s="1897"/>
      <c r="C52" s="1905"/>
      <c r="D52" s="696" t="s">
        <v>96</v>
      </c>
      <c r="E52" s="696">
        <v>4611013586</v>
      </c>
      <c r="F52" s="696" t="s">
        <v>8</v>
      </c>
      <c r="G52" s="808" t="s">
        <v>887</v>
      </c>
      <c r="H52" s="697">
        <v>3836.71</v>
      </c>
      <c r="I52" s="697">
        <v>0</v>
      </c>
      <c r="J52" s="697">
        <v>2772.86</v>
      </c>
      <c r="K52" s="697">
        <v>2772.86</v>
      </c>
      <c r="L52" s="697">
        <v>0</v>
      </c>
      <c r="M52" s="698">
        <v>0</v>
      </c>
      <c r="N52" s="698">
        <v>4041.47</v>
      </c>
      <c r="O52" s="698">
        <v>0</v>
      </c>
      <c r="P52" s="698">
        <v>2953.1</v>
      </c>
      <c r="Q52" s="698">
        <v>2953.1</v>
      </c>
      <c r="R52" s="698">
        <v>0</v>
      </c>
      <c r="S52" s="698">
        <v>0</v>
      </c>
      <c r="T52" s="18">
        <v>0</v>
      </c>
      <c r="U52" s="29">
        <v>186.66</v>
      </c>
      <c r="V52" s="29">
        <v>39.19</v>
      </c>
      <c r="W52" s="18">
        <v>0</v>
      </c>
      <c r="X52" s="18">
        <v>0</v>
      </c>
      <c r="Y52" s="18">
        <v>0</v>
      </c>
      <c r="Z52" s="99">
        <f>SUM(T52:W52)</f>
        <v>225.85</v>
      </c>
      <c r="AA52" s="18">
        <v>0</v>
      </c>
      <c r="AB52" s="29">
        <v>109.63</v>
      </c>
      <c r="AC52" s="29">
        <v>32.130000000000003</v>
      </c>
      <c r="AD52" s="18">
        <v>0</v>
      </c>
      <c r="AE52" s="18">
        <v>0</v>
      </c>
      <c r="AF52" s="18">
        <v>0</v>
      </c>
      <c r="AG52" s="99">
        <f>SUM(AA52:AD52)</f>
        <v>141.76</v>
      </c>
      <c r="AH52" s="99">
        <f>Z52+AG52</f>
        <v>367.61</v>
      </c>
      <c r="AI52" s="18">
        <f t="shared" si="64"/>
        <v>0</v>
      </c>
      <c r="AJ52" s="29">
        <f>U52+AB52</f>
        <v>296.28999999999996</v>
      </c>
      <c r="AK52" s="29">
        <f>V52+AC52</f>
        <v>71.319999999999993</v>
      </c>
      <c r="AL52" s="18">
        <f t="shared" si="64"/>
        <v>0</v>
      </c>
      <c r="AM52" s="18">
        <f t="shared" si="64"/>
        <v>0</v>
      </c>
      <c r="AN52" s="18"/>
      <c r="AO52" s="18">
        <f>SUM(AI52:AN52)</f>
        <v>367.60999999999996</v>
      </c>
      <c r="AP52" s="18">
        <f>SUM(AI52:AM52)</f>
        <v>367.60999999999996</v>
      </c>
      <c r="AQ52" s="18">
        <f>SUM(AI52:AL52)</f>
        <v>367.60999999999996</v>
      </c>
      <c r="AR52" s="99">
        <f t="shared" si="39"/>
        <v>0</v>
      </c>
      <c r="AS52" s="18">
        <f t="shared" si="70"/>
        <v>0</v>
      </c>
      <c r="AT52" s="18">
        <f t="shared" si="70"/>
        <v>821570.68939999992</v>
      </c>
      <c r="AU52" s="18">
        <f t="shared" si="70"/>
        <v>197760.37519999998</v>
      </c>
      <c r="AV52" s="18">
        <f t="shared" si="70"/>
        <v>0</v>
      </c>
      <c r="AW52" s="18">
        <f t="shared" si="70"/>
        <v>0</v>
      </c>
      <c r="AX52" s="18">
        <f t="shared" si="40"/>
        <v>1019331.0645999999</v>
      </c>
      <c r="AY52" s="18">
        <f t="shared" si="41"/>
        <v>1019331.0645999999</v>
      </c>
      <c r="AZ52" s="18">
        <f t="shared" si="71"/>
        <v>0</v>
      </c>
      <c r="BA52" s="18">
        <f t="shared" si="71"/>
        <v>874973.99899999984</v>
      </c>
      <c r="BB52" s="18">
        <f t="shared" si="71"/>
        <v>210615.09199999998</v>
      </c>
      <c r="BC52" s="18">
        <f t="shared" si="71"/>
        <v>0</v>
      </c>
      <c r="BD52" s="18">
        <f t="shared" si="71"/>
        <v>0</v>
      </c>
      <c r="BE52" s="18">
        <f t="shared" si="42"/>
        <v>1085589.0909999998</v>
      </c>
      <c r="BF52" s="18">
        <f t="shared" si="43"/>
        <v>1085589.0909999998</v>
      </c>
      <c r="BG52" s="18">
        <v>240.27099999999999</v>
      </c>
      <c r="BH52" s="18">
        <v>154.28800000000001</v>
      </c>
      <c r="BI52" s="18">
        <f t="shared" si="5"/>
        <v>394.55899999999997</v>
      </c>
      <c r="BJ52" s="29">
        <v>661.60057768295769</v>
      </c>
      <c r="BK52" s="18">
        <v>1691.15</v>
      </c>
      <c r="BL52" s="18">
        <f t="shared" si="72"/>
        <v>0</v>
      </c>
      <c r="BM52" s="18">
        <f>J52*U52</f>
        <v>517582.04759999999</v>
      </c>
      <c r="BN52" s="18">
        <f>K52*V52</f>
        <v>108668.38339999999</v>
      </c>
      <c r="BO52" s="18">
        <f t="shared" si="72"/>
        <v>0</v>
      </c>
      <c r="BP52" s="18">
        <f t="shared" si="72"/>
        <v>0</v>
      </c>
      <c r="BQ52" s="18">
        <f>BL52+BM52+BN52+BO52+BP52</f>
        <v>626250.43099999998</v>
      </c>
      <c r="BR52" s="18">
        <f>BQ52-BP52</f>
        <v>626250.43099999998</v>
      </c>
      <c r="BS52" s="18">
        <f t="shared" si="73"/>
        <v>0</v>
      </c>
      <c r="BT52" s="18">
        <f>P52*AB52</f>
        <v>323748.353</v>
      </c>
      <c r="BU52" s="18">
        <f>Q52*AC52</f>
        <v>94883.103000000003</v>
      </c>
      <c r="BV52" s="18">
        <f t="shared" si="12"/>
        <v>0</v>
      </c>
      <c r="BW52" s="18">
        <f t="shared" si="13"/>
        <v>0</v>
      </c>
      <c r="BX52" s="18">
        <f>BS52+BT52+BU52+BV52+BW52</f>
        <v>418631.45600000001</v>
      </c>
      <c r="BY52" s="18">
        <f>BX52-BW52</f>
        <v>418631.45600000001</v>
      </c>
      <c r="BZ52" s="161">
        <f t="shared" si="48"/>
        <v>841330.40060000005</v>
      </c>
      <c r="CA52" s="161">
        <f t="shared" si="48"/>
        <v>203551.48639999999</v>
      </c>
      <c r="CB52" s="161">
        <f t="shared" si="49"/>
        <v>1044881.8870000001</v>
      </c>
      <c r="CC52" s="162">
        <f t="shared" si="50"/>
        <v>2839.5504424719029</v>
      </c>
      <c r="CD52" s="162">
        <f t="shared" si="50"/>
        <v>2854.0589792484579</v>
      </c>
      <c r="CE52" s="162">
        <f t="shared" si="51"/>
        <v>2842.3652430565007</v>
      </c>
      <c r="CF52" s="162">
        <f t="shared" si="14"/>
        <v>2842.3652430565003</v>
      </c>
      <c r="CG52" s="651">
        <f t="shared" si="15"/>
        <v>0</v>
      </c>
      <c r="CH52" s="652">
        <f t="shared" si="52"/>
        <v>0</v>
      </c>
      <c r="CJ52" s="18">
        <f t="shared" si="16"/>
        <v>866.52095349999991</v>
      </c>
      <c r="CK52" s="18">
        <f t="shared" si="17"/>
        <v>572.91878719999988</v>
      </c>
      <c r="CL52" s="18">
        <f t="shared" si="53"/>
        <v>1439.4397406999997</v>
      </c>
      <c r="CM52" s="18">
        <f t="shared" si="18"/>
        <v>1439439.7407</v>
      </c>
      <c r="CN52" s="18">
        <f t="shared" si="19"/>
        <v>1019331.0645999999</v>
      </c>
      <c r="CO52" s="18">
        <f t="shared" si="20"/>
        <v>1019331.0645999999</v>
      </c>
      <c r="CP52" s="18">
        <f t="shared" si="21"/>
        <v>626250.43099999998</v>
      </c>
      <c r="CQ52" s="18">
        <f t="shared" si="22"/>
        <v>1085589.0909999998</v>
      </c>
      <c r="CR52" s="18">
        <f t="shared" si="23"/>
        <v>1085589.0909999998</v>
      </c>
      <c r="CS52" s="18">
        <f t="shared" si="24"/>
        <v>418631.45600000001</v>
      </c>
      <c r="CT52" s="18">
        <f t="shared" si="54"/>
        <v>2104920.1555999997</v>
      </c>
      <c r="CU52" s="29">
        <f t="shared" si="55"/>
        <v>5725959.9999999991</v>
      </c>
      <c r="CV52" s="18">
        <f t="shared" si="25"/>
        <v>1019331.0645999999</v>
      </c>
      <c r="CW52" s="18">
        <f t="shared" si="26"/>
        <v>1085589.0909999998</v>
      </c>
      <c r="CX52" s="18">
        <f t="shared" si="56"/>
        <v>2104920.1555999997</v>
      </c>
      <c r="CY52" s="18">
        <f t="shared" si="27"/>
        <v>1410412.9630999998</v>
      </c>
      <c r="CZ52" s="18">
        <f t="shared" si="28"/>
        <v>1485684.7866999998</v>
      </c>
      <c r="DB52" s="653">
        <f t="shared" si="57"/>
        <v>145.75095749514938</v>
      </c>
      <c r="DG52" s="701">
        <f t="shared" si="29"/>
        <v>0</v>
      </c>
      <c r="DH52" s="701">
        <f t="shared" si="30"/>
        <v>0</v>
      </c>
      <c r="DI52" s="701">
        <f t="shared" si="31"/>
        <v>0</v>
      </c>
    </row>
    <row r="53" spans="1:114" s="32" customFormat="1" ht="63.75" customHeight="1">
      <c r="A53" s="20">
        <f t="shared" si="58"/>
        <v>40</v>
      </c>
      <c r="B53" s="1897"/>
      <c r="C53" s="806" t="s">
        <v>94</v>
      </c>
      <c r="D53" s="749" t="s">
        <v>141</v>
      </c>
      <c r="E53" s="617">
        <v>4632024035</v>
      </c>
      <c r="F53" s="806" t="s">
        <v>8</v>
      </c>
      <c r="G53" s="752" t="s">
        <v>890</v>
      </c>
      <c r="H53" s="819">
        <f>2653.36*1.2</f>
        <v>3184.0320000000002</v>
      </c>
      <c r="I53" s="819">
        <f>2653.36*1.2</f>
        <v>3184.0320000000002</v>
      </c>
      <c r="J53" s="38"/>
      <c r="K53" s="38"/>
      <c r="L53" s="819">
        <f>2653.36*1.2</f>
        <v>3184.0320000000002</v>
      </c>
      <c r="M53" s="10"/>
      <c r="N53" s="622">
        <f>2749.3*1.2</f>
        <v>3299.1600000000003</v>
      </c>
      <c r="O53" s="622">
        <f>2749.3*1.2</f>
        <v>3299.1600000000003</v>
      </c>
      <c r="P53" s="10"/>
      <c r="Q53" s="10"/>
      <c r="R53" s="622">
        <f>2749.3*1.2</f>
        <v>3299.1600000000003</v>
      </c>
      <c r="S53" s="10"/>
      <c r="T53" s="178"/>
      <c r="U53" s="16"/>
      <c r="V53" s="227"/>
      <c r="W53" s="16"/>
      <c r="X53" s="16"/>
      <c r="Y53" s="16"/>
      <c r="Z53" s="35">
        <f t="shared" si="34"/>
        <v>0</v>
      </c>
      <c r="AA53" s="178"/>
      <c r="AB53" s="16"/>
      <c r="AC53" s="227"/>
      <c r="AD53" s="16"/>
      <c r="AE53" s="16"/>
      <c r="AF53" s="16"/>
      <c r="AG53" s="35">
        <f t="shared" si="35"/>
        <v>0</v>
      </c>
      <c r="AH53" s="35">
        <f t="shared" si="36"/>
        <v>0</v>
      </c>
      <c r="AI53" s="15">
        <f t="shared" si="64"/>
        <v>0</v>
      </c>
      <c r="AJ53" s="15">
        <f t="shared" si="64"/>
        <v>0</v>
      </c>
      <c r="AK53" s="15">
        <f t="shared" si="64"/>
        <v>0</v>
      </c>
      <c r="AL53" s="15">
        <f t="shared" si="64"/>
        <v>0</v>
      </c>
      <c r="AM53" s="15">
        <f t="shared" si="64"/>
        <v>0</v>
      </c>
      <c r="AN53" s="15"/>
      <c r="AO53" s="15">
        <f t="shared" si="7"/>
        <v>0</v>
      </c>
      <c r="AP53" s="15">
        <f t="shared" si="37"/>
        <v>0</v>
      </c>
      <c r="AQ53" s="15">
        <f t="shared" si="38"/>
        <v>0</v>
      </c>
      <c r="AR53" s="127">
        <f t="shared" si="39"/>
        <v>0</v>
      </c>
      <c r="AS53" s="112">
        <f t="shared" si="70"/>
        <v>0</v>
      </c>
      <c r="AT53" s="112">
        <f t="shared" si="70"/>
        <v>0</v>
      </c>
      <c r="AU53" s="112">
        <f t="shared" si="70"/>
        <v>0</v>
      </c>
      <c r="AV53" s="112">
        <f t="shared" si="70"/>
        <v>0</v>
      </c>
      <c r="AW53" s="112">
        <f t="shared" si="70"/>
        <v>0</v>
      </c>
      <c r="AX53" s="112">
        <f t="shared" si="40"/>
        <v>0</v>
      </c>
      <c r="AY53" s="112">
        <f t="shared" si="41"/>
        <v>0</v>
      </c>
      <c r="AZ53" s="112">
        <f t="shared" si="71"/>
        <v>0</v>
      </c>
      <c r="BA53" s="112">
        <f t="shared" si="71"/>
        <v>0</v>
      </c>
      <c r="BB53" s="112">
        <f t="shared" si="71"/>
        <v>0</v>
      </c>
      <c r="BC53" s="112">
        <f t="shared" si="71"/>
        <v>0</v>
      </c>
      <c r="BD53" s="112">
        <f t="shared" si="71"/>
        <v>0</v>
      </c>
      <c r="BE53" s="112">
        <f t="shared" si="42"/>
        <v>0</v>
      </c>
      <c r="BF53" s="112">
        <f t="shared" si="43"/>
        <v>0</v>
      </c>
      <c r="BG53" s="126"/>
      <c r="BH53" s="126"/>
      <c r="BI53" s="112">
        <f t="shared" si="5"/>
        <v>0</v>
      </c>
      <c r="BJ53" s="112"/>
      <c r="BK53" s="112"/>
      <c r="BL53" s="112">
        <f t="shared" si="72"/>
        <v>0</v>
      </c>
      <c r="BM53" s="112">
        <f t="shared" si="72"/>
        <v>0</v>
      </c>
      <c r="BN53" s="112">
        <f t="shared" si="72"/>
        <v>0</v>
      </c>
      <c r="BO53" s="112">
        <f t="shared" si="72"/>
        <v>0</v>
      </c>
      <c r="BP53" s="112">
        <f t="shared" si="72"/>
        <v>0</v>
      </c>
      <c r="BQ53" s="112">
        <f t="shared" si="44"/>
        <v>0</v>
      </c>
      <c r="BR53" s="112">
        <f t="shared" si="45"/>
        <v>0</v>
      </c>
      <c r="BS53" s="112">
        <f t="shared" si="73"/>
        <v>0</v>
      </c>
      <c r="BT53" s="112">
        <f t="shared" si="73"/>
        <v>0</v>
      </c>
      <c r="BU53" s="112">
        <f t="shared" si="73"/>
        <v>0</v>
      </c>
      <c r="BV53" s="112">
        <f t="shared" si="12"/>
        <v>0</v>
      </c>
      <c r="BW53" s="112">
        <f t="shared" si="13"/>
        <v>0</v>
      </c>
      <c r="BX53" s="112">
        <f t="shared" si="46"/>
        <v>0</v>
      </c>
      <c r="BY53" s="112">
        <f t="shared" si="47"/>
        <v>0</v>
      </c>
      <c r="BZ53" s="113">
        <f t="shared" si="48"/>
        <v>0</v>
      </c>
      <c r="CA53" s="113">
        <f t="shared" si="48"/>
        <v>0</v>
      </c>
      <c r="CB53" s="113">
        <f t="shared" si="49"/>
        <v>0</v>
      </c>
      <c r="CC53" s="119" t="e">
        <f t="shared" si="50"/>
        <v>#DIV/0!</v>
      </c>
      <c r="CD53" s="119" t="e">
        <f t="shared" si="50"/>
        <v>#DIV/0!</v>
      </c>
      <c r="CE53" s="119" t="e">
        <f t="shared" si="51"/>
        <v>#DIV/0!</v>
      </c>
      <c r="CF53" s="113" t="e">
        <f t="shared" si="14"/>
        <v>#DIV/0!</v>
      </c>
      <c r="CG53" s="619">
        <f t="shared" si="15"/>
        <v>0</v>
      </c>
      <c r="CH53" s="132" t="e">
        <f t="shared" si="52"/>
        <v>#DIV/0!</v>
      </c>
      <c r="CI53" s="625"/>
      <c r="CJ53" s="208">
        <f t="shared" si="16"/>
        <v>0</v>
      </c>
      <c r="CK53" s="208">
        <f t="shared" si="17"/>
        <v>0</v>
      </c>
      <c r="CL53" s="208">
        <f>CJ53+CK53</f>
        <v>0</v>
      </c>
      <c r="CM53" s="112">
        <f t="shared" si="18"/>
        <v>0</v>
      </c>
      <c r="CN53" s="112">
        <f t="shared" si="19"/>
        <v>0</v>
      </c>
      <c r="CO53" s="112">
        <f t="shared" si="20"/>
        <v>0</v>
      </c>
      <c r="CP53" s="112">
        <f t="shared" si="21"/>
        <v>0</v>
      </c>
      <c r="CQ53" s="112">
        <f t="shared" si="22"/>
        <v>0</v>
      </c>
      <c r="CR53" s="112">
        <f t="shared" si="23"/>
        <v>0</v>
      </c>
      <c r="CS53" s="112">
        <f t="shared" si="24"/>
        <v>0</v>
      </c>
      <c r="CT53" s="112">
        <f t="shared" si="54"/>
        <v>0</v>
      </c>
      <c r="CU53" s="124" t="e">
        <f t="shared" si="55"/>
        <v>#DIV/0!</v>
      </c>
      <c r="CV53" s="112">
        <f t="shared" si="25"/>
        <v>0</v>
      </c>
      <c r="CW53" s="112">
        <f t="shared" si="26"/>
        <v>0</v>
      </c>
      <c r="CX53" s="112">
        <f t="shared" si="56"/>
        <v>0</v>
      </c>
      <c r="CY53" s="112">
        <f t="shared" si="27"/>
        <v>0</v>
      </c>
      <c r="CZ53" s="112">
        <f t="shared" si="28"/>
        <v>0</v>
      </c>
      <c r="DA53" s="625"/>
      <c r="DB53" s="128" t="e">
        <f t="shared" si="57"/>
        <v>#DIV/0!</v>
      </c>
      <c r="DC53" s="625"/>
      <c r="DD53" s="625"/>
      <c r="DE53" s="625"/>
      <c r="DF53" s="625"/>
      <c r="DG53" s="618">
        <f t="shared" si="29"/>
        <v>0</v>
      </c>
      <c r="DH53" s="618">
        <f t="shared" si="30"/>
        <v>0</v>
      </c>
      <c r="DI53" s="618">
        <f t="shared" si="31"/>
        <v>0</v>
      </c>
      <c r="DJ53" s="123"/>
    </row>
    <row r="54" spans="1:114" s="13" customFormat="1" ht="60.75" hidden="1" customHeight="1">
      <c r="A54" s="695">
        <f t="shared" si="58"/>
        <v>41</v>
      </c>
      <c r="B54" s="1897"/>
      <c r="C54" s="696" t="s">
        <v>138</v>
      </c>
      <c r="D54" s="696" t="s">
        <v>95</v>
      </c>
      <c r="E54" s="696">
        <v>4611013586</v>
      </c>
      <c r="F54" s="696" t="s">
        <v>8</v>
      </c>
      <c r="G54" s="808" t="s">
        <v>887</v>
      </c>
      <c r="H54" s="697">
        <v>3836.71</v>
      </c>
      <c r="I54" s="697">
        <v>0</v>
      </c>
      <c r="J54" s="697">
        <v>2861.08</v>
      </c>
      <c r="K54" s="697">
        <v>0</v>
      </c>
      <c r="L54" s="697">
        <v>0</v>
      </c>
      <c r="M54" s="698">
        <v>0</v>
      </c>
      <c r="N54" s="700">
        <v>4041.47</v>
      </c>
      <c r="O54" s="698">
        <v>0</v>
      </c>
      <c r="P54" s="698">
        <v>2953.1</v>
      </c>
      <c r="Q54" s="698">
        <v>0</v>
      </c>
      <c r="R54" s="698">
        <v>0</v>
      </c>
      <c r="S54" s="698">
        <v>0</v>
      </c>
      <c r="T54" s="18">
        <v>0</v>
      </c>
      <c r="U54" s="18">
        <v>67.02</v>
      </c>
      <c r="V54" s="18">
        <v>0</v>
      </c>
      <c r="W54" s="18">
        <v>0</v>
      </c>
      <c r="X54" s="18">
        <v>0</v>
      </c>
      <c r="Y54" s="18">
        <v>0</v>
      </c>
      <c r="Z54" s="99">
        <f t="shared" si="34"/>
        <v>67.02</v>
      </c>
      <c r="AA54" s="18">
        <v>0</v>
      </c>
      <c r="AB54" s="18">
        <v>50.27</v>
      </c>
      <c r="AC54" s="18">
        <v>0</v>
      </c>
      <c r="AD54" s="18">
        <v>0</v>
      </c>
      <c r="AE54" s="18">
        <v>0</v>
      </c>
      <c r="AF54" s="18">
        <v>0</v>
      </c>
      <c r="AG54" s="99">
        <f t="shared" si="35"/>
        <v>50.27</v>
      </c>
      <c r="AH54" s="99">
        <f>Z54+AG54</f>
        <v>117.28999999999999</v>
      </c>
      <c r="AI54" s="18">
        <f t="shared" si="64"/>
        <v>0</v>
      </c>
      <c r="AJ54" s="702">
        <f>U54+AB54</f>
        <v>117.28999999999999</v>
      </c>
      <c r="AK54" s="18">
        <f t="shared" si="64"/>
        <v>0</v>
      </c>
      <c r="AL54" s="18">
        <f t="shared" si="64"/>
        <v>0</v>
      </c>
      <c r="AM54" s="18">
        <f t="shared" si="64"/>
        <v>0</v>
      </c>
      <c r="AN54" s="18"/>
      <c r="AO54" s="702">
        <f>SUM(AI54:AN54)</f>
        <v>117.28999999999999</v>
      </c>
      <c r="AP54" s="702">
        <f>SUM(AI54:AM54)</f>
        <v>117.28999999999999</v>
      </c>
      <c r="AQ54" s="29">
        <f>SUM(AI54:AL54)</f>
        <v>117.28999999999999</v>
      </c>
      <c r="AR54" s="99">
        <f t="shared" si="39"/>
        <v>0</v>
      </c>
      <c r="AS54" s="18">
        <f t="shared" si="70"/>
        <v>0</v>
      </c>
      <c r="AT54" s="18">
        <f t="shared" si="70"/>
        <v>335576.07319999998</v>
      </c>
      <c r="AU54" s="18">
        <f t="shared" si="70"/>
        <v>0</v>
      </c>
      <c r="AV54" s="18">
        <f t="shared" si="70"/>
        <v>0</v>
      </c>
      <c r="AW54" s="18">
        <f t="shared" si="70"/>
        <v>0</v>
      </c>
      <c r="AX54" s="18">
        <f t="shared" si="40"/>
        <v>335576.07319999998</v>
      </c>
      <c r="AY54" s="18">
        <f t="shared" si="41"/>
        <v>335576.07319999998</v>
      </c>
      <c r="AZ54" s="18">
        <f t="shared" si="71"/>
        <v>0</v>
      </c>
      <c r="BA54" s="18">
        <f t="shared" si="71"/>
        <v>346369.09899999999</v>
      </c>
      <c r="BB54" s="18">
        <f t="shared" si="71"/>
        <v>0</v>
      </c>
      <c r="BC54" s="18">
        <f t="shared" si="71"/>
        <v>0</v>
      </c>
      <c r="BD54" s="18">
        <f t="shared" si="71"/>
        <v>0</v>
      </c>
      <c r="BE54" s="18">
        <f t="shared" si="42"/>
        <v>346369.09899999999</v>
      </c>
      <c r="BF54" s="18">
        <f t="shared" si="43"/>
        <v>346369.09899999999</v>
      </c>
      <c r="BG54" s="18">
        <v>65.387</v>
      </c>
      <c r="BH54" s="18">
        <v>54.712000000000003</v>
      </c>
      <c r="BI54" s="18">
        <f>BG54+BH54</f>
        <v>120.099</v>
      </c>
      <c r="BJ54" s="29">
        <v>678.89924671218</v>
      </c>
      <c r="BK54" s="29">
        <v>784.2</v>
      </c>
      <c r="BL54" s="18">
        <f t="shared" si="72"/>
        <v>0</v>
      </c>
      <c r="BM54" s="18">
        <f>J54*U54</f>
        <v>191749.58159999998</v>
      </c>
      <c r="BN54" s="18">
        <f t="shared" si="72"/>
        <v>0</v>
      </c>
      <c r="BO54" s="18">
        <f t="shared" si="72"/>
        <v>0</v>
      </c>
      <c r="BP54" s="18">
        <f t="shared" si="72"/>
        <v>0</v>
      </c>
      <c r="BQ54" s="18">
        <f>BL54+BM54+BN54+BO54+BP54</f>
        <v>191749.58159999998</v>
      </c>
      <c r="BR54" s="18">
        <f>BQ54-BP54</f>
        <v>191749.58159999998</v>
      </c>
      <c r="BS54" s="18">
        <f t="shared" si="73"/>
        <v>0</v>
      </c>
      <c r="BT54" s="18">
        <f>P54*AB54</f>
        <v>148452.337</v>
      </c>
      <c r="BU54" s="18">
        <f t="shared" si="73"/>
        <v>0</v>
      </c>
      <c r="BV54" s="18">
        <f t="shared" si="12"/>
        <v>0</v>
      </c>
      <c r="BW54" s="18">
        <f t="shared" si="13"/>
        <v>0</v>
      </c>
      <c r="BX54" s="18">
        <f>BS54+BT54+BU54+BV54+BW54</f>
        <v>148452.337</v>
      </c>
      <c r="BY54" s="18">
        <f>BX54-BW54</f>
        <v>148452.337</v>
      </c>
      <c r="BZ54" s="161">
        <f t="shared" si="48"/>
        <v>340201.91859999998</v>
      </c>
      <c r="CA54" s="161">
        <f t="shared" si="48"/>
        <v>0</v>
      </c>
      <c r="CB54" s="161">
        <f t="shared" si="49"/>
        <v>340201.91859999998</v>
      </c>
      <c r="CC54" s="162">
        <f t="shared" si="50"/>
        <v>2900.5193844317505</v>
      </c>
      <c r="CD54" s="162" t="e">
        <f t="shared" si="50"/>
        <v>#DIV/0!</v>
      </c>
      <c r="CE54" s="162">
        <f t="shared" si="51"/>
        <v>2900.5193844317505</v>
      </c>
      <c r="CF54" s="162">
        <f t="shared" si="14"/>
        <v>2900.5193844317505</v>
      </c>
      <c r="CG54" s="651">
        <f t="shared" si="15"/>
        <v>0</v>
      </c>
      <c r="CH54" s="652">
        <f t="shared" si="52"/>
        <v>0</v>
      </c>
      <c r="CJ54" s="18">
        <f t="shared" si="16"/>
        <v>257.13630419999998</v>
      </c>
      <c r="CK54" s="18">
        <f t="shared" si="17"/>
        <v>203.16469690000002</v>
      </c>
      <c r="CL54" s="18">
        <f t="shared" si="53"/>
        <v>460.30100110000001</v>
      </c>
      <c r="CM54" s="18">
        <f t="shared" si="18"/>
        <v>460301.00109999999</v>
      </c>
      <c r="CN54" s="18">
        <f t="shared" si="19"/>
        <v>335576.07319999998</v>
      </c>
      <c r="CO54" s="18">
        <f t="shared" si="20"/>
        <v>335576.07319999998</v>
      </c>
      <c r="CP54" s="18">
        <f t="shared" si="21"/>
        <v>191749.58159999998</v>
      </c>
      <c r="CQ54" s="18">
        <f t="shared" si="22"/>
        <v>346369.09899999999</v>
      </c>
      <c r="CR54" s="18">
        <f t="shared" si="23"/>
        <v>346369.09899999999</v>
      </c>
      <c r="CS54" s="18">
        <f t="shared" si="24"/>
        <v>148452.337</v>
      </c>
      <c r="CT54" s="18">
        <f t="shared" si="54"/>
        <v>681945.17219999991</v>
      </c>
      <c r="CU54" s="29">
        <f t="shared" si="55"/>
        <v>5814179.9999999991</v>
      </c>
      <c r="CV54" s="18">
        <f t="shared" si="25"/>
        <v>335576.07319999998</v>
      </c>
      <c r="CW54" s="18">
        <f t="shared" si="26"/>
        <v>346369.09899999999</v>
      </c>
      <c r="CX54" s="18">
        <f t="shared" si="56"/>
        <v>681945.17219999991</v>
      </c>
      <c r="CY54" s="18">
        <f t="shared" si="27"/>
        <v>450007.71589999995</v>
      </c>
      <c r="CZ54" s="18">
        <f t="shared" si="28"/>
        <v>474024.01629999996</v>
      </c>
      <c r="DB54" s="653">
        <f t="shared" si="57"/>
        <v>141.25679813217386</v>
      </c>
      <c r="DG54" s="701">
        <f t="shared" si="29"/>
        <v>0</v>
      </c>
      <c r="DH54" s="701">
        <f t="shared" si="30"/>
        <v>0</v>
      </c>
      <c r="DI54" s="701">
        <f t="shared" si="31"/>
        <v>0</v>
      </c>
    </row>
    <row r="55" spans="1:114" s="32" customFormat="1" ht="63.75" customHeight="1">
      <c r="A55" s="20">
        <f t="shared" si="58"/>
        <v>42</v>
      </c>
      <c r="B55" s="1897"/>
      <c r="C55" s="806" t="s">
        <v>97</v>
      </c>
      <c r="D55" s="749" t="s">
        <v>141</v>
      </c>
      <c r="E55" s="617">
        <v>4632024035</v>
      </c>
      <c r="F55" s="806" t="s">
        <v>8</v>
      </c>
      <c r="G55" s="752" t="s">
        <v>890</v>
      </c>
      <c r="H55" s="819">
        <f>2653.36*1.2</f>
        <v>3184.0320000000002</v>
      </c>
      <c r="I55" s="819">
        <f>2653.36*1.2</f>
        <v>3184.0320000000002</v>
      </c>
      <c r="J55" s="38"/>
      <c r="K55" s="38"/>
      <c r="L55" s="819">
        <f>2653.36*1.2</f>
        <v>3184.0320000000002</v>
      </c>
      <c r="M55" s="10"/>
      <c r="N55" s="622">
        <f>2749.3*1.2</f>
        <v>3299.1600000000003</v>
      </c>
      <c r="O55" s="622">
        <f>2749.3*1.2</f>
        <v>3299.1600000000003</v>
      </c>
      <c r="P55" s="10"/>
      <c r="Q55" s="10"/>
      <c r="R55" s="622">
        <f>2749.3*1.2</f>
        <v>3299.1600000000003</v>
      </c>
      <c r="S55" s="10"/>
      <c r="T55" s="178">
        <v>759.99099999999999</v>
      </c>
      <c r="U55" s="16"/>
      <c r="V55" s="227"/>
      <c r="W55" s="16"/>
      <c r="X55" s="16"/>
      <c r="Y55" s="16"/>
      <c r="Z55" s="35">
        <f t="shared" si="34"/>
        <v>759.99099999999999</v>
      </c>
      <c r="AA55" s="178">
        <v>458.29999999999995</v>
      </c>
      <c r="AB55" s="16"/>
      <c r="AC55" s="227"/>
      <c r="AD55" s="16"/>
      <c r="AE55" s="16"/>
      <c r="AF55" s="16"/>
      <c r="AG55" s="35">
        <f t="shared" si="35"/>
        <v>458.29999999999995</v>
      </c>
      <c r="AH55" s="35">
        <f t="shared" si="36"/>
        <v>1218.2909999999999</v>
      </c>
      <c r="AI55" s="15">
        <f t="shared" si="64"/>
        <v>1218.2909999999999</v>
      </c>
      <c r="AJ55" s="15">
        <f t="shared" si="64"/>
        <v>0</v>
      </c>
      <c r="AK55" s="15">
        <f t="shared" si="64"/>
        <v>0</v>
      </c>
      <c r="AL55" s="15">
        <f t="shared" si="64"/>
        <v>0</v>
      </c>
      <c r="AM55" s="15">
        <f t="shared" si="64"/>
        <v>0</v>
      </c>
      <c r="AN55" s="15"/>
      <c r="AO55" s="15">
        <f t="shared" si="7"/>
        <v>1218.2909999999999</v>
      </c>
      <c r="AP55" s="15">
        <f t="shared" si="37"/>
        <v>1218.2909999999999</v>
      </c>
      <c r="AQ55" s="15">
        <f t="shared" si="38"/>
        <v>1218.2909999999999</v>
      </c>
      <c r="AR55" s="127">
        <f t="shared" si="39"/>
        <v>0</v>
      </c>
      <c r="AS55" s="112">
        <f t="shared" si="70"/>
        <v>3879077.5293120001</v>
      </c>
      <c r="AT55" s="112">
        <f t="shared" si="70"/>
        <v>0</v>
      </c>
      <c r="AU55" s="112">
        <f t="shared" si="70"/>
        <v>0</v>
      </c>
      <c r="AV55" s="112">
        <f t="shared" si="70"/>
        <v>0</v>
      </c>
      <c r="AW55" s="112">
        <f t="shared" si="70"/>
        <v>0</v>
      </c>
      <c r="AX55" s="112">
        <f t="shared" si="40"/>
        <v>3879077.5293120001</v>
      </c>
      <c r="AY55" s="112">
        <f t="shared" si="41"/>
        <v>3879077.5293120001</v>
      </c>
      <c r="AZ55" s="112">
        <f t="shared" si="71"/>
        <v>4019336.9355600001</v>
      </c>
      <c r="BA55" s="112">
        <f t="shared" si="71"/>
        <v>0</v>
      </c>
      <c r="BB55" s="112">
        <f t="shared" si="71"/>
        <v>0</v>
      </c>
      <c r="BC55" s="112">
        <f t="shared" si="71"/>
        <v>0</v>
      </c>
      <c r="BD55" s="112">
        <f t="shared" si="71"/>
        <v>0</v>
      </c>
      <c r="BE55" s="112">
        <f t="shared" si="42"/>
        <v>4019336.9355600001</v>
      </c>
      <c r="BF55" s="112">
        <f t="shared" si="43"/>
        <v>4019336.9355600001</v>
      </c>
      <c r="BG55" s="126"/>
      <c r="BH55" s="126"/>
      <c r="BI55" s="112">
        <f>BG55+BH55</f>
        <v>0</v>
      </c>
      <c r="BJ55" s="112"/>
      <c r="BK55" s="112"/>
      <c r="BL55" s="112">
        <f t="shared" si="72"/>
        <v>2419835.663712</v>
      </c>
      <c r="BM55" s="112">
        <f t="shared" si="72"/>
        <v>0</v>
      </c>
      <c r="BN55" s="112">
        <f t="shared" si="72"/>
        <v>0</v>
      </c>
      <c r="BO55" s="112">
        <f t="shared" si="72"/>
        <v>0</v>
      </c>
      <c r="BP55" s="112">
        <f t="shared" si="72"/>
        <v>0</v>
      </c>
      <c r="BQ55" s="112">
        <f t="shared" si="44"/>
        <v>2419835.663712</v>
      </c>
      <c r="BR55" s="112">
        <f t="shared" si="45"/>
        <v>2419835.663712</v>
      </c>
      <c r="BS55" s="112">
        <f t="shared" si="73"/>
        <v>1512005.0279999999</v>
      </c>
      <c r="BT55" s="112">
        <f t="shared" si="73"/>
        <v>0</v>
      </c>
      <c r="BU55" s="112">
        <f t="shared" si="73"/>
        <v>0</v>
      </c>
      <c r="BV55" s="112">
        <f t="shared" si="12"/>
        <v>0</v>
      </c>
      <c r="BW55" s="112">
        <f t="shared" si="13"/>
        <v>0</v>
      </c>
      <c r="BX55" s="112">
        <f t="shared" si="46"/>
        <v>1512005.0279999999</v>
      </c>
      <c r="BY55" s="112">
        <f t="shared" si="47"/>
        <v>1512005.0279999999</v>
      </c>
      <c r="BZ55" s="113">
        <f t="shared" si="48"/>
        <v>0</v>
      </c>
      <c r="CA55" s="113">
        <f t="shared" si="48"/>
        <v>0</v>
      </c>
      <c r="CB55" s="113">
        <f t="shared" si="49"/>
        <v>0</v>
      </c>
      <c r="CC55" s="119" t="e">
        <f t="shared" si="50"/>
        <v>#DIV/0!</v>
      </c>
      <c r="CD55" s="119" t="e">
        <f t="shared" si="50"/>
        <v>#DIV/0!</v>
      </c>
      <c r="CE55" s="119" t="e">
        <f t="shared" si="51"/>
        <v>#DIV/0!</v>
      </c>
      <c r="CF55" s="113" t="e">
        <f t="shared" si="14"/>
        <v>#DIV/0!</v>
      </c>
      <c r="CG55" s="619">
        <f t="shared" si="15"/>
        <v>0</v>
      </c>
      <c r="CH55" s="132" t="e">
        <f t="shared" si="52"/>
        <v>#DIV/0!</v>
      </c>
      <c r="CI55" s="625"/>
      <c r="CJ55" s="208">
        <f t="shared" si="16"/>
        <v>2419.835663712</v>
      </c>
      <c r="CK55" s="208">
        <f t="shared" si="17"/>
        <v>1512.005028</v>
      </c>
      <c r="CL55" s="208">
        <f t="shared" si="53"/>
        <v>3931.8406917120001</v>
      </c>
      <c r="CM55" s="112">
        <f t="shared" si="18"/>
        <v>3931840.6917119999</v>
      </c>
      <c r="CN55" s="112">
        <f t="shared" si="19"/>
        <v>3879077.5293120001</v>
      </c>
      <c r="CO55" s="112">
        <f t="shared" si="20"/>
        <v>3879077.5293120001</v>
      </c>
      <c r="CP55" s="112">
        <f t="shared" si="21"/>
        <v>2419835.663712</v>
      </c>
      <c r="CQ55" s="112">
        <f t="shared" si="22"/>
        <v>4019336.9355600001</v>
      </c>
      <c r="CR55" s="112">
        <f t="shared" si="23"/>
        <v>4019336.9355600001</v>
      </c>
      <c r="CS55" s="112">
        <f t="shared" si="24"/>
        <v>1512005.0279999999</v>
      </c>
      <c r="CT55" s="112">
        <f t="shared" si="54"/>
        <v>7898414.4648720007</v>
      </c>
      <c r="CU55" s="124">
        <f t="shared" si="55"/>
        <v>6483192.0000000009</v>
      </c>
      <c r="CV55" s="112">
        <f t="shared" si="25"/>
        <v>0</v>
      </c>
      <c r="CW55" s="112">
        <f t="shared" si="26"/>
        <v>0</v>
      </c>
      <c r="CX55" s="112">
        <f t="shared" si="56"/>
        <v>0</v>
      </c>
      <c r="CY55" s="112">
        <f t="shared" si="27"/>
        <v>3879077.5293120001</v>
      </c>
      <c r="CZ55" s="112">
        <f t="shared" si="28"/>
        <v>4019336.9355600001</v>
      </c>
      <c r="DA55" s="625"/>
      <c r="DB55" s="128" t="e">
        <f t="shared" si="57"/>
        <v>#DIV/0!</v>
      </c>
      <c r="DC55" s="625"/>
      <c r="DD55" s="625"/>
      <c r="DE55" s="625"/>
      <c r="DF55" s="625"/>
      <c r="DG55" s="618">
        <f t="shared" si="29"/>
        <v>0</v>
      </c>
      <c r="DH55" s="618">
        <f t="shared" si="30"/>
        <v>0</v>
      </c>
      <c r="DI55" s="618">
        <f t="shared" si="31"/>
        <v>0</v>
      </c>
      <c r="DJ55" s="123"/>
    </row>
    <row r="56" spans="1:114" s="32" customFormat="1" ht="63.75" customHeight="1">
      <c r="A56" s="20">
        <f t="shared" si="58"/>
        <v>43</v>
      </c>
      <c r="B56" s="1897"/>
      <c r="C56" s="806" t="s">
        <v>98</v>
      </c>
      <c r="D56" s="749" t="s">
        <v>141</v>
      </c>
      <c r="E56" s="617">
        <v>4632024035</v>
      </c>
      <c r="F56" s="806" t="s">
        <v>8</v>
      </c>
      <c r="G56" s="752" t="s">
        <v>890</v>
      </c>
      <c r="H56" s="819">
        <f>2653.36*1.2</f>
        <v>3184.0320000000002</v>
      </c>
      <c r="I56" s="819">
        <f>2653.36*1.2</f>
        <v>3184.0320000000002</v>
      </c>
      <c r="J56" s="38"/>
      <c r="K56" s="38"/>
      <c r="L56" s="819">
        <f>2653.36*1.2</f>
        <v>3184.0320000000002</v>
      </c>
      <c r="M56" s="10"/>
      <c r="N56" s="622">
        <f>2749.3*1.2</f>
        <v>3299.1600000000003</v>
      </c>
      <c r="O56" s="622">
        <f>2749.3*1.2</f>
        <v>3299.1600000000003</v>
      </c>
      <c r="P56" s="10"/>
      <c r="Q56" s="10"/>
      <c r="R56" s="622">
        <f>2749.3*1.2</f>
        <v>3299.1600000000003</v>
      </c>
      <c r="S56" s="10"/>
      <c r="T56" s="178">
        <v>536.81600000000003</v>
      </c>
      <c r="U56" s="16"/>
      <c r="V56" s="227"/>
      <c r="W56" s="16"/>
      <c r="X56" s="16"/>
      <c r="Y56" s="16"/>
      <c r="Z56" s="35">
        <f t="shared" si="34"/>
        <v>536.81600000000003</v>
      </c>
      <c r="AA56" s="178">
        <v>336.71600000000001</v>
      </c>
      <c r="AB56" s="16"/>
      <c r="AC56" s="227"/>
      <c r="AD56" s="16"/>
      <c r="AE56" s="16"/>
      <c r="AF56" s="16"/>
      <c r="AG56" s="35">
        <f t="shared" si="35"/>
        <v>336.71600000000001</v>
      </c>
      <c r="AH56" s="35">
        <f t="shared" si="36"/>
        <v>873.53200000000004</v>
      </c>
      <c r="AI56" s="15">
        <f t="shared" si="64"/>
        <v>873.53200000000004</v>
      </c>
      <c r="AJ56" s="15">
        <f t="shared" si="64"/>
        <v>0</v>
      </c>
      <c r="AK56" s="15">
        <f t="shared" si="64"/>
        <v>0</v>
      </c>
      <c r="AL56" s="15">
        <f t="shared" si="64"/>
        <v>0</v>
      </c>
      <c r="AM56" s="15">
        <f t="shared" si="64"/>
        <v>0</v>
      </c>
      <c r="AN56" s="15"/>
      <c r="AO56" s="15">
        <f t="shared" si="7"/>
        <v>873.53200000000004</v>
      </c>
      <c r="AP56" s="15">
        <f t="shared" si="37"/>
        <v>873.53200000000004</v>
      </c>
      <c r="AQ56" s="15">
        <f t="shared" si="38"/>
        <v>873.53200000000004</v>
      </c>
      <c r="AR56" s="127">
        <f t="shared" si="39"/>
        <v>0</v>
      </c>
      <c r="AS56" s="112">
        <f t="shared" si="70"/>
        <v>2781353.8410240002</v>
      </c>
      <c r="AT56" s="112">
        <f t="shared" si="70"/>
        <v>0</v>
      </c>
      <c r="AU56" s="112">
        <f t="shared" si="70"/>
        <v>0</v>
      </c>
      <c r="AV56" s="112">
        <f t="shared" si="70"/>
        <v>0</v>
      </c>
      <c r="AW56" s="112">
        <f t="shared" si="70"/>
        <v>0</v>
      </c>
      <c r="AX56" s="112">
        <f t="shared" si="40"/>
        <v>2781353.8410240002</v>
      </c>
      <c r="AY56" s="112">
        <f t="shared" si="41"/>
        <v>2781353.8410240002</v>
      </c>
      <c r="AZ56" s="112">
        <f t="shared" si="71"/>
        <v>2881921.8331200005</v>
      </c>
      <c r="BA56" s="112">
        <f t="shared" si="71"/>
        <v>0</v>
      </c>
      <c r="BB56" s="112">
        <f t="shared" si="71"/>
        <v>0</v>
      </c>
      <c r="BC56" s="112">
        <f t="shared" si="71"/>
        <v>0</v>
      </c>
      <c r="BD56" s="112">
        <f t="shared" si="71"/>
        <v>0</v>
      </c>
      <c r="BE56" s="112">
        <f t="shared" si="42"/>
        <v>2881921.8331200005</v>
      </c>
      <c r="BF56" s="112">
        <f t="shared" si="43"/>
        <v>2881921.8331200005</v>
      </c>
      <c r="BG56" s="126"/>
      <c r="BH56" s="126"/>
      <c r="BI56" s="112">
        <f>BG56+BH56</f>
        <v>0</v>
      </c>
      <c r="BJ56" s="112"/>
      <c r="BK56" s="112"/>
      <c r="BL56" s="112">
        <f t="shared" si="72"/>
        <v>1709239.3221120001</v>
      </c>
      <c r="BM56" s="112">
        <f t="shared" si="72"/>
        <v>0</v>
      </c>
      <c r="BN56" s="112">
        <f t="shared" si="72"/>
        <v>0</v>
      </c>
      <c r="BO56" s="112">
        <f t="shared" si="72"/>
        <v>0</v>
      </c>
      <c r="BP56" s="112">
        <f t="shared" si="72"/>
        <v>0</v>
      </c>
      <c r="BQ56" s="112">
        <f t="shared" si="44"/>
        <v>1709239.3221120001</v>
      </c>
      <c r="BR56" s="112">
        <f t="shared" si="45"/>
        <v>1709239.3221120001</v>
      </c>
      <c r="BS56" s="112">
        <f t="shared" si="73"/>
        <v>1110879.9585600002</v>
      </c>
      <c r="BT56" s="112">
        <f t="shared" si="73"/>
        <v>0</v>
      </c>
      <c r="BU56" s="112">
        <f t="shared" si="73"/>
        <v>0</v>
      </c>
      <c r="BV56" s="112">
        <f t="shared" si="12"/>
        <v>0</v>
      </c>
      <c r="BW56" s="112">
        <f t="shared" si="13"/>
        <v>0</v>
      </c>
      <c r="BX56" s="112">
        <f t="shared" si="46"/>
        <v>1110879.9585600002</v>
      </c>
      <c r="BY56" s="112">
        <f t="shared" si="47"/>
        <v>1110879.9585600002</v>
      </c>
      <c r="BZ56" s="113">
        <f t="shared" si="48"/>
        <v>0</v>
      </c>
      <c r="CA56" s="113">
        <f t="shared" si="48"/>
        <v>0</v>
      </c>
      <c r="CB56" s="113">
        <f t="shared" si="49"/>
        <v>0</v>
      </c>
      <c r="CC56" s="119" t="e">
        <f t="shared" si="50"/>
        <v>#DIV/0!</v>
      </c>
      <c r="CD56" s="119" t="e">
        <f t="shared" si="50"/>
        <v>#DIV/0!</v>
      </c>
      <c r="CE56" s="119" t="e">
        <f t="shared" si="51"/>
        <v>#DIV/0!</v>
      </c>
      <c r="CF56" s="113" t="e">
        <f t="shared" si="14"/>
        <v>#DIV/0!</v>
      </c>
      <c r="CG56" s="619">
        <f t="shared" si="15"/>
        <v>0</v>
      </c>
      <c r="CH56" s="132" t="e">
        <f t="shared" si="52"/>
        <v>#DIV/0!</v>
      </c>
      <c r="CI56" s="625"/>
      <c r="CJ56" s="208">
        <f t="shared" si="16"/>
        <v>1709.2393221120001</v>
      </c>
      <c r="CK56" s="208">
        <f t="shared" si="17"/>
        <v>1110.8799585600002</v>
      </c>
      <c r="CL56" s="208">
        <f t="shared" si="53"/>
        <v>2820.1192806720001</v>
      </c>
      <c r="CM56" s="112">
        <f t="shared" si="18"/>
        <v>2820119.2806720003</v>
      </c>
      <c r="CN56" s="112">
        <f t="shared" si="19"/>
        <v>2781353.8410240002</v>
      </c>
      <c r="CO56" s="112">
        <f t="shared" si="20"/>
        <v>2781353.8410240002</v>
      </c>
      <c r="CP56" s="112">
        <f t="shared" si="21"/>
        <v>1709239.3221120001</v>
      </c>
      <c r="CQ56" s="112">
        <f t="shared" si="22"/>
        <v>2881921.8331200005</v>
      </c>
      <c r="CR56" s="112">
        <f t="shared" si="23"/>
        <v>2881921.8331200005</v>
      </c>
      <c r="CS56" s="112">
        <f t="shared" si="24"/>
        <v>1110879.9585600002</v>
      </c>
      <c r="CT56" s="112">
        <f t="shared" si="54"/>
        <v>5663275.6741440007</v>
      </c>
      <c r="CU56" s="124">
        <f t="shared" si="55"/>
        <v>6483192.0000000009</v>
      </c>
      <c r="CV56" s="112">
        <f t="shared" si="25"/>
        <v>0</v>
      </c>
      <c r="CW56" s="112">
        <f t="shared" si="26"/>
        <v>0</v>
      </c>
      <c r="CX56" s="112">
        <f t="shared" si="56"/>
        <v>0</v>
      </c>
      <c r="CY56" s="112">
        <f t="shared" si="27"/>
        <v>2781353.8410240002</v>
      </c>
      <c r="CZ56" s="112">
        <f t="shared" si="28"/>
        <v>2881921.8331200005</v>
      </c>
      <c r="DA56" s="625"/>
      <c r="DB56" s="128" t="e">
        <f t="shared" si="57"/>
        <v>#DIV/0!</v>
      </c>
      <c r="DC56" s="625"/>
      <c r="DD56" s="625"/>
      <c r="DE56" s="625"/>
      <c r="DF56" s="625"/>
      <c r="DG56" s="618">
        <f t="shared" si="29"/>
        <v>0</v>
      </c>
      <c r="DH56" s="618">
        <f t="shared" si="30"/>
        <v>0</v>
      </c>
      <c r="DI56" s="618">
        <f t="shared" si="31"/>
        <v>0</v>
      </c>
      <c r="DJ56" s="123"/>
    </row>
    <row r="57" spans="1:114" s="13" customFormat="1" ht="57.75" hidden="1" customHeight="1">
      <c r="A57" s="695">
        <f t="shared" si="58"/>
        <v>44</v>
      </c>
      <c r="B57" s="1905"/>
      <c r="C57" s="808" t="s">
        <v>183</v>
      </c>
      <c r="D57" s="696" t="s">
        <v>96</v>
      </c>
      <c r="E57" s="696">
        <v>4611013586</v>
      </c>
      <c r="F57" s="696" t="s">
        <v>8</v>
      </c>
      <c r="G57" s="808" t="s">
        <v>887</v>
      </c>
      <c r="H57" s="697">
        <v>3836.71</v>
      </c>
      <c r="I57" s="697">
        <v>0</v>
      </c>
      <c r="J57" s="697">
        <v>2265.21</v>
      </c>
      <c r="K57" s="697">
        <v>2265.21</v>
      </c>
      <c r="L57" s="697">
        <v>0</v>
      </c>
      <c r="M57" s="698">
        <v>0</v>
      </c>
      <c r="N57" s="700">
        <v>4041.47</v>
      </c>
      <c r="O57" s="698">
        <v>0</v>
      </c>
      <c r="P57" s="698">
        <v>2412.4499999999998</v>
      </c>
      <c r="Q57" s="698">
        <v>2412.4499999999998</v>
      </c>
      <c r="R57" s="698">
        <v>0</v>
      </c>
      <c r="S57" s="698">
        <v>0</v>
      </c>
      <c r="T57" s="18">
        <v>0</v>
      </c>
      <c r="U57" s="18">
        <v>149.66999999999999</v>
      </c>
      <c r="V57" s="702">
        <v>110.8</v>
      </c>
      <c r="W57" s="18">
        <v>0</v>
      </c>
      <c r="X57" s="18">
        <v>0</v>
      </c>
      <c r="Y57" s="13">
        <v>0</v>
      </c>
      <c r="Z57" s="99">
        <f>SUM(T57:W57)</f>
        <v>260.46999999999997</v>
      </c>
      <c r="AA57" s="18">
        <v>0</v>
      </c>
      <c r="AB57" s="18">
        <v>112.91</v>
      </c>
      <c r="AC57" s="29">
        <v>107.2</v>
      </c>
      <c r="AD57" s="18">
        <v>0</v>
      </c>
      <c r="AE57" s="18">
        <v>0</v>
      </c>
      <c r="AF57" s="18">
        <v>0</v>
      </c>
      <c r="AG57" s="99">
        <f>SUM(AA57:AD57)</f>
        <v>220.11</v>
      </c>
      <c r="AH57" s="99">
        <f>Z57+AG57</f>
        <v>480.58</v>
      </c>
      <c r="AI57" s="18">
        <f t="shared" si="64"/>
        <v>0</v>
      </c>
      <c r="AJ57" s="18">
        <f t="shared" si="64"/>
        <v>262.58</v>
      </c>
      <c r="AK57" s="702">
        <f t="shared" si="64"/>
        <v>218</v>
      </c>
      <c r="AL57" s="18">
        <f t="shared" si="64"/>
        <v>0</v>
      </c>
      <c r="AM57" s="18">
        <f t="shared" si="64"/>
        <v>0</v>
      </c>
      <c r="AN57" s="18"/>
      <c r="AO57" s="18">
        <f>SUM(AI57:AN57)</f>
        <v>480.58</v>
      </c>
      <c r="AP57" s="18">
        <f>SUM(AI57:AM57)</f>
        <v>480.58</v>
      </c>
      <c r="AQ57" s="18">
        <f>SUM(AI57:AL57)</f>
        <v>480.58</v>
      </c>
      <c r="AR57" s="99">
        <f t="shared" si="39"/>
        <v>0</v>
      </c>
      <c r="AS57" s="18">
        <f t="shared" si="70"/>
        <v>0</v>
      </c>
      <c r="AT57" s="18">
        <f t="shared" si="70"/>
        <v>594798.84179999994</v>
      </c>
      <c r="AU57" s="18">
        <f t="shared" si="70"/>
        <v>493815.78</v>
      </c>
      <c r="AV57" s="18">
        <f t="shared" si="70"/>
        <v>0</v>
      </c>
      <c r="AW57" s="18">
        <f t="shared" si="70"/>
        <v>0</v>
      </c>
      <c r="AX57" s="18">
        <f t="shared" si="40"/>
        <v>1088614.6217999998</v>
      </c>
      <c r="AY57" s="18">
        <f t="shared" si="41"/>
        <v>1088614.6217999998</v>
      </c>
      <c r="AZ57" s="18">
        <f t="shared" si="71"/>
        <v>0</v>
      </c>
      <c r="BA57" s="18">
        <f t="shared" si="71"/>
        <v>633461.12099999993</v>
      </c>
      <c r="BB57" s="18">
        <f t="shared" si="71"/>
        <v>525914.1</v>
      </c>
      <c r="BC57" s="18">
        <f t="shared" si="71"/>
        <v>0</v>
      </c>
      <c r="BD57" s="18">
        <f t="shared" si="71"/>
        <v>0</v>
      </c>
      <c r="BE57" s="18">
        <f t="shared" si="42"/>
        <v>1159375.2209999999</v>
      </c>
      <c r="BF57" s="18">
        <f t="shared" si="43"/>
        <v>1159375.2209999999</v>
      </c>
      <c r="BG57" s="18">
        <v>409.33</v>
      </c>
      <c r="BH57" s="18">
        <v>358.56299999999999</v>
      </c>
      <c r="BI57" s="18">
        <f t="shared" si="5"/>
        <v>767.89300000000003</v>
      </c>
      <c r="BJ57" s="29">
        <v>2448.1569702342281</v>
      </c>
      <c r="BK57" s="18">
        <v>3255.59</v>
      </c>
      <c r="BL57" s="18">
        <f t="shared" si="72"/>
        <v>0</v>
      </c>
      <c r="BM57" s="18">
        <f>J57*U57</f>
        <v>339033.98069999996</v>
      </c>
      <c r="BN57" s="18">
        <f>K57*V57</f>
        <v>250985.26800000001</v>
      </c>
      <c r="BO57" s="18">
        <f t="shared" si="72"/>
        <v>0</v>
      </c>
      <c r="BP57" s="18">
        <f t="shared" si="72"/>
        <v>0</v>
      </c>
      <c r="BQ57" s="18">
        <f>BL57+BM57+BN57+BO57+BP57</f>
        <v>590019.2487</v>
      </c>
      <c r="BR57" s="18">
        <f>BQ57-BP57</f>
        <v>590019.2487</v>
      </c>
      <c r="BS57" s="18">
        <f t="shared" si="73"/>
        <v>0</v>
      </c>
      <c r="BT57" s="18">
        <f>P57*AB57</f>
        <v>272389.72949999996</v>
      </c>
      <c r="BU57" s="18">
        <f>Q57*AC57</f>
        <v>258614.63999999998</v>
      </c>
      <c r="BV57" s="18">
        <f t="shared" si="12"/>
        <v>0</v>
      </c>
      <c r="BW57" s="18">
        <f t="shared" si="13"/>
        <v>0</v>
      </c>
      <c r="BX57" s="18">
        <f>BS57+BT57+BU57+BV57+BW57</f>
        <v>531004.36949999991</v>
      </c>
      <c r="BY57" s="18">
        <f>BX57-BW57</f>
        <v>531004.36949999991</v>
      </c>
      <c r="BZ57" s="161">
        <f t="shared" si="48"/>
        <v>611423.71019999986</v>
      </c>
      <c r="CA57" s="161">
        <f t="shared" si="48"/>
        <v>509599.908</v>
      </c>
      <c r="CB57" s="161">
        <f t="shared" si="49"/>
        <v>1121023.6181999999</v>
      </c>
      <c r="CC57" s="162">
        <f t="shared" si="50"/>
        <v>2328.523536446035</v>
      </c>
      <c r="CD57" s="162">
        <f t="shared" si="50"/>
        <v>2337.614256880734</v>
      </c>
      <c r="CE57" s="162">
        <f t="shared" si="51"/>
        <v>2332.6472558158889</v>
      </c>
      <c r="CF57" s="162">
        <f t="shared" si="14"/>
        <v>2332.6472558158889</v>
      </c>
      <c r="CG57" s="651">
        <f t="shared" si="15"/>
        <v>0</v>
      </c>
      <c r="CH57" s="652">
        <f t="shared" si="52"/>
        <v>0</v>
      </c>
      <c r="CJ57" s="18">
        <f t="shared" si="16"/>
        <v>999.34785369999986</v>
      </c>
      <c r="CK57" s="18">
        <f t="shared" si="17"/>
        <v>889.56796169999996</v>
      </c>
      <c r="CL57" s="18">
        <f t="shared" si="53"/>
        <v>1888.9158153999997</v>
      </c>
      <c r="CM57" s="18">
        <f t="shared" si="18"/>
        <v>1888915.8153999997</v>
      </c>
      <c r="CN57" s="18">
        <f t="shared" si="19"/>
        <v>1088614.6217999998</v>
      </c>
      <c r="CO57" s="18">
        <f t="shared" si="20"/>
        <v>1088614.6218000001</v>
      </c>
      <c r="CP57" s="18">
        <f t="shared" si="21"/>
        <v>590019.2487</v>
      </c>
      <c r="CQ57" s="18">
        <f t="shared" si="22"/>
        <v>1159375.2209999999</v>
      </c>
      <c r="CR57" s="18">
        <f t="shared" si="23"/>
        <v>1159375.2209999999</v>
      </c>
      <c r="CS57" s="18">
        <f t="shared" si="24"/>
        <v>531004.36949999991</v>
      </c>
      <c r="CT57" s="18">
        <f t="shared" si="54"/>
        <v>2247989.8427999998</v>
      </c>
      <c r="CU57" s="29">
        <f t="shared" si="55"/>
        <v>4677660</v>
      </c>
      <c r="CV57" s="18">
        <f t="shared" si="25"/>
        <v>1088614.6217999998</v>
      </c>
      <c r="CW57" s="18">
        <f t="shared" si="26"/>
        <v>1159375.2209999999</v>
      </c>
      <c r="CX57" s="18">
        <f t="shared" si="56"/>
        <v>2247989.8427999998</v>
      </c>
      <c r="CY57" s="18">
        <f t="shared" si="27"/>
        <v>1843846.0918000001</v>
      </c>
      <c r="CZ57" s="18">
        <f t="shared" si="28"/>
        <v>1942249.6525999999</v>
      </c>
      <c r="DB57" s="653">
        <f t="shared" si="57"/>
        <v>178.41480480838422</v>
      </c>
      <c r="DG57" s="701">
        <f t="shared" si="29"/>
        <v>0</v>
      </c>
      <c r="DH57" s="701">
        <f t="shared" si="30"/>
        <v>0</v>
      </c>
      <c r="DI57" s="701">
        <f t="shared" si="31"/>
        <v>0</v>
      </c>
    </row>
    <row r="58" spans="1:114" s="13" customFormat="1" ht="66.75" hidden="1" customHeight="1">
      <c r="A58" s="695">
        <f t="shared" si="58"/>
        <v>45</v>
      </c>
      <c r="B58" s="1976" t="s">
        <v>19</v>
      </c>
      <c r="C58" s="1065" t="s">
        <v>62</v>
      </c>
      <c r="D58" s="1065" t="s">
        <v>20</v>
      </c>
      <c r="E58" s="706">
        <v>4634008455</v>
      </c>
      <c r="F58" s="696" t="s">
        <v>8</v>
      </c>
      <c r="G58" s="808" t="s">
        <v>883</v>
      </c>
      <c r="H58" s="697">
        <v>735.74</v>
      </c>
      <c r="I58" s="697">
        <v>735.74</v>
      </c>
      <c r="J58" s="697">
        <v>735.74</v>
      </c>
      <c r="K58" s="697">
        <v>735.74</v>
      </c>
      <c r="L58" s="697">
        <v>735.74</v>
      </c>
      <c r="M58" s="697">
        <v>0</v>
      </c>
      <c r="N58" s="742">
        <v>762.98</v>
      </c>
      <c r="O58" s="697">
        <v>762.98</v>
      </c>
      <c r="P58" s="697">
        <v>762.98</v>
      </c>
      <c r="Q58" s="697">
        <v>762.98</v>
      </c>
      <c r="R58" s="697">
        <v>762.98</v>
      </c>
      <c r="S58" s="697">
        <v>0</v>
      </c>
      <c r="T58" s="18">
        <v>2000</v>
      </c>
      <c r="U58" s="18">
        <v>1913.7</v>
      </c>
      <c r="V58" s="18">
        <v>786.3</v>
      </c>
      <c r="W58" s="18">
        <v>10728.5</v>
      </c>
      <c r="X58" s="18"/>
      <c r="Y58" s="18"/>
      <c r="Z58" s="99">
        <f t="shared" si="34"/>
        <v>15428.5</v>
      </c>
      <c r="AA58" s="18">
        <v>1107</v>
      </c>
      <c r="AB58" s="18">
        <v>2003.26</v>
      </c>
      <c r="AC58" s="18">
        <v>933.74</v>
      </c>
      <c r="AD58" s="18">
        <v>9289.5</v>
      </c>
      <c r="AE58" s="18"/>
      <c r="AF58" s="18"/>
      <c r="AG58" s="99">
        <f t="shared" si="35"/>
        <v>13333.5</v>
      </c>
      <c r="AH58" s="99">
        <f t="shared" si="36"/>
        <v>28762</v>
      </c>
      <c r="AI58" s="18">
        <f t="shared" si="64"/>
        <v>3107</v>
      </c>
      <c r="AJ58" s="18">
        <f t="shared" si="64"/>
        <v>3916.96</v>
      </c>
      <c r="AK58" s="18">
        <f t="shared" si="64"/>
        <v>1720.04</v>
      </c>
      <c r="AL58" s="18">
        <f t="shared" si="64"/>
        <v>20018</v>
      </c>
      <c r="AM58" s="18">
        <f t="shared" si="64"/>
        <v>0</v>
      </c>
      <c r="AN58" s="18"/>
      <c r="AO58" s="18">
        <f t="shared" si="7"/>
        <v>28762</v>
      </c>
      <c r="AP58" s="18">
        <f t="shared" si="37"/>
        <v>28762</v>
      </c>
      <c r="AQ58" s="18">
        <f t="shared" si="38"/>
        <v>28762</v>
      </c>
      <c r="AR58" s="99">
        <f t="shared" si="39"/>
        <v>0</v>
      </c>
      <c r="AS58" s="18">
        <f t="shared" si="70"/>
        <v>2285944.1800000002</v>
      </c>
      <c r="AT58" s="18">
        <f t="shared" si="70"/>
        <v>2881864.1504000002</v>
      </c>
      <c r="AU58" s="18">
        <f t="shared" si="70"/>
        <v>1265502.2296</v>
      </c>
      <c r="AV58" s="18">
        <f t="shared" si="70"/>
        <v>14728043.32</v>
      </c>
      <c r="AW58" s="18">
        <f t="shared" si="70"/>
        <v>0</v>
      </c>
      <c r="AX58" s="18">
        <f t="shared" si="40"/>
        <v>21161353.880000003</v>
      </c>
      <c r="AY58" s="18">
        <f t="shared" si="41"/>
        <v>21161353.880000003</v>
      </c>
      <c r="AZ58" s="18">
        <f t="shared" si="71"/>
        <v>2370578.86</v>
      </c>
      <c r="BA58" s="18">
        <f t="shared" si="71"/>
        <v>2988562.1408000002</v>
      </c>
      <c r="BB58" s="18">
        <f t="shared" si="71"/>
        <v>1312356.1192000001</v>
      </c>
      <c r="BC58" s="18">
        <f t="shared" si="71"/>
        <v>15273333.640000001</v>
      </c>
      <c r="BD58" s="18">
        <f t="shared" si="71"/>
        <v>0</v>
      </c>
      <c r="BE58" s="18">
        <f t="shared" si="42"/>
        <v>21944830.760000002</v>
      </c>
      <c r="BF58" s="18">
        <f t="shared" si="43"/>
        <v>21944830.760000002</v>
      </c>
      <c r="BG58" s="18">
        <v>0</v>
      </c>
      <c r="BH58" s="18">
        <v>0</v>
      </c>
      <c r="BI58" s="18">
        <f t="shared" si="5"/>
        <v>0</v>
      </c>
      <c r="BJ58" s="18">
        <v>21524.62</v>
      </c>
      <c r="BK58" s="18">
        <v>26231.3</v>
      </c>
      <c r="BL58" s="18">
        <f t="shared" si="72"/>
        <v>1471480</v>
      </c>
      <c r="BM58" s="18">
        <f t="shared" si="72"/>
        <v>1407985.638</v>
      </c>
      <c r="BN58" s="18">
        <f t="shared" si="72"/>
        <v>578512.36199999996</v>
      </c>
      <c r="BO58" s="18">
        <f t="shared" si="72"/>
        <v>7893386.5899999999</v>
      </c>
      <c r="BP58" s="18">
        <f t="shared" si="72"/>
        <v>0</v>
      </c>
      <c r="BQ58" s="18">
        <f t="shared" si="44"/>
        <v>11351364.59</v>
      </c>
      <c r="BR58" s="18">
        <f t="shared" si="45"/>
        <v>11351364.59</v>
      </c>
      <c r="BS58" s="18">
        <f t="shared" si="73"/>
        <v>844618.86</v>
      </c>
      <c r="BT58" s="18">
        <f t="shared" si="73"/>
        <v>1528447.3148000001</v>
      </c>
      <c r="BU58" s="18">
        <f t="shared" si="73"/>
        <v>712424.94520000007</v>
      </c>
      <c r="BV58" s="18">
        <f t="shared" si="12"/>
        <v>8185630.9300000006</v>
      </c>
      <c r="BW58" s="18">
        <f t="shared" si="13"/>
        <v>0</v>
      </c>
      <c r="BX58" s="18">
        <f t="shared" si="46"/>
        <v>11271122.050000001</v>
      </c>
      <c r="BY58" s="18">
        <f t="shared" si="47"/>
        <v>11271122.050000001</v>
      </c>
      <c r="BZ58" s="161">
        <f t="shared" si="48"/>
        <v>2936432.9528000001</v>
      </c>
      <c r="CA58" s="161">
        <f t="shared" si="48"/>
        <v>1290937.3072000002</v>
      </c>
      <c r="CB58" s="161">
        <f t="shared" si="49"/>
        <v>4227370.26</v>
      </c>
      <c r="CC58" s="162">
        <f t="shared" si="50"/>
        <v>749.67141681303872</v>
      </c>
      <c r="CD58" s="162">
        <f t="shared" si="50"/>
        <v>750.52749191879275</v>
      </c>
      <c r="CE58" s="162">
        <f t="shared" si="51"/>
        <v>749.93263437998928</v>
      </c>
      <c r="CF58" s="162">
        <f t="shared" si="14"/>
        <v>749.93263437998928</v>
      </c>
      <c r="CG58" s="651">
        <f t="shared" si="15"/>
        <v>4227370.26</v>
      </c>
      <c r="CH58" s="652">
        <f t="shared" si="52"/>
        <v>749.93263437998928</v>
      </c>
      <c r="CJ58" s="18">
        <f t="shared" si="16"/>
        <v>11351.364589999999</v>
      </c>
      <c r="CK58" s="18">
        <f t="shared" si="17"/>
        <v>10173.19383</v>
      </c>
      <c r="CL58" s="18">
        <f t="shared" si="53"/>
        <v>21524.558420000001</v>
      </c>
      <c r="CM58" s="18">
        <f t="shared" si="18"/>
        <v>21524558.420000002</v>
      </c>
      <c r="CN58" s="18">
        <f t="shared" si="19"/>
        <v>21161353.880000003</v>
      </c>
      <c r="CO58" s="18">
        <f t="shared" si="20"/>
        <v>21161353.880000003</v>
      </c>
      <c r="CP58" s="18">
        <f t="shared" si="21"/>
        <v>11351364.59</v>
      </c>
      <c r="CQ58" s="18">
        <f t="shared" si="22"/>
        <v>21944830.760000002</v>
      </c>
      <c r="CR58" s="18">
        <f t="shared" si="23"/>
        <v>21944830.759999998</v>
      </c>
      <c r="CS58" s="18">
        <f t="shared" si="24"/>
        <v>10173193.83</v>
      </c>
      <c r="CT58" s="18">
        <f t="shared" si="54"/>
        <v>43106184.640000001</v>
      </c>
      <c r="CU58" s="29">
        <f t="shared" si="55"/>
        <v>1498720</v>
      </c>
      <c r="CV58" s="18">
        <f t="shared" si="25"/>
        <v>4147366.38</v>
      </c>
      <c r="CW58" s="18">
        <f t="shared" si="26"/>
        <v>4300918.26</v>
      </c>
      <c r="CX58" s="18">
        <f t="shared" si="56"/>
        <v>8448284.6400000006</v>
      </c>
      <c r="CY58" s="18">
        <f t="shared" si="27"/>
        <v>21161353.880000003</v>
      </c>
      <c r="CZ58" s="18">
        <f t="shared" si="28"/>
        <v>21944830.760000002</v>
      </c>
      <c r="DB58" s="653">
        <f t="shared" si="57"/>
        <v>103.70239486775219</v>
      </c>
      <c r="DG58" s="701">
        <f t="shared" si="29"/>
        <v>0</v>
      </c>
      <c r="DH58" s="701">
        <f t="shared" si="30"/>
        <v>0</v>
      </c>
      <c r="DI58" s="701">
        <f t="shared" si="31"/>
        <v>0</v>
      </c>
    </row>
    <row r="59" spans="1:114" ht="66.75" hidden="1" customHeight="1">
      <c r="A59" s="20">
        <f t="shared" si="58"/>
        <v>46</v>
      </c>
      <c r="B59" s="1977"/>
      <c r="C59" s="1065" t="s">
        <v>280</v>
      </c>
      <c r="D59" s="1064" t="s">
        <v>255</v>
      </c>
      <c r="E59" s="696">
        <v>4634002573</v>
      </c>
      <c r="F59" s="696" t="s">
        <v>8</v>
      </c>
      <c r="G59" s="696" t="s">
        <v>885</v>
      </c>
      <c r="H59" s="697">
        <v>721.93</v>
      </c>
      <c r="I59" s="743">
        <v>721.93</v>
      </c>
      <c r="J59" s="743">
        <v>721.93</v>
      </c>
      <c r="K59" s="743">
        <v>721.93</v>
      </c>
      <c r="L59" s="743">
        <v>721.93</v>
      </c>
      <c r="M59" s="743">
        <v>0</v>
      </c>
      <c r="N59" s="744">
        <v>748.15</v>
      </c>
      <c r="O59" s="744">
        <v>748.15</v>
      </c>
      <c r="P59" s="744">
        <v>748.15</v>
      </c>
      <c r="Q59" s="744">
        <v>748.15</v>
      </c>
      <c r="R59" s="744">
        <v>748.15</v>
      </c>
      <c r="S59" s="744">
        <v>748.15</v>
      </c>
      <c r="T59" s="18"/>
      <c r="U59" s="18">
        <v>4183.6099999999997</v>
      </c>
      <c r="V59" s="18">
        <f>'[28]2021_ИСХ'!$AI$38*1000</f>
        <v>952.36178180000002</v>
      </c>
      <c r="W59" s="18">
        <v>825.13</v>
      </c>
      <c r="X59" s="18"/>
      <c r="Y59" s="18"/>
      <c r="Z59" s="99">
        <f t="shared" si="34"/>
        <v>5961.1017818</v>
      </c>
      <c r="AA59" s="18"/>
      <c r="AB59" s="18">
        <v>3092.24</v>
      </c>
      <c r="AC59" s="18">
        <f>'[28]2021_ИСХ'!$AL$38*1000</f>
        <v>1070.8874794000001</v>
      </c>
      <c r="AD59" s="18">
        <v>825.13</v>
      </c>
      <c r="AE59" s="18"/>
      <c r="AF59" s="18"/>
      <c r="AG59" s="99">
        <f t="shared" si="35"/>
        <v>4988.2574794000002</v>
      </c>
      <c r="AH59" s="99">
        <f>Z59+AG59</f>
        <v>10949.359261199999</v>
      </c>
      <c r="AI59" s="18">
        <f t="shared" si="64"/>
        <v>0</v>
      </c>
      <c r="AJ59" s="18">
        <f t="shared" si="64"/>
        <v>7275.8499999999995</v>
      </c>
      <c r="AK59" s="18">
        <f t="shared" si="64"/>
        <v>2023.2492612000001</v>
      </c>
      <c r="AL59" s="18">
        <f t="shared" si="64"/>
        <v>1650.26</v>
      </c>
      <c r="AM59" s="18">
        <f t="shared" si="64"/>
        <v>0</v>
      </c>
      <c r="AN59" s="15"/>
      <c r="AO59" s="15">
        <f t="shared" si="7"/>
        <v>10949.359261199999</v>
      </c>
      <c r="AP59" s="15">
        <f t="shared" si="37"/>
        <v>10949.359261199999</v>
      </c>
      <c r="AQ59" s="15">
        <f t="shared" si="38"/>
        <v>10949.359261199999</v>
      </c>
      <c r="AR59" s="654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12">
        <v>0</v>
      </c>
      <c r="BH59" s="112">
        <v>0</v>
      </c>
      <c r="BI59" s="112">
        <f t="shared" si="5"/>
        <v>0</v>
      </c>
      <c r="BJ59" s="112"/>
      <c r="BK59" s="182"/>
      <c r="BL59" s="182"/>
      <c r="BM59" s="182"/>
      <c r="BN59" s="182"/>
      <c r="BO59" s="182"/>
      <c r="BP59" s="182"/>
      <c r="BQ59" s="182"/>
      <c r="BR59" s="182"/>
      <c r="BS59" s="182"/>
      <c r="BT59" s="182"/>
      <c r="BU59" s="182"/>
      <c r="BV59" s="182"/>
      <c r="BW59" s="182"/>
      <c r="BX59" s="182"/>
      <c r="BY59" s="182"/>
      <c r="BZ59" s="183"/>
      <c r="CA59" s="183"/>
      <c r="CB59" s="183"/>
      <c r="CC59" s="184"/>
      <c r="CD59" s="184"/>
      <c r="CE59" s="184"/>
      <c r="CF59" s="184"/>
      <c r="CG59" s="655"/>
      <c r="CH59" s="656"/>
      <c r="CI59" s="185"/>
      <c r="CJ59" s="112">
        <f t="shared" si="16"/>
        <v>4303.4982093348735</v>
      </c>
      <c r="CK59" s="112">
        <f t="shared" si="17"/>
        <v>3731.9648332131101</v>
      </c>
      <c r="CL59" s="112">
        <f t="shared" si="53"/>
        <v>8035.4630425479836</v>
      </c>
      <c r="CM59" s="112">
        <f t="shared" si="18"/>
        <v>8035463.042547984</v>
      </c>
      <c r="CN59" s="112">
        <f t="shared" si="19"/>
        <v>7904670.9314381145</v>
      </c>
      <c r="CO59" s="112">
        <f t="shared" si="20"/>
        <v>7904670.9314381145</v>
      </c>
      <c r="CP59" s="112">
        <f t="shared" si="21"/>
        <v>4303498.2093348736</v>
      </c>
      <c r="CQ59" s="112">
        <f t="shared" si="22"/>
        <v>8191763.1312667783</v>
      </c>
      <c r="CR59" s="112">
        <f t="shared" si="23"/>
        <v>8191763.1312667783</v>
      </c>
      <c r="CS59" s="112">
        <f t="shared" si="24"/>
        <v>3731964.8332131095</v>
      </c>
      <c r="CT59" s="112">
        <f t="shared" si="54"/>
        <v>16096434.062704893</v>
      </c>
      <c r="CU59" s="124">
        <f t="shared" si="55"/>
        <v>1470079.9999999998</v>
      </c>
      <c r="CV59" s="112">
        <f t="shared" si="25"/>
        <v>6713298.7296381146</v>
      </c>
      <c r="CW59" s="112">
        <f t="shared" si="26"/>
        <v>6957121.1122667789</v>
      </c>
      <c r="CX59" s="112">
        <f t="shared" si="56"/>
        <v>13670419.841904894</v>
      </c>
      <c r="CY59" s="112">
        <f t="shared" si="27"/>
        <v>7904670.9314381145</v>
      </c>
      <c r="CZ59" s="112">
        <f t="shared" si="28"/>
        <v>8191763.1312667783</v>
      </c>
      <c r="DA59" s="106"/>
      <c r="DB59" s="128"/>
      <c r="DC59" s="106"/>
      <c r="DD59" s="106"/>
      <c r="DE59" s="106"/>
      <c r="DF59" s="106"/>
      <c r="DG59" s="618">
        <f t="shared" si="29"/>
        <v>0</v>
      </c>
      <c r="DH59" s="618">
        <f t="shared" si="30"/>
        <v>0</v>
      </c>
      <c r="DI59" s="618">
        <f t="shared" si="31"/>
        <v>0</v>
      </c>
      <c r="DJ59" s="106"/>
    </row>
    <row r="60" spans="1:114" s="21" customFormat="1" ht="63.75" customHeight="1">
      <c r="A60" s="20">
        <f t="shared" si="58"/>
        <v>47</v>
      </c>
      <c r="B60" s="1978"/>
      <c r="C60" s="811" t="s">
        <v>99</v>
      </c>
      <c r="D60" s="750" t="s">
        <v>141</v>
      </c>
      <c r="E60" s="617">
        <v>4632024035</v>
      </c>
      <c r="F60" s="5" t="s">
        <v>8</v>
      </c>
      <c r="G60" s="752" t="s">
        <v>890</v>
      </c>
      <c r="H60" s="819">
        <f t="shared" ref="H60:I63" si="74">2653.36*1.2</f>
        <v>3184.0320000000002</v>
      </c>
      <c r="I60" s="819">
        <f t="shared" si="74"/>
        <v>3184.0320000000002</v>
      </c>
      <c r="J60" s="38">
        <v>2498.12</v>
      </c>
      <c r="K60" s="38"/>
      <c r="L60" s="819">
        <f t="shared" ref="L60:L67" si="75">2653.36*1.2</f>
        <v>3184.0320000000002</v>
      </c>
      <c r="M60" s="607"/>
      <c r="N60" s="622">
        <f t="shared" ref="N60:O63" si="76">2749.3*1.2</f>
        <v>3299.1600000000003</v>
      </c>
      <c r="O60" s="622">
        <f t="shared" si="76"/>
        <v>3299.1600000000003</v>
      </c>
      <c r="P60" s="38">
        <v>2660.25</v>
      </c>
      <c r="Q60" s="38"/>
      <c r="R60" s="622">
        <f t="shared" ref="R60:R67" si="77">2749.3*1.2</f>
        <v>3299.1600000000003</v>
      </c>
      <c r="S60" s="607"/>
      <c r="T60" s="657">
        <v>2666.93</v>
      </c>
      <c r="U60" s="658">
        <v>8466.1959999999999</v>
      </c>
      <c r="V60" s="659"/>
      <c r="W60" s="658"/>
      <c r="X60" s="658"/>
      <c r="Y60" s="658"/>
      <c r="Z60" s="178">
        <f t="shared" si="34"/>
        <v>11133.126</v>
      </c>
      <c r="AA60" s="657">
        <v>1629.827</v>
      </c>
      <c r="AB60" s="658">
        <v>6349.6469999999999</v>
      </c>
      <c r="AC60" s="659"/>
      <c r="AD60" s="658"/>
      <c r="AE60" s="658"/>
      <c r="AF60" s="658"/>
      <c r="AG60" s="178">
        <f t="shared" si="35"/>
        <v>7979.4740000000002</v>
      </c>
      <c r="AH60" s="178">
        <f t="shared" si="36"/>
        <v>19112.599999999999</v>
      </c>
      <c r="AI60" s="16">
        <f t="shared" si="64"/>
        <v>4296.7569999999996</v>
      </c>
      <c r="AJ60" s="16">
        <f t="shared" si="64"/>
        <v>14815.843000000001</v>
      </c>
      <c r="AK60" s="16">
        <f t="shared" si="64"/>
        <v>0</v>
      </c>
      <c r="AL60" s="16">
        <f t="shared" si="64"/>
        <v>0</v>
      </c>
      <c r="AM60" s="16">
        <f t="shared" si="64"/>
        <v>0</v>
      </c>
      <c r="AN60" s="16"/>
      <c r="AO60" s="16">
        <f t="shared" si="7"/>
        <v>19112.599999999999</v>
      </c>
      <c r="AP60" s="16">
        <f t="shared" si="37"/>
        <v>19112.599999999999</v>
      </c>
      <c r="AQ60" s="16">
        <f t="shared" si="38"/>
        <v>19112.599999999999</v>
      </c>
      <c r="AR60" s="127">
        <f t="shared" si="39"/>
        <v>0</v>
      </c>
      <c r="AS60" s="112">
        <f t="shared" si="70"/>
        <v>13681011.784224</v>
      </c>
      <c r="AT60" s="112">
        <f t="shared" si="70"/>
        <v>37011753.715159997</v>
      </c>
      <c r="AU60" s="112">
        <f t="shared" si="70"/>
        <v>0</v>
      </c>
      <c r="AV60" s="112">
        <f t="shared" si="70"/>
        <v>0</v>
      </c>
      <c r="AW60" s="112">
        <f t="shared" si="70"/>
        <v>0</v>
      </c>
      <c r="AX60" s="112">
        <f t="shared" si="40"/>
        <v>50692765.499384001</v>
      </c>
      <c r="AY60" s="112">
        <f t="shared" si="41"/>
        <v>50692765.499384001</v>
      </c>
      <c r="AZ60" s="112">
        <f t="shared" si="71"/>
        <v>14175688.82412</v>
      </c>
      <c r="BA60" s="112">
        <f t="shared" si="71"/>
        <v>39413846.340750001</v>
      </c>
      <c r="BB60" s="112">
        <f t="shared" si="71"/>
        <v>0</v>
      </c>
      <c r="BC60" s="112">
        <f t="shared" si="71"/>
        <v>0</v>
      </c>
      <c r="BD60" s="112">
        <f t="shared" si="71"/>
        <v>0</v>
      </c>
      <c r="BE60" s="112">
        <f t="shared" si="42"/>
        <v>53589535.164870001</v>
      </c>
      <c r="BF60" s="112">
        <f t="shared" si="43"/>
        <v>53589535.164870001</v>
      </c>
      <c r="BG60" s="623">
        <f>(I60-J60)/1.2*U60/1000</f>
        <v>4839.2211922933357</v>
      </c>
      <c r="BH60" s="624">
        <f>(O60-P60)/1.2*AB60/1000</f>
        <v>3380.7108039750019</v>
      </c>
      <c r="BI60" s="623">
        <f t="shared" si="5"/>
        <v>8219.9319962683367</v>
      </c>
      <c r="BJ60" s="169"/>
      <c r="BK60" s="169"/>
      <c r="BL60" s="112">
        <f t="shared" si="72"/>
        <v>8491590.4617599994</v>
      </c>
      <c r="BM60" s="112">
        <f t="shared" si="72"/>
        <v>21149573.551519997</v>
      </c>
      <c r="BN60" s="112">
        <f t="shared" si="72"/>
        <v>0</v>
      </c>
      <c r="BO60" s="112">
        <f t="shared" si="72"/>
        <v>0</v>
      </c>
      <c r="BP60" s="112">
        <f t="shared" si="72"/>
        <v>0</v>
      </c>
      <c r="BQ60" s="112">
        <f t="shared" si="44"/>
        <v>29641164.013279997</v>
      </c>
      <c r="BR60" s="112">
        <f t="shared" si="45"/>
        <v>29641164.013279997</v>
      </c>
      <c r="BS60" s="112">
        <f t="shared" si="73"/>
        <v>5377060.0453200005</v>
      </c>
      <c r="BT60" s="112">
        <f t="shared" si="73"/>
        <v>16891648.43175</v>
      </c>
      <c r="BU60" s="112">
        <f t="shared" si="73"/>
        <v>0</v>
      </c>
      <c r="BV60" s="112">
        <f t="shared" si="12"/>
        <v>0</v>
      </c>
      <c r="BW60" s="112">
        <f t="shared" si="13"/>
        <v>0</v>
      </c>
      <c r="BX60" s="112">
        <f t="shared" si="46"/>
        <v>22268708.47707</v>
      </c>
      <c r="BY60" s="112">
        <f t="shared" si="47"/>
        <v>22268708.47707</v>
      </c>
      <c r="BZ60" s="113">
        <f t="shared" si="48"/>
        <v>38041221.983269997</v>
      </c>
      <c r="CA60" s="113">
        <f t="shared" si="48"/>
        <v>0</v>
      </c>
      <c r="CB60" s="113">
        <f t="shared" si="49"/>
        <v>38041221.983269997</v>
      </c>
      <c r="CC60" s="119">
        <f t="shared" si="50"/>
        <v>2567.6042857142852</v>
      </c>
      <c r="CD60" s="119" t="e">
        <f t="shared" si="50"/>
        <v>#DIV/0!</v>
      </c>
      <c r="CE60" s="119">
        <f t="shared" si="51"/>
        <v>2567.6042857142852</v>
      </c>
      <c r="CF60" s="119">
        <f t="shared" si="14"/>
        <v>2567.6042857142852</v>
      </c>
      <c r="CG60" s="619">
        <f t="shared" si="15"/>
        <v>47905140.378792003</v>
      </c>
      <c r="CH60" s="132">
        <f t="shared" si="52"/>
        <v>3233.3725714285715</v>
      </c>
      <c r="CI60" s="171"/>
      <c r="CJ60" s="208">
        <f t="shared" si="16"/>
        <v>35448.229444032004</v>
      </c>
      <c r="CK60" s="208">
        <f t="shared" si="17"/>
        <v>26325.561441840004</v>
      </c>
      <c r="CL60" s="208">
        <f t="shared" si="53"/>
        <v>61773.790885872004</v>
      </c>
      <c r="CM60" s="112">
        <f t="shared" si="18"/>
        <v>61773790.885872006</v>
      </c>
      <c r="CN60" s="112">
        <f t="shared" si="19"/>
        <v>50692765.499384001</v>
      </c>
      <c r="CO60" s="112">
        <f t="shared" si="20"/>
        <v>50692765.499384001</v>
      </c>
      <c r="CP60" s="112">
        <f t="shared" si="21"/>
        <v>29641164.013279997</v>
      </c>
      <c r="CQ60" s="112">
        <f t="shared" si="22"/>
        <v>53589535.164870001</v>
      </c>
      <c r="CR60" s="112">
        <f t="shared" si="23"/>
        <v>53589535.164870001</v>
      </c>
      <c r="CS60" s="112">
        <f t="shared" si="24"/>
        <v>22268708.47707</v>
      </c>
      <c r="CT60" s="112">
        <f t="shared" si="54"/>
        <v>104282300.66425401</v>
      </c>
      <c r="CU60" s="124">
        <f t="shared" si="55"/>
        <v>5456206.9349148739</v>
      </c>
      <c r="CV60" s="112">
        <f t="shared" si="25"/>
        <v>37011753.715159997</v>
      </c>
      <c r="CW60" s="112">
        <f t="shared" si="26"/>
        <v>39413846.340750001</v>
      </c>
      <c r="CX60" s="112">
        <f t="shared" si="56"/>
        <v>76425600.055909991</v>
      </c>
      <c r="CY60" s="112">
        <f t="shared" si="27"/>
        <v>60855130.003200009</v>
      </c>
      <c r="CZ60" s="112">
        <f t="shared" si="28"/>
        <v>63055525.416000009</v>
      </c>
      <c r="DA60" s="171"/>
      <c r="DB60" s="128">
        <f t="shared" si="57"/>
        <v>132.06571341648922</v>
      </c>
      <c r="DC60" s="171"/>
      <c r="DD60" s="171"/>
      <c r="DE60" s="171"/>
      <c r="DF60" s="171"/>
      <c r="DG60" s="618">
        <f t="shared" si="29"/>
        <v>0</v>
      </c>
      <c r="DH60" s="618">
        <f t="shared" si="30"/>
        <v>0</v>
      </c>
      <c r="DI60" s="618">
        <f t="shared" si="31"/>
        <v>0</v>
      </c>
      <c r="DJ60" s="125"/>
    </row>
    <row r="61" spans="1:114" s="32" customFormat="1" ht="63.75" customHeight="1">
      <c r="A61" s="20">
        <f t="shared" si="58"/>
        <v>48</v>
      </c>
      <c r="B61" s="1897" t="s">
        <v>21</v>
      </c>
      <c r="C61" s="804" t="s">
        <v>67</v>
      </c>
      <c r="D61" s="749" t="s">
        <v>141</v>
      </c>
      <c r="E61" s="617">
        <v>4632024035</v>
      </c>
      <c r="F61" s="806" t="s">
        <v>8</v>
      </c>
      <c r="G61" s="752" t="s">
        <v>890</v>
      </c>
      <c r="H61" s="819">
        <f t="shared" si="74"/>
        <v>3184.0320000000002</v>
      </c>
      <c r="I61" s="819">
        <f t="shared" si="74"/>
        <v>3184.0320000000002</v>
      </c>
      <c r="J61" s="38">
        <v>2103.35</v>
      </c>
      <c r="K61" s="38"/>
      <c r="L61" s="819">
        <f t="shared" si="75"/>
        <v>3184.0320000000002</v>
      </c>
      <c r="M61" s="607"/>
      <c r="N61" s="622">
        <f t="shared" si="76"/>
        <v>3299.1600000000003</v>
      </c>
      <c r="O61" s="622">
        <f t="shared" si="76"/>
        <v>3299.1600000000003</v>
      </c>
      <c r="P61" s="38">
        <v>2239.86</v>
      </c>
      <c r="Q61" s="38"/>
      <c r="R61" s="622">
        <f t="shared" si="77"/>
        <v>3299.1600000000003</v>
      </c>
      <c r="S61" s="607"/>
      <c r="T61" s="649">
        <v>7454.027</v>
      </c>
      <c r="U61" s="660">
        <v>9483.7219999999998</v>
      </c>
      <c r="V61" s="661"/>
      <c r="W61" s="662"/>
      <c r="X61" s="662"/>
      <c r="Y61" s="662"/>
      <c r="Z61" s="178">
        <f t="shared" si="34"/>
        <v>16937.749</v>
      </c>
      <c r="AA61" s="657">
        <v>4714.1260000000002</v>
      </c>
      <c r="AB61" s="662">
        <v>7112.7920000000004</v>
      </c>
      <c r="AC61" s="661"/>
      <c r="AD61" s="662"/>
      <c r="AE61" s="662"/>
      <c r="AF61" s="662"/>
      <c r="AG61" s="178">
        <f t="shared" si="35"/>
        <v>11826.918000000001</v>
      </c>
      <c r="AH61" s="178">
        <f t="shared" si="36"/>
        <v>28764.667000000001</v>
      </c>
      <c r="AI61" s="16">
        <f t="shared" si="64"/>
        <v>12168.153</v>
      </c>
      <c r="AJ61" s="16">
        <f t="shared" si="64"/>
        <v>16596.513999999999</v>
      </c>
      <c r="AK61" s="16">
        <f t="shared" si="64"/>
        <v>0</v>
      </c>
      <c r="AL61" s="16">
        <f t="shared" si="64"/>
        <v>0</v>
      </c>
      <c r="AM61" s="16">
        <f t="shared" si="64"/>
        <v>0</v>
      </c>
      <c r="AN61" s="16"/>
      <c r="AO61" s="16">
        <f t="shared" si="7"/>
        <v>28764.667000000001</v>
      </c>
      <c r="AP61" s="16">
        <f t="shared" si="37"/>
        <v>28764.667000000001</v>
      </c>
      <c r="AQ61" s="16">
        <f t="shared" si="38"/>
        <v>28764.667000000001</v>
      </c>
      <c r="AR61" s="127">
        <f t="shared" si="39"/>
        <v>0</v>
      </c>
      <c r="AS61" s="112">
        <f t="shared" si="70"/>
        <v>38743788.532896005</v>
      </c>
      <c r="AT61" s="112">
        <f t="shared" si="70"/>
        <v>34908277.721899994</v>
      </c>
      <c r="AU61" s="112">
        <f t="shared" si="70"/>
        <v>0</v>
      </c>
      <c r="AV61" s="112">
        <f t="shared" si="70"/>
        <v>0</v>
      </c>
      <c r="AW61" s="112">
        <f t="shared" si="70"/>
        <v>0</v>
      </c>
      <c r="AX61" s="112">
        <f t="shared" si="40"/>
        <v>73652066.254795998</v>
      </c>
      <c r="AY61" s="112">
        <f t="shared" si="41"/>
        <v>73652066.254795998</v>
      </c>
      <c r="AZ61" s="112">
        <f t="shared" si="71"/>
        <v>40144683.651480004</v>
      </c>
      <c r="BA61" s="112">
        <f t="shared" si="71"/>
        <v>37173867.84804</v>
      </c>
      <c r="BB61" s="112">
        <f t="shared" si="71"/>
        <v>0</v>
      </c>
      <c r="BC61" s="112">
        <f t="shared" si="71"/>
        <v>0</v>
      </c>
      <c r="BD61" s="112">
        <f t="shared" si="71"/>
        <v>0</v>
      </c>
      <c r="BE61" s="112">
        <f t="shared" si="42"/>
        <v>77318551.499520004</v>
      </c>
      <c r="BF61" s="112">
        <f t="shared" si="43"/>
        <v>77318551.499520004</v>
      </c>
      <c r="BG61" s="623">
        <f>(I61-J61)/1.2*U61/1000</f>
        <v>8540.7397153366692</v>
      </c>
      <c r="BH61" s="624">
        <f>(O61-P61)/1.2*AB61/1000</f>
        <v>6278.8171380000022</v>
      </c>
      <c r="BI61" s="623">
        <f t="shared" si="5"/>
        <v>14819.556853336671</v>
      </c>
      <c r="BJ61" s="169"/>
      <c r="BK61" s="169"/>
      <c r="BL61" s="112">
        <f t="shared" si="72"/>
        <v>23733860.496864002</v>
      </c>
      <c r="BM61" s="112">
        <f t="shared" si="72"/>
        <v>19947586.668699998</v>
      </c>
      <c r="BN61" s="112">
        <f t="shared" si="72"/>
        <v>0</v>
      </c>
      <c r="BO61" s="112">
        <f t="shared" si="72"/>
        <v>0</v>
      </c>
      <c r="BP61" s="112">
        <f t="shared" si="72"/>
        <v>0</v>
      </c>
      <c r="BQ61" s="112">
        <f t="shared" si="44"/>
        <v>43681447.165564001</v>
      </c>
      <c r="BR61" s="112">
        <f t="shared" si="45"/>
        <v>43681447.165564001</v>
      </c>
      <c r="BS61" s="112">
        <f t="shared" si="73"/>
        <v>15552655.934160002</v>
      </c>
      <c r="BT61" s="112">
        <f t="shared" si="73"/>
        <v>15931658.289120002</v>
      </c>
      <c r="BU61" s="112">
        <f t="shared" si="73"/>
        <v>0</v>
      </c>
      <c r="BV61" s="112">
        <f t="shared" si="12"/>
        <v>0</v>
      </c>
      <c r="BW61" s="112">
        <f t="shared" si="13"/>
        <v>0</v>
      </c>
      <c r="BX61" s="112">
        <f t="shared" si="46"/>
        <v>31484314.223280005</v>
      </c>
      <c r="BY61" s="112">
        <f t="shared" si="47"/>
        <v>31484314.223280005</v>
      </c>
      <c r="BZ61" s="113">
        <f t="shared" si="48"/>
        <v>35879244.957819998</v>
      </c>
      <c r="CA61" s="113">
        <f t="shared" si="48"/>
        <v>0</v>
      </c>
      <c r="CB61" s="113">
        <f t="shared" si="49"/>
        <v>35879244.957819998</v>
      </c>
      <c r="CC61" s="119">
        <f t="shared" si="50"/>
        <v>2161.854288064349</v>
      </c>
      <c r="CD61" s="119" t="e">
        <f t="shared" si="50"/>
        <v>#DIV/0!</v>
      </c>
      <c r="CE61" s="119">
        <f t="shared" si="51"/>
        <v>2161.854288064349</v>
      </c>
      <c r="CF61" s="119">
        <f t="shared" si="14"/>
        <v>2161.854288064349</v>
      </c>
      <c r="CG61" s="619">
        <f t="shared" si="15"/>
        <v>53662713.181824006</v>
      </c>
      <c r="CH61" s="132">
        <f t="shared" si="52"/>
        <v>3233.3725734105374</v>
      </c>
      <c r="CI61" s="625"/>
      <c r="CJ61" s="208">
        <f t="shared" si="16"/>
        <v>53930.334823967998</v>
      </c>
      <c r="CK61" s="208">
        <f t="shared" si="17"/>
        <v>39018.894788880003</v>
      </c>
      <c r="CL61" s="208">
        <f t="shared" si="53"/>
        <v>92949.229612847994</v>
      </c>
      <c r="CM61" s="112">
        <f t="shared" si="18"/>
        <v>92949229.612848014</v>
      </c>
      <c r="CN61" s="112">
        <f t="shared" si="19"/>
        <v>73652066.254795998</v>
      </c>
      <c r="CO61" s="112">
        <f t="shared" si="20"/>
        <v>73652066.254795998</v>
      </c>
      <c r="CP61" s="112">
        <f t="shared" si="21"/>
        <v>43681447.165564001</v>
      </c>
      <c r="CQ61" s="112">
        <f t="shared" si="22"/>
        <v>77318551.499520004</v>
      </c>
      <c r="CR61" s="112">
        <f t="shared" si="23"/>
        <v>77318551.499520004</v>
      </c>
      <c r="CS61" s="112">
        <f t="shared" si="24"/>
        <v>31484314.223280005</v>
      </c>
      <c r="CT61" s="112">
        <f t="shared" si="54"/>
        <v>150970617.754316</v>
      </c>
      <c r="CU61" s="124">
        <f t="shared" si="55"/>
        <v>5248474.3784559024</v>
      </c>
      <c r="CV61" s="112">
        <f t="shared" si="25"/>
        <v>34908277.721899994</v>
      </c>
      <c r="CW61" s="112">
        <f t="shared" si="26"/>
        <v>37173867.84804</v>
      </c>
      <c r="CX61" s="112">
        <f t="shared" si="56"/>
        <v>72082145.569940001</v>
      </c>
      <c r="CY61" s="112">
        <f t="shared" si="27"/>
        <v>91587620.197344005</v>
      </c>
      <c r="CZ61" s="112">
        <f t="shared" si="28"/>
        <v>94899238.779720008</v>
      </c>
      <c r="DA61" s="625"/>
      <c r="DB61" s="128">
        <f t="shared" si="57"/>
        <v>156.8526398364514</v>
      </c>
      <c r="DC61" s="625"/>
      <c r="DD61" s="625"/>
      <c r="DE61" s="625"/>
      <c r="DF61" s="625"/>
      <c r="DG61" s="618">
        <f t="shared" si="29"/>
        <v>0</v>
      </c>
      <c r="DH61" s="618">
        <f t="shared" si="30"/>
        <v>0</v>
      </c>
      <c r="DI61" s="618">
        <f t="shared" si="31"/>
        <v>0</v>
      </c>
      <c r="DJ61" s="123"/>
    </row>
    <row r="62" spans="1:114" s="153" customFormat="1" ht="63.75" customHeight="1">
      <c r="A62" s="20">
        <f t="shared" si="58"/>
        <v>49</v>
      </c>
      <c r="B62" s="1969"/>
      <c r="C62" s="806" t="s">
        <v>100</v>
      </c>
      <c r="D62" s="749" t="s">
        <v>141</v>
      </c>
      <c r="E62" s="617">
        <v>4632024035</v>
      </c>
      <c r="F62" s="806" t="s">
        <v>8</v>
      </c>
      <c r="G62" s="752" t="s">
        <v>890</v>
      </c>
      <c r="H62" s="819">
        <f t="shared" si="74"/>
        <v>3184.0320000000002</v>
      </c>
      <c r="I62" s="819">
        <f t="shared" si="74"/>
        <v>3184.0320000000002</v>
      </c>
      <c r="J62" s="38">
        <v>2732.57</v>
      </c>
      <c r="K62" s="38"/>
      <c r="L62" s="819">
        <f t="shared" si="75"/>
        <v>3184.0320000000002</v>
      </c>
      <c r="M62" s="604"/>
      <c r="N62" s="622">
        <f t="shared" si="76"/>
        <v>3299.1600000000003</v>
      </c>
      <c r="O62" s="622">
        <f t="shared" si="76"/>
        <v>3299.1600000000003</v>
      </c>
      <c r="P62" s="38">
        <v>2896.52</v>
      </c>
      <c r="Q62" s="603"/>
      <c r="R62" s="622">
        <f t="shared" si="77"/>
        <v>3299.1600000000003</v>
      </c>
      <c r="S62" s="604"/>
      <c r="T62" s="663">
        <v>503.40499999999997</v>
      </c>
      <c r="U62" s="664">
        <v>1357.9</v>
      </c>
      <c r="V62" s="665"/>
      <c r="W62" s="664"/>
      <c r="X62" s="664"/>
      <c r="Y62" s="664"/>
      <c r="Z62" s="620">
        <f t="shared" si="34"/>
        <v>1861.3050000000001</v>
      </c>
      <c r="AA62" s="663">
        <v>292.32</v>
      </c>
      <c r="AB62" s="664">
        <v>1018.4</v>
      </c>
      <c r="AC62" s="665"/>
      <c r="AD62" s="664"/>
      <c r="AE62" s="664"/>
      <c r="AF62" s="664"/>
      <c r="AG62" s="620">
        <f t="shared" si="35"/>
        <v>1310.72</v>
      </c>
      <c r="AH62" s="620">
        <f t="shared" si="36"/>
        <v>3172.0250000000001</v>
      </c>
      <c r="AI62" s="606">
        <f t="shared" si="64"/>
        <v>795.72499999999991</v>
      </c>
      <c r="AJ62" s="606">
        <f t="shared" si="64"/>
        <v>2376.3000000000002</v>
      </c>
      <c r="AK62" s="606">
        <f t="shared" si="64"/>
        <v>0</v>
      </c>
      <c r="AL62" s="606">
        <f t="shared" si="64"/>
        <v>0</v>
      </c>
      <c r="AM62" s="606">
        <f t="shared" si="64"/>
        <v>0</v>
      </c>
      <c r="AN62" s="606"/>
      <c r="AO62" s="606">
        <f t="shared" si="7"/>
        <v>3172.0250000000001</v>
      </c>
      <c r="AP62" s="606">
        <f t="shared" si="37"/>
        <v>3172.0250000000001</v>
      </c>
      <c r="AQ62" s="606">
        <f t="shared" si="38"/>
        <v>3172.0250000000001</v>
      </c>
      <c r="AR62" s="127">
        <f t="shared" si="39"/>
        <v>0</v>
      </c>
      <c r="AS62" s="112">
        <f t="shared" si="70"/>
        <v>2533613.8632</v>
      </c>
      <c r="AT62" s="112">
        <f t="shared" si="70"/>
        <v>6493406.0910000009</v>
      </c>
      <c r="AU62" s="112">
        <f t="shared" si="70"/>
        <v>0</v>
      </c>
      <c r="AV62" s="112">
        <f t="shared" si="70"/>
        <v>0</v>
      </c>
      <c r="AW62" s="112">
        <f t="shared" si="70"/>
        <v>0</v>
      </c>
      <c r="AX62" s="112">
        <f t="shared" si="40"/>
        <v>9027019.9542000014</v>
      </c>
      <c r="AY62" s="112">
        <f t="shared" si="41"/>
        <v>9027019.9542000014</v>
      </c>
      <c r="AZ62" s="112">
        <f t="shared" si="71"/>
        <v>2625224.091</v>
      </c>
      <c r="BA62" s="112">
        <f t="shared" si="71"/>
        <v>6883000.4760000007</v>
      </c>
      <c r="BB62" s="112">
        <f t="shared" si="71"/>
        <v>0</v>
      </c>
      <c r="BC62" s="112">
        <f t="shared" si="71"/>
        <v>0</v>
      </c>
      <c r="BD62" s="112">
        <f t="shared" si="71"/>
        <v>0</v>
      </c>
      <c r="BE62" s="112">
        <f t="shared" si="42"/>
        <v>9508224.5670000017</v>
      </c>
      <c r="BF62" s="112">
        <f t="shared" si="43"/>
        <v>9508224.5670000017</v>
      </c>
      <c r="BG62" s="666">
        <f>(I62-J62)/1.2*U62/1000</f>
        <v>510.86687483333344</v>
      </c>
      <c r="BH62" s="667">
        <f>(O62-P62)/1.2*AB62/1000</f>
        <v>341.70714666666697</v>
      </c>
      <c r="BI62" s="666">
        <f t="shared" si="5"/>
        <v>852.57402150000041</v>
      </c>
      <c r="BJ62" s="169"/>
      <c r="BK62" s="169"/>
      <c r="BL62" s="112">
        <f t="shared" si="72"/>
        <v>1602857.6289599999</v>
      </c>
      <c r="BM62" s="112">
        <f t="shared" si="72"/>
        <v>3710556.8030000003</v>
      </c>
      <c r="BN62" s="112">
        <f t="shared" si="72"/>
        <v>0</v>
      </c>
      <c r="BO62" s="112">
        <f t="shared" si="72"/>
        <v>0</v>
      </c>
      <c r="BP62" s="112">
        <f t="shared" si="72"/>
        <v>0</v>
      </c>
      <c r="BQ62" s="112">
        <f t="shared" si="44"/>
        <v>5313414.4319599997</v>
      </c>
      <c r="BR62" s="112">
        <f t="shared" si="45"/>
        <v>5313414.4319599997</v>
      </c>
      <c r="BS62" s="112">
        <f t="shared" si="73"/>
        <v>964410.45120000001</v>
      </c>
      <c r="BT62" s="112">
        <f t="shared" si="73"/>
        <v>2949815.9679999999</v>
      </c>
      <c r="BU62" s="112">
        <f t="shared" si="73"/>
        <v>0</v>
      </c>
      <c r="BV62" s="112">
        <f t="shared" si="12"/>
        <v>0</v>
      </c>
      <c r="BW62" s="112">
        <f t="shared" si="13"/>
        <v>0</v>
      </c>
      <c r="BX62" s="112">
        <f t="shared" si="46"/>
        <v>3914226.4191999999</v>
      </c>
      <c r="BY62" s="112">
        <f t="shared" si="47"/>
        <v>3914226.4191999999</v>
      </c>
      <c r="BZ62" s="113">
        <f t="shared" si="48"/>
        <v>6660372.7709999997</v>
      </c>
      <c r="CA62" s="113">
        <f t="shared" si="48"/>
        <v>0</v>
      </c>
      <c r="CB62" s="113">
        <f t="shared" si="49"/>
        <v>6660372.7709999997</v>
      </c>
      <c r="CC62" s="119">
        <f t="shared" si="50"/>
        <v>2802.8333000883722</v>
      </c>
      <c r="CD62" s="119" t="e">
        <f t="shared" si="50"/>
        <v>#DIV/0!</v>
      </c>
      <c r="CE62" s="119">
        <f t="shared" si="51"/>
        <v>2802.8333000883722</v>
      </c>
      <c r="CF62" s="119">
        <f t="shared" si="14"/>
        <v>2802.8333000883722</v>
      </c>
      <c r="CG62" s="619">
        <f t="shared" si="15"/>
        <v>7683461.5968000013</v>
      </c>
      <c r="CH62" s="132">
        <f t="shared" si="52"/>
        <v>3233.3718793081684</v>
      </c>
      <c r="CI62" s="625"/>
      <c r="CJ62" s="208">
        <f t="shared" si="16"/>
        <v>5926.4546817600003</v>
      </c>
      <c r="CK62" s="208">
        <f t="shared" si="17"/>
        <v>4324.2749952000004</v>
      </c>
      <c r="CL62" s="208">
        <f t="shared" si="53"/>
        <v>10250.72967696</v>
      </c>
      <c r="CM62" s="112">
        <f t="shared" si="18"/>
        <v>10250729.676960001</v>
      </c>
      <c r="CN62" s="112">
        <f t="shared" si="19"/>
        <v>9027019.9542000014</v>
      </c>
      <c r="CO62" s="112">
        <f t="shared" si="20"/>
        <v>9027019.9542000014</v>
      </c>
      <c r="CP62" s="112">
        <f t="shared" si="21"/>
        <v>5313414.4319599997</v>
      </c>
      <c r="CQ62" s="112">
        <f t="shared" si="22"/>
        <v>9508224.5670000017</v>
      </c>
      <c r="CR62" s="112">
        <f t="shared" si="23"/>
        <v>9508224.5670000017</v>
      </c>
      <c r="CS62" s="112">
        <f t="shared" si="24"/>
        <v>3914226.4191999999</v>
      </c>
      <c r="CT62" s="112">
        <f t="shared" si="54"/>
        <v>18535244.521200001</v>
      </c>
      <c r="CU62" s="124">
        <f t="shared" si="55"/>
        <v>5843347.552809326</v>
      </c>
      <c r="CV62" s="112">
        <f t="shared" si="25"/>
        <v>6493406.0910000009</v>
      </c>
      <c r="CW62" s="112">
        <f t="shared" si="26"/>
        <v>6883000.4760000007</v>
      </c>
      <c r="CX62" s="112">
        <f t="shared" si="56"/>
        <v>13376406.567000002</v>
      </c>
      <c r="CY62" s="112">
        <f t="shared" si="27"/>
        <v>10099829.104800001</v>
      </c>
      <c r="CZ62" s="112">
        <f t="shared" si="28"/>
        <v>10465017.999000002</v>
      </c>
      <c r="DA62" s="625"/>
      <c r="DB62" s="128">
        <f t="shared" si="57"/>
        <v>120.73469298133259</v>
      </c>
      <c r="DC62" s="625"/>
      <c r="DD62" s="625"/>
      <c r="DE62" s="625"/>
      <c r="DF62" s="625"/>
      <c r="DG62" s="618">
        <f t="shared" si="29"/>
        <v>0</v>
      </c>
      <c r="DH62" s="618">
        <f t="shared" si="30"/>
        <v>0</v>
      </c>
      <c r="DI62" s="618">
        <f t="shared" si="31"/>
        <v>0</v>
      </c>
      <c r="DJ62" s="152"/>
    </row>
    <row r="63" spans="1:114" s="32" customFormat="1" ht="63.75" customHeight="1">
      <c r="A63" s="20">
        <f t="shared" si="58"/>
        <v>50</v>
      </c>
      <c r="B63" s="1897"/>
      <c r="C63" s="806" t="s">
        <v>101</v>
      </c>
      <c r="D63" s="749" t="s">
        <v>141</v>
      </c>
      <c r="E63" s="617">
        <v>4632024035</v>
      </c>
      <c r="F63" s="806" t="s">
        <v>8</v>
      </c>
      <c r="G63" s="752" t="s">
        <v>890</v>
      </c>
      <c r="H63" s="819">
        <f t="shared" si="74"/>
        <v>3184.0320000000002</v>
      </c>
      <c r="I63" s="819">
        <f t="shared" si="74"/>
        <v>3184.0320000000002</v>
      </c>
      <c r="J63" s="38">
        <v>2732.57</v>
      </c>
      <c r="K63" s="38"/>
      <c r="L63" s="819">
        <f t="shared" si="75"/>
        <v>3184.0320000000002</v>
      </c>
      <c r="M63" s="36"/>
      <c r="N63" s="622">
        <f t="shared" si="76"/>
        <v>3299.1600000000003</v>
      </c>
      <c r="O63" s="622">
        <f t="shared" si="76"/>
        <v>3299.1600000000003</v>
      </c>
      <c r="P63" s="38">
        <v>2896.52</v>
      </c>
      <c r="Q63" s="10"/>
      <c r="R63" s="622">
        <f t="shared" si="77"/>
        <v>3299.1600000000003</v>
      </c>
      <c r="S63" s="36"/>
      <c r="T63" s="657">
        <v>215.745</v>
      </c>
      <c r="U63" s="662">
        <v>64.396999999999991</v>
      </c>
      <c r="V63" s="661"/>
      <c r="W63" s="662"/>
      <c r="X63" s="662"/>
      <c r="Y63" s="662"/>
      <c r="Z63" s="35">
        <f t="shared" si="34"/>
        <v>280.142</v>
      </c>
      <c r="AA63" s="657">
        <v>125.27999999999999</v>
      </c>
      <c r="AB63" s="662">
        <v>48.298000000000002</v>
      </c>
      <c r="AC63" s="661"/>
      <c r="AD63" s="662"/>
      <c r="AE63" s="662"/>
      <c r="AF63" s="662"/>
      <c r="AG63" s="35">
        <f t="shared" si="35"/>
        <v>173.57799999999997</v>
      </c>
      <c r="AH63" s="35">
        <f t="shared" si="36"/>
        <v>453.71999999999997</v>
      </c>
      <c r="AI63" s="15">
        <f t="shared" si="64"/>
        <v>341.02499999999998</v>
      </c>
      <c r="AJ63" s="15">
        <f t="shared" si="64"/>
        <v>112.69499999999999</v>
      </c>
      <c r="AK63" s="15">
        <f t="shared" si="64"/>
        <v>0</v>
      </c>
      <c r="AL63" s="15">
        <f t="shared" si="64"/>
        <v>0</v>
      </c>
      <c r="AM63" s="15">
        <f t="shared" si="64"/>
        <v>0</v>
      </c>
      <c r="AN63" s="15"/>
      <c r="AO63" s="15">
        <f t="shared" si="7"/>
        <v>453.71999999999997</v>
      </c>
      <c r="AP63" s="15">
        <f t="shared" si="37"/>
        <v>453.71999999999997</v>
      </c>
      <c r="AQ63" s="15">
        <f t="shared" si="38"/>
        <v>453.71999999999997</v>
      </c>
      <c r="AR63" s="127">
        <f t="shared" si="39"/>
        <v>0</v>
      </c>
      <c r="AS63" s="112">
        <f t="shared" si="70"/>
        <v>1085834.5127999999</v>
      </c>
      <c r="AT63" s="112">
        <f t="shared" si="70"/>
        <v>307946.97615</v>
      </c>
      <c r="AU63" s="112">
        <f t="shared" si="70"/>
        <v>0</v>
      </c>
      <c r="AV63" s="112">
        <f t="shared" si="70"/>
        <v>0</v>
      </c>
      <c r="AW63" s="112">
        <f t="shared" si="70"/>
        <v>0</v>
      </c>
      <c r="AX63" s="112">
        <f t="shared" si="40"/>
        <v>1393781.4889499999</v>
      </c>
      <c r="AY63" s="112">
        <f t="shared" si="41"/>
        <v>1393781.4889499999</v>
      </c>
      <c r="AZ63" s="112">
        <f t="shared" si="71"/>
        <v>1125096.0390000001</v>
      </c>
      <c r="BA63" s="112">
        <f t="shared" si="71"/>
        <v>326423.32139999996</v>
      </c>
      <c r="BB63" s="112">
        <f t="shared" si="71"/>
        <v>0</v>
      </c>
      <c r="BC63" s="112">
        <f t="shared" si="71"/>
        <v>0</v>
      </c>
      <c r="BD63" s="112">
        <f t="shared" si="71"/>
        <v>0</v>
      </c>
      <c r="BE63" s="112">
        <f t="shared" si="42"/>
        <v>1451519.3604000001</v>
      </c>
      <c r="BF63" s="112">
        <f t="shared" si="43"/>
        <v>1451519.3604000001</v>
      </c>
      <c r="BG63" s="623">
        <f>(I63-J63)/1.2*U63/1000</f>
        <v>24.227332011666665</v>
      </c>
      <c r="BH63" s="624">
        <f>(O63-P63)/1.2*AB63/1000</f>
        <v>16.205588933333349</v>
      </c>
      <c r="BI63" s="623">
        <f t="shared" si="5"/>
        <v>40.432920945000014</v>
      </c>
      <c r="BJ63" s="169"/>
      <c r="BK63" s="169"/>
      <c r="BL63" s="112">
        <f t="shared" si="72"/>
        <v>686938.98384</v>
      </c>
      <c r="BM63" s="112">
        <f t="shared" si="72"/>
        <v>175969.31028999999</v>
      </c>
      <c r="BN63" s="112">
        <f t="shared" si="72"/>
        <v>0</v>
      </c>
      <c r="BO63" s="112">
        <f t="shared" si="72"/>
        <v>0</v>
      </c>
      <c r="BP63" s="112">
        <f t="shared" si="72"/>
        <v>0</v>
      </c>
      <c r="BQ63" s="112">
        <f t="shared" si="44"/>
        <v>862908.29413000005</v>
      </c>
      <c r="BR63" s="112">
        <f t="shared" si="45"/>
        <v>862908.29413000005</v>
      </c>
      <c r="BS63" s="112">
        <f t="shared" si="73"/>
        <v>413318.7648</v>
      </c>
      <c r="BT63" s="112">
        <f t="shared" si="73"/>
        <v>139896.12296000001</v>
      </c>
      <c r="BU63" s="112">
        <f t="shared" si="73"/>
        <v>0</v>
      </c>
      <c r="BV63" s="112">
        <f t="shared" si="12"/>
        <v>0</v>
      </c>
      <c r="BW63" s="112">
        <f t="shared" si="13"/>
        <v>0</v>
      </c>
      <c r="BX63" s="112">
        <f t="shared" si="46"/>
        <v>553214.88776000007</v>
      </c>
      <c r="BY63" s="112">
        <f t="shared" si="47"/>
        <v>553214.88776000007</v>
      </c>
      <c r="BZ63" s="113">
        <f t="shared" si="48"/>
        <v>315865.43325</v>
      </c>
      <c r="CA63" s="113">
        <f t="shared" si="48"/>
        <v>0</v>
      </c>
      <c r="CB63" s="113">
        <f t="shared" si="49"/>
        <v>315865.43325</v>
      </c>
      <c r="CC63" s="119">
        <f t="shared" si="50"/>
        <v>2802.834493544523</v>
      </c>
      <c r="CD63" s="119" t="e">
        <f t="shared" si="50"/>
        <v>#DIV/0!</v>
      </c>
      <c r="CE63" s="119">
        <f t="shared" si="51"/>
        <v>2802.834493544523</v>
      </c>
      <c r="CF63" s="119">
        <f t="shared" si="14"/>
        <v>2802.834493544523</v>
      </c>
      <c r="CG63" s="619">
        <f t="shared" si="15"/>
        <v>364384.93838399998</v>
      </c>
      <c r="CH63" s="132">
        <f t="shared" si="52"/>
        <v>3233.3727173698921</v>
      </c>
      <c r="CI63" s="625"/>
      <c r="CJ63" s="208">
        <f t="shared" si="16"/>
        <v>891.98109254400003</v>
      </c>
      <c r="CK63" s="208">
        <f t="shared" si="17"/>
        <v>572.66159447999996</v>
      </c>
      <c r="CL63" s="208">
        <f t="shared" si="53"/>
        <v>1464.642687024</v>
      </c>
      <c r="CM63" s="112">
        <f t="shared" si="18"/>
        <v>1464642.6870240001</v>
      </c>
      <c r="CN63" s="112">
        <f t="shared" si="19"/>
        <v>1393781.4889499999</v>
      </c>
      <c r="CO63" s="112">
        <f t="shared" si="20"/>
        <v>1393781.4889499999</v>
      </c>
      <c r="CP63" s="112">
        <f t="shared" si="21"/>
        <v>862908.29413000005</v>
      </c>
      <c r="CQ63" s="112">
        <f t="shared" si="22"/>
        <v>1451519.3604000001</v>
      </c>
      <c r="CR63" s="112">
        <f t="shared" si="23"/>
        <v>1451519.3604000001</v>
      </c>
      <c r="CS63" s="112">
        <f t="shared" si="24"/>
        <v>553214.88776000007</v>
      </c>
      <c r="CT63" s="112">
        <f t="shared" si="54"/>
        <v>2845300.8493499998</v>
      </c>
      <c r="CU63" s="124">
        <f t="shared" si="55"/>
        <v>6271050.0955435075</v>
      </c>
      <c r="CV63" s="112">
        <f t="shared" si="25"/>
        <v>307946.97615</v>
      </c>
      <c r="CW63" s="112">
        <f t="shared" si="26"/>
        <v>326423.32139999996</v>
      </c>
      <c r="CX63" s="112">
        <f t="shared" si="56"/>
        <v>634370.29755000002</v>
      </c>
      <c r="CY63" s="112">
        <f t="shared" si="27"/>
        <v>1444658.9990399999</v>
      </c>
      <c r="CZ63" s="112">
        <f t="shared" si="28"/>
        <v>1496894.8752000001</v>
      </c>
      <c r="DA63" s="625"/>
      <c r="DB63" s="128">
        <f t="shared" si="57"/>
        <v>120.73469298133259</v>
      </c>
      <c r="DC63" s="625"/>
      <c r="DD63" s="625"/>
      <c r="DE63" s="625"/>
      <c r="DF63" s="625"/>
      <c r="DG63" s="618">
        <f t="shared" si="29"/>
        <v>0</v>
      </c>
      <c r="DH63" s="618">
        <f t="shared" si="30"/>
        <v>0</v>
      </c>
      <c r="DI63" s="618">
        <f t="shared" si="31"/>
        <v>0</v>
      </c>
      <c r="DJ63" s="123"/>
    </row>
    <row r="64" spans="1:114" s="33" customFormat="1" ht="63.75" customHeight="1">
      <c r="A64" s="20">
        <f t="shared" si="58"/>
        <v>51</v>
      </c>
      <c r="B64" s="1905"/>
      <c r="C64" s="806" t="s">
        <v>102</v>
      </c>
      <c r="D64" s="749" t="s">
        <v>141</v>
      </c>
      <c r="E64" s="617">
        <v>4632024035</v>
      </c>
      <c r="F64" s="806" t="s">
        <v>8</v>
      </c>
      <c r="G64" s="752" t="s">
        <v>890</v>
      </c>
      <c r="H64" s="819">
        <f>2653.36*1.2</f>
        <v>3184.0320000000002</v>
      </c>
      <c r="I64" s="819">
        <f>2653.36*1.2</f>
        <v>3184.0320000000002</v>
      </c>
      <c r="J64" s="38"/>
      <c r="K64" s="38"/>
      <c r="L64" s="819">
        <f t="shared" si="75"/>
        <v>3184.0320000000002</v>
      </c>
      <c r="M64" s="36"/>
      <c r="N64" s="622">
        <f t="shared" ref="N64:O67" si="78">2749.3*1.2</f>
        <v>3299.1600000000003</v>
      </c>
      <c r="O64" s="622">
        <f t="shared" si="78"/>
        <v>3299.1600000000003</v>
      </c>
      <c r="P64" s="10"/>
      <c r="Q64" s="10"/>
      <c r="R64" s="622">
        <f t="shared" si="77"/>
        <v>3299.1600000000003</v>
      </c>
      <c r="S64" s="36"/>
      <c r="T64" s="663">
        <v>132.417</v>
      </c>
      <c r="U64" s="664"/>
      <c r="V64" s="665"/>
      <c r="W64" s="664"/>
      <c r="X64" s="664"/>
      <c r="Y64" s="664"/>
      <c r="Z64" s="35">
        <f t="shared" si="34"/>
        <v>132.417</v>
      </c>
      <c r="AA64" s="663">
        <v>75.58</v>
      </c>
      <c r="AB64" s="664"/>
      <c r="AC64" s="665"/>
      <c r="AD64" s="664"/>
      <c r="AE64" s="664"/>
      <c r="AF64" s="664"/>
      <c r="AG64" s="35">
        <f t="shared" si="35"/>
        <v>75.58</v>
      </c>
      <c r="AH64" s="35">
        <f t="shared" si="36"/>
        <v>207.99700000000001</v>
      </c>
      <c r="AI64" s="15">
        <f t="shared" si="64"/>
        <v>207.99700000000001</v>
      </c>
      <c r="AJ64" s="15">
        <f t="shared" si="64"/>
        <v>0</v>
      </c>
      <c r="AK64" s="15">
        <f t="shared" si="64"/>
        <v>0</v>
      </c>
      <c r="AL64" s="15">
        <f t="shared" si="64"/>
        <v>0</v>
      </c>
      <c r="AM64" s="15">
        <f t="shared" si="64"/>
        <v>0</v>
      </c>
      <c r="AN64" s="15"/>
      <c r="AO64" s="15">
        <f t="shared" si="7"/>
        <v>207.99700000000001</v>
      </c>
      <c r="AP64" s="15">
        <f t="shared" si="37"/>
        <v>207.99700000000001</v>
      </c>
      <c r="AQ64" s="15">
        <f t="shared" si="38"/>
        <v>207.99700000000001</v>
      </c>
      <c r="AR64" s="127">
        <f t="shared" si="39"/>
        <v>0</v>
      </c>
      <c r="AS64" s="112">
        <f t="shared" si="70"/>
        <v>662269.10390400013</v>
      </c>
      <c r="AT64" s="112">
        <f t="shared" si="70"/>
        <v>0</v>
      </c>
      <c r="AU64" s="112">
        <f t="shared" si="70"/>
        <v>0</v>
      </c>
      <c r="AV64" s="112">
        <f t="shared" si="70"/>
        <v>0</v>
      </c>
      <c r="AW64" s="112">
        <f t="shared" si="70"/>
        <v>0</v>
      </c>
      <c r="AX64" s="112">
        <f t="shared" si="40"/>
        <v>662269.10390400013</v>
      </c>
      <c r="AY64" s="112">
        <f t="shared" si="41"/>
        <v>662269.10390400013</v>
      </c>
      <c r="AZ64" s="112">
        <f t="shared" si="71"/>
        <v>686215.3825200001</v>
      </c>
      <c r="BA64" s="112">
        <f t="shared" si="71"/>
        <v>0</v>
      </c>
      <c r="BB64" s="112">
        <f t="shared" si="71"/>
        <v>0</v>
      </c>
      <c r="BC64" s="112">
        <f t="shared" si="71"/>
        <v>0</v>
      </c>
      <c r="BD64" s="112">
        <f t="shared" si="71"/>
        <v>0</v>
      </c>
      <c r="BE64" s="112">
        <f t="shared" si="42"/>
        <v>686215.3825200001</v>
      </c>
      <c r="BF64" s="112">
        <f t="shared" si="43"/>
        <v>686215.3825200001</v>
      </c>
      <c r="BG64" s="668"/>
      <c r="BH64" s="668"/>
      <c r="BI64" s="118">
        <f t="shared" si="5"/>
        <v>0</v>
      </c>
      <c r="BJ64" s="118"/>
      <c r="BK64" s="118"/>
      <c r="BL64" s="112">
        <f t="shared" si="72"/>
        <v>421619.96534400003</v>
      </c>
      <c r="BM64" s="112">
        <f t="shared" si="72"/>
        <v>0</v>
      </c>
      <c r="BN64" s="112">
        <f t="shared" si="72"/>
        <v>0</v>
      </c>
      <c r="BO64" s="112">
        <f t="shared" si="72"/>
        <v>0</v>
      </c>
      <c r="BP64" s="112">
        <f t="shared" si="72"/>
        <v>0</v>
      </c>
      <c r="BQ64" s="112">
        <f t="shared" si="44"/>
        <v>421619.96534400003</v>
      </c>
      <c r="BR64" s="112">
        <f t="shared" si="45"/>
        <v>421619.96534400003</v>
      </c>
      <c r="BS64" s="112">
        <f t="shared" si="73"/>
        <v>249350.51280000003</v>
      </c>
      <c r="BT64" s="112">
        <f t="shared" si="73"/>
        <v>0</v>
      </c>
      <c r="BU64" s="112">
        <f t="shared" si="73"/>
        <v>0</v>
      </c>
      <c r="BV64" s="112">
        <f t="shared" si="12"/>
        <v>0</v>
      </c>
      <c r="BW64" s="112">
        <f t="shared" si="13"/>
        <v>0</v>
      </c>
      <c r="BX64" s="112">
        <f t="shared" si="46"/>
        <v>249350.51280000003</v>
      </c>
      <c r="BY64" s="112">
        <f t="shared" si="47"/>
        <v>249350.51280000003</v>
      </c>
      <c r="BZ64" s="113">
        <f t="shared" si="48"/>
        <v>0</v>
      </c>
      <c r="CA64" s="113">
        <f t="shared" si="48"/>
        <v>0</v>
      </c>
      <c r="CB64" s="113">
        <f t="shared" si="49"/>
        <v>0</v>
      </c>
      <c r="CC64" s="119" t="e">
        <f t="shared" si="50"/>
        <v>#DIV/0!</v>
      </c>
      <c r="CD64" s="119" t="e">
        <f t="shared" si="50"/>
        <v>#DIV/0!</v>
      </c>
      <c r="CE64" s="119" t="e">
        <f t="shared" si="51"/>
        <v>#DIV/0!</v>
      </c>
      <c r="CF64" s="113" t="e">
        <f t="shared" si="14"/>
        <v>#DIV/0!</v>
      </c>
      <c r="CG64" s="619">
        <f t="shared" si="15"/>
        <v>0</v>
      </c>
      <c r="CH64" s="132" t="e">
        <f t="shared" si="52"/>
        <v>#DIV/0!</v>
      </c>
      <c r="CI64" s="621"/>
      <c r="CJ64" s="208">
        <f t="shared" si="16"/>
        <v>421.61996534400004</v>
      </c>
      <c r="CK64" s="208">
        <f t="shared" si="17"/>
        <v>249.35051280000002</v>
      </c>
      <c r="CL64" s="208">
        <f t="shared" si="53"/>
        <v>670.97047814400003</v>
      </c>
      <c r="CM64" s="112">
        <f t="shared" si="18"/>
        <v>670970.47814400005</v>
      </c>
      <c r="CN64" s="112">
        <f t="shared" si="19"/>
        <v>662269.10390400013</v>
      </c>
      <c r="CO64" s="112">
        <f t="shared" si="20"/>
        <v>662269.10390400013</v>
      </c>
      <c r="CP64" s="112">
        <f t="shared" si="21"/>
        <v>421619.96534400003</v>
      </c>
      <c r="CQ64" s="112">
        <f t="shared" si="22"/>
        <v>686215.3825200001</v>
      </c>
      <c r="CR64" s="112">
        <f t="shared" si="23"/>
        <v>686215.3825200001</v>
      </c>
      <c r="CS64" s="112">
        <f t="shared" si="24"/>
        <v>249350.51280000003</v>
      </c>
      <c r="CT64" s="112">
        <f t="shared" si="54"/>
        <v>1348484.4864240002</v>
      </c>
      <c r="CU64" s="124">
        <f t="shared" si="55"/>
        <v>6483192.0000000009</v>
      </c>
      <c r="CV64" s="112">
        <f t="shared" si="25"/>
        <v>0</v>
      </c>
      <c r="CW64" s="112">
        <f t="shared" si="26"/>
        <v>0</v>
      </c>
      <c r="CX64" s="112">
        <f t="shared" si="56"/>
        <v>0</v>
      </c>
      <c r="CY64" s="112">
        <f t="shared" si="27"/>
        <v>662269.10390400013</v>
      </c>
      <c r="CZ64" s="112">
        <f t="shared" si="28"/>
        <v>686215.3825200001</v>
      </c>
      <c r="DA64" s="621"/>
      <c r="DB64" s="128" t="e">
        <f t="shared" si="57"/>
        <v>#DIV/0!</v>
      </c>
      <c r="DC64" s="621"/>
      <c r="DD64" s="621"/>
      <c r="DE64" s="621"/>
      <c r="DF64" s="621"/>
      <c r="DG64" s="618">
        <f t="shared" si="29"/>
        <v>0</v>
      </c>
      <c r="DH64" s="618">
        <f t="shared" si="30"/>
        <v>0</v>
      </c>
      <c r="DI64" s="618">
        <f t="shared" si="31"/>
        <v>0</v>
      </c>
      <c r="DJ64" s="121"/>
    </row>
    <row r="65" spans="1:116" s="33" customFormat="1" ht="63.75" customHeight="1">
      <c r="A65" s="20">
        <f t="shared" si="58"/>
        <v>52</v>
      </c>
      <c r="B65" s="1896" t="s">
        <v>22</v>
      </c>
      <c r="C65" s="22" t="s">
        <v>103</v>
      </c>
      <c r="D65" s="749" t="s">
        <v>142</v>
      </c>
      <c r="E65" s="617">
        <v>4632024035</v>
      </c>
      <c r="F65" s="806" t="s">
        <v>8</v>
      </c>
      <c r="G65" s="752" t="s">
        <v>890</v>
      </c>
      <c r="H65" s="819">
        <f t="shared" ref="H65:I67" si="79">2653.36*1.2</f>
        <v>3184.0320000000002</v>
      </c>
      <c r="I65" s="819">
        <f t="shared" si="79"/>
        <v>3184.0320000000002</v>
      </c>
      <c r="J65" s="38">
        <v>2103.35</v>
      </c>
      <c r="K65" s="38"/>
      <c r="L65" s="819">
        <f t="shared" si="75"/>
        <v>3184.0320000000002</v>
      </c>
      <c r="M65" s="10"/>
      <c r="N65" s="622">
        <f t="shared" si="78"/>
        <v>3299.1600000000003</v>
      </c>
      <c r="O65" s="622">
        <f t="shared" si="78"/>
        <v>3299.1600000000003</v>
      </c>
      <c r="P65" s="38">
        <v>2239.86</v>
      </c>
      <c r="Q65" s="10"/>
      <c r="R65" s="622">
        <f t="shared" si="77"/>
        <v>3299.1600000000003</v>
      </c>
      <c r="S65" s="10"/>
      <c r="T65" s="648">
        <v>3159.7249999999999</v>
      </c>
      <c r="U65" s="650">
        <v>178.70000000000002</v>
      </c>
      <c r="V65" s="669"/>
      <c r="W65" s="606"/>
      <c r="X65" s="606"/>
      <c r="Y65" s="606"/>
      <c r="Z65" s="35">
        <f t="shared" si="34"/>
        <v>3338.4249999999997</v>
      </c>
      <c r="AA65" s="620">
        <v>1847.933</v>
      </c>
      <c r="AB65" s="620">
        <v>134</v>
      </c>
      <c r="AC65" s="669"/>
      <c r="AD65" s="606"/>
      <c r="AE65" s="606"/>
      <c r="AF65" s="606"/>
      <c r="AG65" s="35">
        <f t="shared" si="35"/>
        <v>1981.933</v>
      </c>
      <c r="AH65" s="35">
        <f t="shared" si="36"/>
        <v>5320.3580000000002</v>
      </c>
      <c r="AI65" s="15">
        <f t="shared" si="64"/>
        <v>5007.6579999999994</v>
      </c>
      <c r="AJ65" s="15">
        <f t="shared" si="64"/>
        <v>312.70000000000005</v>
      </c>
      <c r="AK65" s="15">
        <f t="shared" si="64"/>
        <v>0</v>
      </c>
      <c r="AL65" s="15">
        <f t="shared" si="64"/>
        <v>0</v>
      </c>
      <c r="AM65" s="15">
        <f t="shared" si="64"/>
        <v>0</v>
      </c>
      <c r="AN65" s="15"/>
      <c r="AO65" s="15">
        <f t="shared" si="7"/>
        <v>5320.3579999999993</v>
      </c>
      <c r="AP65" s="15">
        <f t="shared" si="37"/>
        <v>5320.3579999999993</v>
      </c>
      <c r="AQ65" s="15">
        <f t="shared" si="38"/>
        <v>5320.3579999999993</v>
      </c>
      <c r="AR65" s="127">
        <f t="shared" si="39"/>
        <v>0</v>
      </c>
      <c r="AS65" s="112">
        <f t="shared" si="70"/>
        <v>15944543.317055998</v>
      </c>
      <c r="AT65" s="112">
        <f t="shared" si="70"/>
        <v>657717.54500000004</v>
      </c>
      <c r="AU65" s="112">
        <f t="shared" si="70"/>
        <v>0</v>
      </c>
      <c r="AV65" s="112">
        <f t="shared" si="70"/>
        <v>0</v>
      </c>
      <c r="AW65" s="112">
        <f t="shared" si="70"/>
        <v>0</v>
      </c>
      <c r="AX65" s="112">
        <f t="shared" si="40"/>
        <v>16602260.862055998</v>
      </c>
      <c r="AY65" s="112">
        <f t="shared" si="41"/>
        <v>16602260.862055998</v>
      </c>
      <c r="AZ65" s="112">
        <f t="shared" si="71"/>
        <v>16521064.96728</v>
      </c>
      <c r="BA65" s="112">
        <f t="shared" si="71"/>
        <v>700404.22200000018</v>
      </c>
      <c r="BB65" s="112">
        <f t="shared" si="71"/>
        <v>0</v>
      </c>
      <c r="BC65" s="112">
        <f t="shared" si="71"/>
        <v>0</v>
      </c>
      <c r="BD65" s="112">
        <f t="shared" si="71"/>
        <v>0</v>
      </c>
      <c r="BE65" s="112">
        <f t="shared" si="42"/>
        <v>17221469.18928</v>
      </c>
      <c r="BF65" s="112">
        <f t="shared" si="43"/>
        <v>17221469.18928</v>
      </c>
      <c r="BG65" s="623">
        <f>(I65-J65)/1.2*U65/1000</f>
        <v>160.93156116666674</v>
      </c>
      <c r="BH65" s="624">
        <f>(O65-P65)/1.2*AB65/1000</f>
        <v>118.28850000000003</v>
      </c>
      <c r="BI65" s="623">
        <f t="shared" si="5"/>
        <v>279.22006116666677</v>
      </c>
      <c r="BJ65" s="169"/>
      <c r="BK65" s="169"/>
      <c r="BL65" s="112">
        <f t="shared" si="72"/>
        <v>10060665.5112</v>
      </c>
      <c r="BM65" s="112">
        <f t="shared" si="72"/>
        <v>375868.64500000002</v>
      </c>
      <c r="BN65" s="112">
        <f t="shared" si="72"/>
        <v>0</v>
      </c>
      <c r="BO65" s="112">
        <f t="shared" si="72"/>
        <v>0</v>
      </c>
      <c r="BP65" s="112">
        <f t="shared" si="72"/>
        <v>0</v>
      </c>
      <c r="BQ65" s="112">
        <f t="shared" si="44"/>
        <v>10436534.156199999</v>
      </c>
      <c r="BR65" s="112">
        <f t="shared" si="45"/>
        <v>10436534.156199999</v>
      </c>
      <c r="BS65" s="112">
        <f t="shared" si="73"/>
        <v>6096626.6362800002</v>
      </c>
      <c r="BT65" s="112">
        <f t="shared" si="73"/>
        <v>300141.24</v>
      </c>
      <c r="BU65" s="112">
        <f t="shared" si="73"/>
        <v>0</v>
      </c>
      <c r="BV65" s="112">
        <f t="shared" si="12"/>
        <v>0</v>
      </c>
      <c r="BW65" s="112">
        <f t="shared" si="13"/>
        <v>0</v>
      </c>
      <c r="BX65" s="112">
        <f t="shared" si="46"/>
        <v>6396767.8762800004</v>
      </c>
      <c r="BY65" s="112">
        <f t="shared" si="47"/>
        <v>6396767.8762800004</v>
      </c>
      <c r="BZ65" s="113">
        <f t="shared" si="48"/>
        <v>676009.88500000001</v>
      </c>
      <c r="CA65" s="113">
        <f t="shared" si="48"/>
        <v>0</v>
      </c>
      <c r="CB65" s="113">
        <f t="shared" si="49"/>
        <v>676009.88500000001</v>
      </c>
      <c r="CC65" s="119">
        <f t="shared" si="50"/>
        <v>2161.8480492484805</v>
      </c>
      <c r="CD65" s="119" t="e">
        <f t="shared" si="50"/>
        <v>#DIV/0!</v>
      </c>
      <c r="CE65" s="119">
        <f t="shared" si="51"/>
        <v>2161.8480492484805</v>
      </c>
      <c r="CF65" s="119">
        <f t="shared" si="14"/>
        <v>2161.8480492484805</v>
      </c>
      <c r="CG65" s="619">
        <f t="shared" si="15"/>
        <v>1011073.9584000001</v>
      </c>
      <c r="CH65" s="132">
        <f t="shared" si="52"/>
        <v>3233.3673118004476</v>
      </c>
      <c r="CI65" s="621"/>
      <c r="CJ65" s="208">
        <f t="shared" si="16"/>
        <v>10629.6520296</v>
      </c>
      <c r="CK65" s="208">
        <f t="shared" si="17"/>
        <v>6538.7140762800009</v>
      </c>
      <c r="CL65" s="208">
        <f t="shared" si="53"/>
        <v>17168.366105879999</v>
      </c>
      <c r="CM65" s="112">
        <f t="shared" si="18"/>
        <v>17168366.10588</v>
      </c>
      <c r="CN65" s="112">
        <f t="shared" si="19"/>
        <v>16602260.862055998</v>
      </c>
      <c r="CO65" s="112">
        <f t="shared" si="20"/>
        <v>16602260.862055998</v>
      </c>
      <c r="CP65" s="112">
        <f t="shared" si="21"/>
        <v>10436534.156199999</v>
      </c>
      <c r="CQ65" s="112">
        <f t="shared" si="22"/>
        <v>17221469.18928</v>
      </c>
      <c r="CR65" s="112">
        <f t="shared" si="23"/>
        <v>17221469.18928</v>
      </c>
      <c r="CS65" s="112">
        <f t="shared" si="24"/>
        <v>6396767.8762800004</v>
      </c>
      <c r="CT65" s="112">
        <f t="shared" si="54"/>
        <v>33823730.051335998</v>
      </c>
      <c r="CU65" s="124">
        <f t="shared" si="55"/>
        <v>6357416.1835229881</v>
      </c>
      <c r="CV65" s="112">
        <f t="shared" si="25"/>
        <v>657717.54500000004</v>
      </c>
      <c r="CW65" s="112">
        <f t="shared" si="26"/>
        <v>700404.22200000018</v>
      </c>
      <c r="CX65" s="112">
        <f t="shared" si="56"/>
        <v>1358121.7670000002</v>
      </c>
      <c r="CY65" s="112">
        <f t="shared" si="27"/>
        <v>16940190.123455998</v>
      </c>
      <c r="CZ65" s="112">
        <f t="shared" si="28"/>
        <v>17552712.299279999</v>
      </c>
      <c r="DA65" s="621"/>
      <c r="DB65" s="128">
        <f t="shared" si="57"/>
        <v>156.8526398364514</v>
      </c>
      <c r="DC65" s="621"/>
      <c r="DD65" s="621"/>
      <c r="DE65" s="621"/>
      <c r="DF65" s="621"/>
      <c r="DG65" s="618">
        <f t="shared" si="29"/>
        <v>0</v>
      </c>
      <c r="DH65" s="618">
        <f t="shared" si="30"/>
        <v>0</v>
      </c>
      <c r="DI65" s="618">
        <f t="shared" si="31"/>
        <v>0</v>
      </c>
      <c r="DJ65" s="121"/>
    </row>
    <row r="66" spans="1:116" s="32" customFormat="1" ht="63.75" customHeight="1">
      <c r="A66" s="20">
        <f t="shared" si="58"/>
        <v>53</v>
      </c>
      <c r="B66" s="1897"/>
      <c r="C66" s="806" t="s">
        <v>104</v>
      </c>
      <c r="D66" s="749" t="s">
        <v>141</v>
      </c>
      <c r="E66" s="617">
        <v>4632024035</v>
      </c>
      <c r="F66" s="806" t="s">
        <v>8</v>
      </c>
      <c r="G66" s="752" t="s">
        <v>890</v>
      </c>
      <c r="H66" s="819">
        <f t="shared" si="79"/>
        <v>3184.0320000000002</v>
      </c>
      <c r="I66" s="819">
        <f t="shared" si="79"/>
        <v>3184.0320000000002</v>
      </c>
      <c r="J66" s="38"/>
      <c r="K66" s="38"/>
      <c r="L66" s="819">
        <f t="shared" si="75"/>
        <v>3184.0320000000002</v>
      </c>
      <c r="M66" s="10"/>
      <c r="N66" s="622">
        <f t="shared" si="78"/>
        <v>3299.1600000000003</v>
      </c>
      <c r="O66" s="622">
        <f t="shared" si="78"/>
        <v>3299.1600000000003</v>
      </c>
      <c r="P66" s="10"/>
      <c r="Q66" s="10"/>
      <c r="R66" s="622">
        <f t="shared" si="77"/>
        <v>3299.1600000000003</v>
      </c>
      <c r="S66" s="10"/>
      <c r="T66" s="178">
        <v>118.66</v>
      </c>
      <c r="U66" s="16"/>
      <c r="V66" s="227"/>
      <c r="W66" s="16"/>
      <c r="X66" s="16"/>
      <c r="Y66" s="16"/>
      <c r="Z66" s="35">
        <f t="shared" si="34"/>
        <v>118.66</v>
      </c>
      <c r="AA66" s="178">
        <v>68.903999999999996</v>
      </c>
      <c r="AB66" s="16"/>
      <c r="AC66" s="227"/>
      <c r="AD66" s="16"/>
      <c r="AE66" s="16"/>
      <c r="AF66" s="16"/>
      <c r="AG66" s="35">
        <f t="shared" si="35"/>
        <v>68.903999999999996</v>
      </c>
      <c r="AH66" s="35">
        <f t="shared" si="36"/>
        <v>187.56399999999999</v>
      </c>
      <c r="AI66" s="15">
        <f t="shared" si="64"/>
        <v>187.56399999999999</v>
      </c>
      <c r="AJ66" s="15">
        <f t="shared" si="64"/>
        <v>0</v>
      </c>
      <c r="AK66" s="15">
        <f t="shared" si="64"/>
        <v>0</v>
      </c>
      <c r="AL66" s="15">
        <f t="shared" si="64"/>
        <v>0</v>
      </c>
      <c r="AM66" s="15">
        <f t="shared" si="64"/>
        <v>0</v>
      </c>
      <c r="AN66" s="15"/>
      <c r="AO66" s="15">
        <f t="shared" si="7"/>
        <v>187.56399999999999</v>
      </c>
      <c r="AP66" s="15">
        <f t="shared" si="37"/>
        <v>187.56399999999999</v>
      </c>
      <c r="AQ66" s="15">
        <f t="shared" si="38"/>
        <v>187.56399999999999</v>
      </c>
      <c r="AR66" s="127">
        <f t="shared" si="39"/>
        <v>0</v>
      </c>
      <c r="AS66" s="112">
        <f t="shared" si="70"/>
        <v>597209.77804799995</v>
      </c>
      <c r="AT66" s="112">
        <f t="shared" si="70"/>
        <v>0</v>
      </c>
      <c r="AU66" s="112">
        <f t="shared" si="70"/>
        <v>0</v>
      </c>
      <c r="AV66" s="112">
        <f t="shared" si="70"/>
        <v>0</v>
      </c>
      <c r="AW66" s="112">
        <f t="shared" si="70"/>
        <v>0</v>
      </c>
      <c r="AX66" s="112">
        <f t="shared" si="40"/>
        <v>597209.77804799995</v>
      </c>
      <c r="AY66" s="112">
        <f t="shared" si="41"/>
        <v>597209.77804799995</v>
      </c>
      <c r="AZ66" s="112">
        <f t="shared" si="71"/>
        <v>618803.64624000003</v>
      </c>
      <c r="BA66" s="112">
        <f t="shared" si="71"/>
        <v>0</v>
      </c>
      <c r="BB66" s="112">
        <f t="shared" si="71"/>
        <v>0</v>
      </c>
      <c r="BC66" s="112">
        <f t="shared" si="71"/>
        <v>0</v>
      </c>
      <c r="BD66" s="112">
        <f t="shared" si="71"/>
        <v>0</v>
      </c>
      <c r="BE66" s="112">
        <f t="shared" si="42"/>
        <v>618803.64624000003</v>
      </c>
      <c r="BF66" s="112">
        <f t="shared" si="43"/>
        <v>618803.64624000003</v>
      </c>
      <c r="BG66" s="126"/>
      <c r="BH66" s="126"/>
      <c r="BI66" s="112">
        <f t="shared" si="5"/>
        <v>0</v>
      </c>
      <c r="BJ66" s="112"/>
      <c r="BK66" s="112"/>
      <c r="BL66" s="112">
        <f t="shared" si="72"/>
        <v>377817.23712000001</v>
      </c>
      <c r="BM66" s="112">
        <f t="shared" si="72"/>
        <v>0</v>
      </c>
      <c r="BN66" s="112">
        <f t="shared" si="72"/>
        <v>0</v>
      </c>
      <c r="BO66" s="112">
        <f t="shared" si="72"/>
        <v>0</v>
      </c>
      <c r="BP66" s="112">
        <f t="shared" si="72"/>
        <v>0</v>
      </c>
      <c r="BQ66" s="112">
        <f t="shared" si="44"/>
        <v>377817.23712000001</v>
      </c>
      <c r="BR66" s="112">
        <f t="shared" si="45"/>
        <v>377817.23712000001</v>
      </c>
      <c r="BS66" s="112">
        <f t="shared" si="73"/>
        <v>227325.32064000002</v>
      </c>
      <c r="BT66" s="112">
        <f t="shared" si="73"/>
        <v>0</v>
      </c>
      <c r="BU66" s="112">
        <f t="shared" si="73"/>
        <v>0</v>
      </c>
      <c r="BV66" s="112">
        <f t="shared" si="12"/>
        <v>0</v>
      </c>
      <c r="BW66" s="112">
        <f t="shared" si="13"/>
        <v>0</v>
      </c>
      <c r="BX66" s="112">
        <f t="shared" si="46"/>
        <v>227325.32064000002</v>
      </c>
      <c r="BY66" s="112">
        <f t="shared" si="47"/>
        <v>227325.32064000002</v>
      </c>
      <c r="BZ66" s="113">
        <f t="shared" si="48"/>
        <v>0</v>
      </c>
      <c r="CA66" s="113">
        <f t="shared" si="48"/>
        <v>0</v>
      </c>
      <c r="CB66" s="113">
        <f t="shared" si="49"/>
        <v>0</v>
      </c>
      <c r="CC66" s="119" t="e">
        <f t="shared" si="50"/>
        <v>#DIV/0!</v>
      </c>
      <c r="CD66" s="119" t="e">
        <f t="shared" si="50"/>
        <v>#DIV/0!</v>
      </c>
      <c r="CE66" s="119" t="e">
        <f t="shared" si="51"/>
        <v>#DIV/0!</v>
      </c>
      <c r="CF66" s="113" t="e">
        <f t="shared" si="14"/>
        <v>#DIV/0!</v>
      </c>
      <c r="CG66" s="619">
        <f t="shared" si="15"/>
        <v>0</v>
      </c>
      <c r="CH66" s="132" t="e">
        <f t="shared" si="52"/>
        <v>#DIV/0!</v>
      </c>
      <c r="CI66" s="625"/>
      <c r="CJ66" s="208">
        <f t="shared" si="16"/>
        <v>377.81723712000002</v>
      </c>
      <c r="CK66" s="208">
        <f t="shared" si="17"/>
        <v>227.32532064000003</v>
      </c>
      <c r="CL66" s="208">
        <f t="shared" si="53"/>
        <v>605.14255776000005</v>
      </c>
      <c r="CM66" s="112">
        <f t="shared" si="18"/>
        <v>605142.55776</v>
      </c>
      <c r="CN66" s="112">
        <f t="shared" si="19"/>
        <v>597209.77804799995</v>
      </c>
      <c r="CO66" s="112">
        <f t="shared" si="20"/>
        <v>597209.77804799995</v>
      </c>
      <c r="CP66" s="112">
        <f t="shared" si="21"/>
        <v>377817.23712000001</v>
      </c>
      <c r="CQ66" s="112">
        <f t="shared" si="22"/>
        <v>618803.64624000003</v>
      </c>
      <c r="CR66" s="112">
        <f t="shared" si="23"/>
        <v>618803.64624000003</v>
      </c>
      <c r="CS66" s="112">
        <f t="shared" si="24"/>
        <v>227325.32064000002</v>
      </c>
      <c r="CT66" s="112">
        <f t="shared" si="54"/>
        <v>1216013.424288</v>
      </c>
      <c r="CU66" s="124">
        <f t="shared" si="55"/>
        <v>6483192</v>
      </c>
      <c r="CV66" s="112">
        <f t="shared" si="25"/>
        <v>0</v>
      </c>
      <c r="CW66" s="112">
        <f t="shared" si="26"/>
        <v>0</v>
      </c>
      <c r="CX66" s="112">
        <f t="shared" si="56"/>
        <v>0</v>
      </c>
      <c r="CY66" s="112">
        <f t="shared" si="27"/>
        <v>597209.77804799995</v>
      </c>
      <c r="CZ66" s="112">
        <f t="shared" si="28"/>
        <v>618803.64624000003</v>
      </c>
      <c r="DA66" s="625"/>
      <c r="DB66" s="128" t="e">
        <f t="shared" si="57"/>
        <v>#DIV/0!</v>
      </c>
      <c r="DC66" s="625"/>
      <c r="DD66" s="625"/>
      <c r="DE66" s="625"/>
      <c r="DF66" s="625"/>
      <c r="DG66" s="618">
        <f t="shared" si="29"/>
        <v>0</v>
      </c>
      <c r="DH66" s="618">
        <f t="shared" si="30"/>
        <v>0</v>
      </c>
      <c r="DI66" s="618">
        <f t="shared" si="31"/>
        <v>0</v>
      </c>
      <c r="DJ66" s="123"/>
    </row>
    <row r="67" spans="1:116" s="32" customFormat="1" ht="63.75" customHeight="1">
      <c r="A67" s="20">
        <f t="shared" si="58"/>
        <v>54</v>
      </c>
      <c r="B67" s="1905"/>
      <c r="C67" s="806" t="s">
        <v>105</v>
      </c>
      <c r="D67" s="749" t="s">
        <v>141</v>
      </c>
      <c r="E67" s="617">
        <v>4632024035</v>
      </c>
      <c r="F67" s="806" t="s">
        <v>8</v>
      </c>
      <c r="G67" s="752" t="s">
        <v>890</v>
      </c>
      <c r="H67" s="819">
        <f t="shared" si="79"/>
        <v>3184.0320000000002</v>
      </c>
      <c r="I67" s="819">
        <f t="shared" si="79"/>
        <v>3184.0320000000002</v>
      </c>
      <c r="J67" s="38"/>
      <c r="K67" s="38"/>
      <c r="L67" s="819">
        <f t="shared" si="75"/>
        <v>3184.0320000000002</v>
      </c>
      <c r="M67" s="10"/>
      <c r="N67" s="622">
        <f t="shared" si="78"/>
        <v>3299.1600000000003</v>
      </c>
      <c r="O67" s="622">
        <f t="shared" si="78"/>
        <v>3299.1600000000003</v>
      </c>
      <c r="P67" s="10"/>
      <c r="Q67" s="10"/>
      <c r="R67" s="622">
        <f t="shared" si="77"/>
        <v>3299.1600000000003</v>
      </c>
      <c r="S67" s="10"/>
      <c r="T67" s="178">
        <v>428.685</v>
      </c>
      <c r="U67" s="16"/>
      <c r="V67" s="227"/>
      <c r="W67" s="16"/>
      <c r="X67" s="16"/>
      <c r="Y67" s="16"/>
      <c r="Z67" s="35">
        <f t="shared" si="34"/>
        <v>428.685</v>
      </c>
      <c r="AA67" s="178">
        <v>259.20299999999997</v>
      </c>
      <c r="AB67" s="16"/>
      <c r="AC67" s="227"/>
      <c r="AD67" s="16"/>
      <c r="AE67" s="16"/>
      <c r="AF67" s="16"/>
      <c r="AG67" s="35">
        <f t="shared" si="35"/>
        <v>259.20299999999997</v>
      </c>
      <c r="AH67" s="35">
        <f t="shared" si="36"/>
        <v>687.88799999999992</v>
      </c>
      <c r="AI67" s="15">
        <f t="shared" si="64"/>
        <v>687.88799999999992</v>
      </c>
      <c r="AJ67" s="15">
        <f t="shared" si="64"/>
        <v>0</v>
      </c>
      <c r="AK67" s="15">
        <f t="shared" si="64"/>
        <v>0</v>
      </c>
      <c r="AL67" s="15">
        <f t="shared" si="64"/>
        <v>0</v>
      </c>
      <c r="AM67" s="15">
        <f t="shared" si="64"/>
        <v>0</v>
      </c>
      <c r="AN67" s="15"/>
      <c r="AO67" s="15">
        <f t="shared" si="7"/>
        <v>687.88799999999992</v>
      </c>
      <c r="AP67" s="15">
        <f t="shared" si="37"/>
        <v>687.88799999999992</v>
      </c>
      <c r="AQ67" s="15">
        <f t="shared" si="38"/>
        <v>687.88799999999992</v>
      </c>
      <c r="AR67" s="127">
        <f t="shared" si="39"/>
        <v>0</v>
      </c>
      <c r="AS67" s="112">
        <f t="shared" si="70"/>
        <v>2190257.404416</v>
      </c>
      <c r="AT67" s="112">
        <f t="shared" si="70"/>
        <v>0</v>
      </c>
      <c r="AU67" s="112">
        <f t="shared" si="70"/>
        <v>0</v>
      </c>
      <c r="AV67" s="112">
        <f t="shared" si="70"/>
        <v>0</v>
      </c>
      <c r="AW67" s="112">
        <f t="shared" si="70"/>
        <v>0</v>
      </c>
      <c r="AX67" s="112">
        <f t="shared" si="40"/>
        <v>2190257.404416</v>
      </c>
      <c r="AY67" s="112">
        <f t="shared" si="41"/>
        <v>2190257.404416</v>
      </c>
      <c r="AZ67" s="112">
        <f t="shared" si="71"/>
        <v>2269452.5740800002</v>
      </c>
      <c r="BA67" s="112">
        <f t="shared" si="71"/>
        <v>0</v>
      </c>
      <c r="BB67" s="112">
        <f t="shared" si="71"/>
        <v>0</v>
      </c>
      <c r="BC67" s="112">
        <f t="shared" si="71"/>
        <v>0</v>
      </c>
      <c r="BD67" s="112">
        <f t="shared" si="71"/>
        <v>0</v>
      </c>
      <c r="BE67" s="112">
        <f t="shared" si="42"/>
        <v>2269452.5740800002</v>
      </c>
      <c r="BF67" s="112">
        <f t="shared" si="43"/>
        <v>2269452.5740800002</v>
      </c>
      <c r="BG67" s="126"/>
      <c r="BH67" s="126"/>
      <c r="BI67" s="112">
        <f t="shared" si="5"/>
        <v>0</v>
      </c>
      <c r="BJ67" s="112"/>
      <c r="BK67" s="112"/>
      <c r="BL67" s="112">
        <f t="shared" si="72"/>
        <v>1364946.75792</v>
      </c>
      <c r="BM67" s="112">
        <f t="shared" si="72"/>
        <v>0</v>
      </c>
      <c r="BN67" s="112">
        <f t="shared" si="72"/>
        <v>0</v>
      </c>
      <c r="BO67" s="112">
        <f t="shared" si="72"/>
        <v>0</v>
      </c>
      <c r="BP67" s="112">
        <f t="shared" si="72"/>
        <v>0</v>
      </c>
      <c r="BQ67" s="112">
        <f t="shared" si="44"/>
        <v>1364946.75792</v>
      </c>
      <c r="BR67" s="112">
        <f t="shared" si="45"/>
        <v>1364946.75792</v>
      </c>
      <c r="BS67" s="112">
        <f t="shared" si="73"/>
        <v>855152.16948000004</v>
      </c>
      <c r="BT67" s="112">
        <f t="shared" si="73"/>
        <v>0</v>
      </c>
      <c r="BU67" s="112">
        <f t="shared" si="73"/>
        <v>0</v>
      </c>
      <c r="BV67" s="112">
        <f t="shared" si="12"/>
        <v>0</v>
      </c>
      <c r="BW67" s="112">
        <f t="shared" si="13"/>
        <v>0</v>
      </c>
      <c r="BX67" s="112">
        <f t="shared" si="46"/>
        <v>855152.16948000004</v>
      </c>
      <c r="BY67" s="112">
        <f t="shared" si="47"/>
        <v>855152.16948000004</v>
      </c>
      <c r="BZ67" s="113">
        <f t="shared" si="48"/>
        <v>0</v>
      </c>
      <c r="CA67" s="113">
        <f t="shared" si="48"/>
        <v>0</v>
      </c>
      <c r="CB67" s="113">
        <f t="shared" si="49"/>
        <v>0</v>
      </c>
      <c r="CC67" s="119" t="e">
        <f t="shared" si="50"/>
        <v>#DIV/0!</v>
      </c>
      <c r="CD67" s="119" t="e">
        <f t="shared" si="50"/>
        <v>#DIV/0!</v>
      </c>
      <c r="CE67" s="119" t="e">
        <f t="shared" si="51"/>
        <v>#DIV/0!</v>
      </c>
      <c r="CF67" s="113" t="e">
        <f t="shared" si="14"/>
        <v>#DIV/0!</v>
      </c>
      <c r="CG67" s="619">
        <f t="shared" si="15"/>
        <v>0</v>
      </c>
      <c r="CH67" s="132" t="e">
        <f t="shared" si="52"/>
        <v>#DIV/0!</v>
      </c>
      <c r="CI67" s="625"/>
      <c r="CJ67" s="208">
        <f t="shared" si="16"/>
        <v>1364.94675792</v>
      </c>
      <c r="CK67" s="208">
        <f t="shared" si="17"/>
        <v>855.15216948</v>
      </c>
      <c r="CL67" s="208">
        <f>CJ67+CK67</f>
        <v>2220.0989273999999</v>
      </c>
      <c r="CM67" s="112">
        <f t="shared" si="18"/>
        <v>2220098.9273999999</v>
      </c>
      <c r="CN67" s="112">
        <f t="shared" si="19"/>
        <v>2190257.404416</v>
      </c>
      <c r="CO67" s="112">
        <f t="shared" si="20"/>
        <v>2190257.404416</v>
      </c>
      <c r="CP67" s="112">
        <f t="shared" si="21"/>
        <v>1364946.75792</v>
      </c>
      <c r="CQ67" s="112">
        <f t="shared" si="22"/>
        <v>2269452.5740800002</v>
      </c>
      <c r="CR67" s="112">
        <f t="shared" si="23"/>
        <v>2269452.5740800002</v>
      </c>
      <c r="CS67" s="112">
        <f t="shared" si="24"/>
        <v>855152.16948000004</v>
      </c>
      <c r="CT67" s="112">
        <f t="shared" si="54"/>
        <v>4459709.9784960002</v>
      </c>
      <c r="CU67" s="124">
        <f t="shared" si="55"/>
        <v>6483192.0000000009</v>
      </c>
      <c r="CV67" s="112">
        <f t="shared" si="25"/>
        <v>0</v>
      </c>
      <c r="CW67" s="112">
        <f t="shared" si="26"/>
        <v>0</v>
      </c>
      <c r="CX67" s="112">
        <f t="shared" si="56"/>
        <v>0</v>
      </c>
      <c r="CY67" s="112">
        <f t="shared" si="27"/>
        <v>2190257.404416</v>
      </c>
      <c r="CZ67" s="112">
        <f t="shared" si="28"/>
        <v>2269452.5740800002</v>
      </c>
      <c r="DA67" s="625"/>
      <c r="DB67" s="128" t="e">
        <f t="shared" si="57"/>
        <v>#DIV/0!</v>
      </c>
      <c r="DC67" s="625"/>
      <c r="DD67" s="625"/>
      <c r="DE67" s="625"/>
      <c r="DF67" s="625"/>
      <c r="DG67" s="618">
        <f t="shared" si="29"/>
        <v>0</v>
      </c>
      <c r="DH67" s="618">
        <f t="shared" si="30"/>
        <v>0</v>
      </c>
      <c r="DI67" s="618">
        <f t="shared" si="31"/>
        <v>0</v>
      </c>
      <c r="DJ67" s="123"/>
    </row>
    <row r="68" spans="1:116" s="13" customFormat="1" ht="79.5" hidden="1" customHeight="1">
      <c r="A68" s="695">
        <f t="shared" si="58"/>
        <v>55</v>
      </c>
      <c r="B68" s="1896" t="s">
        <v>23</v>
      </c>
      <c r="C68" s="705" t="s">
        <v>68</v>
      </c>
      <c r="D68" s="808" t="s">
        <v>24</v>
      </c>
      <c r="E68" s="746">
        <v>4616008283</v>
      </c>
      <c r="F68" s="696" t="s">
        <v>8</v>
      </c>
      <c r="G68" s="808" t="s">
        <v>888</v>
      </c>
      <c r="H68" s="697">
        <v>2969.65</v>
      </c>
      <c r="I68" s="697">
        <v>2969.65</v>
      </c>
      <c r="J68" s="697">
        <v>2641.64</v>
      </c>
      <c r="K68" s="697">
        <v>2641.64</v>
      </c>
      <c r="L68" s="697">
        <v>2969.65</v>
      </c>
      <c r="M68" s="697">
        <v>0</v>
      </c>
      <c r="N68" s="714">
        <v>3133.05</v>
      </c>
      <c r="O68" s="714">
        <v>3133.05</v>
      </c>
      <c r="P68" s="714">
        <v>2813.32</v>
      </c>
      <c r="Q68" s="714">
        <v>2813.32</v>
      </c>
      <c r="R68" s="714">
        <v>3133.05</v>
      </c>
      <c r="S68" s="714">
        <v>0</v>
      </c>
      <c r="T68" s="747">
        <v>4718.74</v>
      </c>
      <c r="U68" s="747">
        <v>1360.3150000000001</v>
      </c>
      <c r="V68" s="18">
        <v>47.765000000000001</v>
      </c>
      <c r="W68" s="18">
        <v>400.84</v>
      </c>
      <c r="X68" s="18">
        <v>0</v>
      </c>
      <c r="Y68" s="18">
        <v>0</v>
      </c>
      <c r="Z68" s="29">
        <f>SUM(T68:W68)</f>
        <v>6527.6600000000008</v>
      </c>
      <c r="AA68" s="747">
        <v>2759.84</v>
      </c>
      <c r="AB68" s="747">
        <v>965.65700000000004</v>
      </c>
      <c r="AC68" s="18">
        <v>31.843</v>
      </c>
      <c r="AD68" s="18">
        <v>197.8</v>
      </c>
      <c r="AE68" s="18">
        <v>0</v>
      </c>
      <c r="AF68" s="18">
        <v>0</v>
      </c>
      <c r="AG68" s="99">
        <f>SUM(AA68:AD68)</f>
        <v>3955.1400000000003</v>
      </c>
      <c r="AH68" s="99">
        <f>Z68+AG68</f>
        <v>10482.800000000001</v>
      </c>
      <c r="AI68" s="747">
        <f>T68+AA68</f>
        <v>7478.58</v>
      </c>
      <c r="AJ68" s="747">
        <f>U68+AB68</f>
        <v>2325.9720000000002</v>
      </c>
      <c r="AK68" s="18">
        <f>V68+AC68</f>
        <v>79.608000000000004</v>
      </c>
      <c r="AL68" s="18">
        <f>W68+AD68</f>
        <v>598.64</v>
      </c>
      <c r="AM68" s="18">
        <f t="shared" si="64"/>
        <v>0</v>
      </c>
      <c r="AN68" s="18"/>
      <c r="AO68" s="747">
        <f>SUM(AI68:AN68)</f>
        <v>10482.799999999999</v>
      </c>
      <c r="AP68" s="747">
        <f>SUM(AI68:AM68)</f>
        <v>10482.799999999999</v>
      </c>
      <c r="AQ68" s="747">
        <f>SUM(AI68:AL68)</f>
        <v>10482.799999999999</v>
      </c>
      <c r="AR68" s="99">
        <f t="shared" si="39"/>
        <v>0</v>
      </c>
      <c r="AS68" s="18">
        <f t="shared" si="70"/>
        <v>22208765.096999999</v>
      </c>
      <c r="AT68" s="18">
        <f t="shared" si="70"/>
        <v>6144380.6740800003</v>
      </c>
      <c r="AU68" s="18">
        <f t="shared" si="70"/>
        <v>210295.67712000001</v>
      </c>
      <c r="AV68" s="18">
        <f t="shared" si="70"/>
        <v>1777751.2760000001</v>
      </c>
      <c r="AW68" s="18">
        <f t="shared" si="70"/>
        <v>0</v>
      </c>
      <c r="AX68" s="18">
        <f t="shared" si="40"/>
        <v>30341192.724199999</v>
      </c>
      <c r="AY68" s="18">
        <f t="shared" si="41"/>
        <v>30341192.724199999</v>
      </c>
      <c r="AZ68" s="18">
        <f t="shared" si="71"/>
        <v>23430765.069000002</v>
      </c>
      <c r="BA68" s="18">
        <f t="shared" si="71"/>
        <v>6543703.5470400006</v>
      </c>
      <c r="BB68" s="18">
        <f t="shared" si="71"/>
        <v>223962.77856000004</v>
      </c>
      <c r="BC68" s="18">
        <f t="shared" si="71"/>
        <v>1875569.0520000001</v>
      </c>
      <c r="BD68" s="18">
        <f t="shared" si="71"/>
        <v>0</v>
      </c>
      <c r="BE68" s="18">
        <f t="shared" si="42"/>
        <v>32074000.446600005</v>
      </c>
      <c r="BF68" s="18">
        <f t="shared" si="43"/>
        <v>32074000.446600005</v>
      </c>
      <c r="BG68" s="18">
        <v>461.86399999999998</v>
      </c>
      <c r="BH68" s="18">
        <v>318.93099999999998</v>
      </c>
      <c r="BI68" s="18">
        <f>BG68+BH68</f>
        <v>780.79499999999996</v>
      </c>
      <c r="BJ68" s="18">
        <v>31776.53</v>
      </c>
      <c r="BK68" s="18">
        <v>32626.45</v>
      </c>
      <c r="BL68" s="18">
        <f>I68*T68</f>
        <v>14013006.241</v>
      </c>
      <c r="BM68" s="18">
        <f>J68*U68</f>
        <v>3593462.5165999997</v>
      </c>
      <c r="BN68" s="18">
        <f>K68*V68</f>
        <v>126177.93459999999</v>
      </c>
      <c r="BO68" s="18">
        <f>L68*W68</f>
        <v>1190354.5060000001</v>
      </c>
      <c r="BP68" s="18">
        <f t="shared" si="72"/>
        <v>0</v>
      </c>
      <c r="BQ68" s="18">
        <f>BL68+BM68+BN68+BO68+BP68</f>
        <v>18923001.198200002</v>
      </c>
      <c r="BR68" s="18">
        <f>BQ68-BP68</f>
        <v>18923001.198200002</v>
      </c>
      <c r="BS68" s="18">
        <f>O68*AA68</f>
        <v>8646716.7120000012</v>
      </c>
      <c r="BT68" s="18">
        <f>P68*AB68</f>
        <v>2716702.15124</v>
      </c>
      <c r="BU68" s="18">
        <f>Q68*AC68</f>
        <v>89584.548760000005</v>
      </c>
      <c r="BV68" s="18">
        <f>R68*W68</f>
        <v>1255851.7620000001</v>
      </c>
      <c r="BW68" s="18">
        <f t="shared" si="13"/>
        <v>0</v>
      </c>
      <c r="BX68" s="18">
        <f>BS68+BT68+BU68+BV68+BW68</f>
        <v>12708855.174000002</v>
      </c>
      <c r="BY68" s="18">
        <f>BX68-BW68</f>
        <v>12708855.174000002</v>
      </c>
      <c r="BZ68" s="161">
        <f>BM68+BT68</f>
        <v>6310164.6678400002</v>
      </c>
      <c r="CA68" s="161">
        <f>BN68+BU68</f>
        <v>215762.48336000001</v>
      </c>
      <c r="CB68" s="161">
        <f>BZ68+CA68</f>
        <v>6525927.1512000002</v>
      </c>
      <c r="CC68" s="162">
        <f t="shared" si="50"/>
        <v>2712.9151459432874</v>
      </c>
      <c r="CD68" s="162">
        <f t="shared" si="50"/>
        <v>2710.311568686564</v>
      </c>
      <c r="CE68" s="162">
        <f t="shared" si="51"/>
        <v>2712.8289856084598</v>
      </c>
      <c r="CF68" s="162">
        <f t="shared" si="14"/>
        <v>2712.8289856084607</v>
      </c>
      <c r="CG68" s="651">
        <f t="shared" si="15"/>
        <v>7306722.1470000008</v>
      </c>
      <c r="CH68" s="652">
        <f t="shared" si="52"/>
        <v>3037.4055932457036</v>
      </c>
      <c r="CJ68" s="18">
        <f t="shared" si="16"/>
        <v>19384.865519000003</v>
      </c>
      <c r="CK68" s="18">
        <f t="shared" si="17"/>
        <v>12391.651377000002</v>
      </c>
      <c r="CL68" s="18">
        <f t="shared" si="53"/>
        <v>31776.516896000005</v>
      </c>
      <c r="CM68" s="18">
        <f t="shared" si="18"/>
        <v>31776516.896000005</v>
      </c>
      <c r="CN68" s="18">
        <f t="shared" si="19"/>
        <v>30341192.724199999</v>
      </c>
      <c r="CO68" s="18">
        <f t="shared" si="20"/>
        <v>30341192.724199999</v>
      </c>
      <c r="CP68" s="18">
        <f t="shared" si="21"/>
        <v>18923001.198200002</v>
      </c>
      <c r="CQ68" s="18">
        <f t="shared" si="22"/>
        <v>32074000.446600005</v>
      </c>
      <c r="CR68" s="18">
        <f t="shared" si="23"/>
        <v>32074000.446600005</v>
      </c>
      <c r="CS68" s="18">
        <f t="shared" si="24"/>
        <v>12072720.702000003</v>
      </c>
      <c r="CT68" s="18">
        <f t="shared" si="54"/>
        <v>62415193.1708</v>
      </c>
      <c r="CU68" s="29">
        <f t="shared" si="55"/>
        <v>5954057.4246193757</v>
      </c>
      <c r="CV68" s="18">
        <f t="shared" si="25"/>
        <v>6354676.3512000004</v>
      </c>
      <c r="CW68" s="18">
        <f t="shared" si="26"/>
        <v>6767666.325600001</v>
      </c>
      <c r="CX68" s="18">
        <f t="shared" si="56"/>
        <v>13122342.676800001</v>
      </c>
      <c r="CY68" s="18">
        <f t="shared" si="27"/>
        <v>31130247.02</v>
      </c>
      <c r="CZ68" s="18">
        <f t="shared" si="28"/>
        <v>32843136.540000003</v>
      </c>
      <c r="DB68" s="653">
        <f t="shared" si="57"/>
        <v>118.60245907845129</v>
      </c>
      <c r="DG68" s="701">
        <f t="shared" si="29"/>
        <v>0</v>
      </c>
      <c r="DH68" s="701">
        <f t="shared" si="30"/>
        <v>0</v>
      </c>
      <c r="DI68" s="701">
        <f t="shared" si="31"/>
        <v>0</v>
      </c>
    </row>
    <row r="69" spans="1:116" s="32" customFormat="1" ht="63.75" customHeight="1">
      <c r="A69" s="20">
        <f t="shared" si="58"/>
        <v>56</v>
      </c>
      <c r="B69" s="1897"/>
      <c r="C69" s="806" t="s">
        <v>106</v>
      </c>
      <c r="D69" s="749" t="s">
        <v>141</v>
      </c>
      <c r="E69" s="617">
        <v>4632024035</v>
      </c>
      <c r="F69" s="806" t="s">
        <v>8</v>
      </c>
      <c r="G69" s="752" t="s">
        <v>890</v>
      </c>
      <c r="H69" s="819">
        <f>2653.36*1.2</f>
        <v>3184.0320000000002</v>
      </c>
      <c r="I69" s="819">
        <f>2653.36*1.2</f>
        <v>3184.0320000000002</v>
      </c>
      <c r="J69" s="38"/>
      <c r="K69" s="38"/>
      <c r="L69" s="819">
        <f>2653.36*1.2</f>
        <v>3184.0320000000002</v>
      </c>
      <c r="M69" s="10"/>
      <c r="N69" s="622">
        <f>2749.3*1.2</f>
        <v>3299.1600000000003</v>
      </c>
      <c r="O69" s="622">
        <f>2749.3*1.2</f>
        <v>3299.1600000000003</v>
      </c>
      <c r="P69" s="10"/>
      <c r="Q69" s="10"/>
      <c r="R69" s="622">
        <f>2749.3*1.2</f>
        <v>3299.1600000000003</v>
      </c>
      <c r="S69" s="10"/>
      <c r="T69" s="178">
        <v>527.74400000000003</v>
      </c>
      <c r="U69" s="16"/>
      <c r="V69" s="227"/>
      <c r="W69" s="16"/>
      <c r="X69" s="16"/>
      <c r="Y69" s="16"/>
      <c r="Z69" s="35">
        <f t="shared" si="34"/>
        <v>527.74400000000003</v>
      </c>
      <c r="AA69" s="178">
        <v>313.524</v>
      </c>
      <c r="AB69" s="16"/>
      <c r="AC69" s="227"/>
      <c r="AD69" s="16"/>
      <c r="AE69" s="16"/>
      <c r="AF69" s="16"/>
      <c r="AG69" s="35">
        <f t="shared" si="35"/>
        <v>313.524</v>
      </c>
      <c r="AH69" s="35">
        <f t="shared" si="36"/>
        <v>841.26800000000003</v>
      </c>
      <c r="AI69" s="15">
        <f t="shared" si="64"/>
        <v>841.26800000000003</v>
      </c>
      <c r="AJ69" s="15">
        <f t="shared" si="64"/>
        <v>0</v>
      </c>
      <c r="AK69" s="15">
        <f t="shared" si="64"/>
        <v>0</v>
      </c>
      <c r="AL69" s="15">
        <f t="shared" si="64"/>
        <v>0</v>
      </c>
      <c r="AM69" s="15">
        <f t="shared" si="64"/>
        <v>0</v>
      </c>
      <c r="AN69" s="15"/>
      <c r="AO69" s="15">
        <f t="shared" si="7"/>
        <v>841.26800000000003</v>
      </c>
      <c r="AP69" s="15">
        <f t="shared" si="37"/>
        <v>841.26800000000003</v>
      </c>
      <c r="AQ69" s="15">
        <f t="shared" si="38"/>
        <v>841.26800000000003</v>
      </c>
      <c r="AR69" s="127">
        <f t="shared" si="39"/>
        <v>0</v>
      </c>
      <c r="AS69" s="112">
        <f t="shared" si="70"/>
        <v>2678624.232576</v>
      </c>
      <c r="AT69" s="112">
        <f t="shared" si="70"/>
        <v>0</v>
      </c>
      <c r="AU69" s="112">
        <f t="shared" si="70"/>
        <v>0</v>
      </c>
      <c r="AV69" s="112">
        <f t="shared" si="70"/>
        <v>0</v>
      </c>
      <c r="AW69" s="112">
        <f t="shared" si="70"/>
        <v>0</v>
      </c>
      <c r="AX69" s="112">
        <f t="shared" si="40"/>
        <v>2678624.232576</v>
      </c>
      <c r="AY69" s="112">
        <f t="shared" si="41"/>
        <v>2678624.232576</v>
      </c>
      <c r="AZ69" s="112">
        <f t="shared" si="71"/>
        <v>2775477.7348800004</v>
      </c>
      <c r="BA69" s="112">
        <f t="shared" si="71"/>
        <v>0</v>
      </c>
      <c r="BB69" s="112">
        <f t="shared" si="71"/>
        <v>0</v>
      </c>
      <c r="BC69" s="112">
        <f t="shared" si="71"/>
        <v>0</v>
      </c>
      <c r="BD69" s="112">
        <f t="shared" si="71"/>
        <v>0</v>
      </c>
      <c r="BE69" s="112">
        <f t="shared" si="42"/>
        <v>2775477.7348800004</v>
      </c>
      <c r="BF69" s="112">
        <f t="shared" si="43"/>
        <v>2775477.7348800004</v>
      </c>
      <c r="BG69" s="126"/>
      <c r="BH69" s="126"/>
      <c r="BI69" s="112">
        <f t="shared" ref="BI69:BI127" si="80">BG69+BH69</f>
        <v>0</v>
      </c>
      <c r="BJ69" s="112"/>
      <c r="BK69" s="112"/>
      <c r="BL69" s="112">
        <f t="shared" si="72"/>
        <v>1680353.7838080002</v>
      </c>
      <c r="BM69" s="112">
        <f t="shared" si="72"/>
        <v>0</v>
      </c>
      <c r="BN69" s="112">
        <f t="shared" si="72"/>
        <v>0</v>
      </c>
      <c r="BO69" s="112">
        <f t="shared" si="72"/>
        <v>0</v>
      </c>
      <c r="BP69" s="112">
        <f t="shared" si="72"/>
        <v>0</v>
      </c>
      <c r="BQ69" s="112">
        <f t="shared" si="44"/>
        <v>1680353.7838080002</v>
      </c>
      <c r="BR69" s="112">
        <f t="shared" si="45"/>
        <v>1680353.7838080002</v>
      </c>
      <c r="BS69" s="112">
        <f t="shared" si="73"/>
        <v>1034365.8398400001</v>
      </c>
      <c r="BT69" s="112">
        <f t="shared" si="73"/>
        <v>0</v>
      </c>
      <c r="BU69" s="112">
        <f t="shared" si="73"/>
        <v>0</v>
      </c>
      <c r="BV69" s="112">
        <f t="shared" si="12"/>
        <v>0</v>
      </c>
      <c r="BW69" s="112">
        <f t="shared" si="13"/>
        <v>0</v>
      </c>
      <c r="BX69" s="112">
        <f t="shared" si="46"/>
        <v>1034365.8398400001</v>
      </c>
      <c r="BY69" s="112">
        <f t="shared" si="47"/>
        <v>1034365.8398400001</v>
      </c>
      <c r="BZ69" s="113">
        <f t="shared" si="48"/>
        <v>0</v>
      </c>
      <c r="CA69" s="113">
        <f t="shared" si="48"/>
        <v>0</v>
      </c>
      <c r="CB69" s="113">
        <f t="shared" si="49"/>
        <v>0</v>
      </c>
      <c r="CC69" s="119" t="e">
        <f t="shared" si="50"/>
        <v>#DIV/0!</v>
      </c>
      <c r="CD69" s="119" t="e">
        <f t="shared" si="50"/>
        <v>#DIV/0!</v>
      </c>
      <c r="CE69" s="119" t="e">
        <f t="shared" si="51"/>
        <v>#DIV/0!</v>
      </c>
      <c r="CF69" s="113" t="e">
        <f t="shared" si="14"/>
        <v>#DIV/0!</v>
      </c>
      <c r="CG69" s="619">
        <f t="shared" si="15"/>
        <v>0</v>
      </c>
      <c r="CH69" s="132" t="e">
        <f t="shared" si="52"/>
        <v>#DIV/0!</v>
      </c>
      <c r="CI69" s="625"/>
      <c r="CJ69" s="208">
        <f t="shared" si="16"/>
        <v>1680.3537838080001</v>
      </c>
      <c r="CK69" s="208">
        <f t="shared" si="17"/>
        <v>1034.36583984</v>
      </c>
      <c r="CL69" s="208">
        <f t="shared" si="53"/>
        <v>2714.7196236480004</v>
      </c>
      <c r="CM69" s="112">
        <f t="shared" si="18"/>
        <v>2714719.6236480004</v>
      </c>
      <c r="CN69" s="112">
        <f t="shared" si="19"/>
        <v>2678624.232576</v>
      </c>
      <c r="CO69" s="112">
        <f t="shared" si="20"/>
        <v>2678624.232576</v>
      </c>
      <c r="CP69" s="112">
        <f t="shared" si="21"/>
        <v>1680353.7838080002</v>
      </c>
      <c r="CQ69" s="112">
        <f t="shared" si="22"/>
        <v>2775477.7348800004</v>
      </c>
      <c r="CR69" s="112">
        <f t="shared" si="23"/>
        <v>2775477.7348800004</v>
      </c>
      <c r="CS69" s="112">
        <f t="shared" si="24"/>
        <v>1034365.8398400001</v>
      </c>
      <c r="CT69" s="112">
        <f t="shared" si="54"/>
        <v>5454101.9674559999</v>
      </c>
      <c r="CU69" s="124">
        <f t="shared" si="55"/>
        <v>6483192</v>
      </c>
      <c r="CV69" s="112">
        <f t="shared" si="25"/>
        <v>0</v>
      </c>
      <c r="CW69" s="112">
        <f t="shared" si="26"/>
        <v>0</v>
      </c>
      <c r="CX69" s="112">
        <f t="shared" si="56"/>
        <v>0</v>
      </c>
      <c r="CY69" s="112">
        <f t="shared" si="27"/>
        <v>2678624.232576</v>
      </c>
      <c r="CZ69" s="112">
        <f t="shared" si="28"/>
        <v>2775477.7348800004</v>
      </c>
      <c r="DA69" s="625"/>
      <c r="DB69" s="128" t="e">
        <f t="shared" si="57"/>
        <v>#DIV/0!</v>
      </c>
      <c r="DC69" s="625"/>
      <c r="DD69" s="625"/>
      <c r="DE69" s="625"/>
      <c r="DF69" s="625"/>
      <c r="DG69" s="618">
        <f t="shared" si="29"/>
        <v>0</v>
      </c>
      <c r="DH69" s="618">
        <f t="shared" si="30"/>
        <v>0</v>
      </c>
      <c r="DI69" s="618">
        <f t="shared" si="31"/>
        <v>0</v>
      </c>
      <c r="DJ69" s="123"/>
    </row>
    <row r="70" spans="1:116" s="20" customFormat="1" ht="63.75" customHeight="1">
      <c r="A70" s="20">
        <f t="shared" si="58"/>
        <v>57</v>
      </c>
      <c r="B70" s="1905"/>
      <c r="C70" s="806" t="s">
        <v>107</v>
      </c>
      <c r="D70" s="749" t="s">
        <v>141</v>
      </c>
      <c r="E70" s="617">
        <v>4632024035</v>
      </c>
      <c r="F70" s="806" t="s">
        <v>8</v>
      </c>
      <c r="G70" s="752" t="s">
        <v>890</v>
      </c>
      <c r="H70" s="819">
        <f>2653.36*1.2</f>
        <v>3184.0320000000002</v>
      </c>
      <c r="I70" s="819">
        <f>2653.36*1.2</f>
        <v>3184.0320000000002</v>
      </c>
      <c r="J70" s="38"/>
      <c r="K70" s="38"/>
      <c r="L70" s="819">
        <f>2653.36*1.2</f>
        <v>3184.0320000000002</v>
      </c>
      <c r="M70" s="10"/>
      <c r="N70" s="622">
        <f>2749.3*1.2</f>
        <v>3299.1600000000003</v>
      </c>
      <c r="O70" s="622">
        <f>2749.3*1.2</f>
        <v>3299.1600000000003</v>
      </c>
      <c r="P70" s="10"/>
      <c r="Q70" s="10"/>
      <c r="R70" s="622">
        <f>2749.3*1.2</f>
        <v>3299.1600000000003</v>
      </c>
      <c r="S70" s="10"/>
      <c r="T70" s="178">
        <v>167.80199999999999</v>
      </c>
      <c r="U70" s="670"/>
      <c r="V70" s="671"/>
      <c r="W70" s="622"/>
      <c r="X70" s="622"/>
      <c r="Y70" s="622"/>
      <c r="Z70" s="35">
        <f t="shared" si="34"/>
        <v>167.80199999999999</v>
      </c>
      <c r="AA70" s="178">
        <v>97.440000000000012</v>
      </c>
      <c r="AB70" s="15"/>
      <c r="AC70" s="208"/>
      <c r="AD70" s="15"/>
      <c r="AE70" s="15"/>
      <c r="AF70" s="15"/>
      <c r="AG70" s="35">
        <f t="shared" si="35"/>
        <v>97.440000000000012</v>
      </c>
      <c r="AH70" s="35">
        <f t="shared" si="36"/>
        <v>265.24200000000002</v>
      </c>
      <c r="AI70" s="15">
        <f t="shared" si="64"/>
        <v>265.24200000000002</v>
      </c>
      <c r="AJ70" s="15">
        <f t="shared" si="64"/>
        <v>0</v>
      </c>
      <c r="AK70" s="15">
        <f t="shared" si="64"/>
        <v>0</v>
      </c>
      <c r="AL70" s="15">
        <f t="shared" si="64"/>
        <v>0</v>
      </c>
      <c r="AM70" s="15">
        <f t="shared" si="64"/>
        <v>0</v>
      </c>
      <c r="AN70" s="15"/>
      <c r="AO70" s="15">
        <f t="shared" si="7"/>
        <v>265.24200000000002</v>
      </c>
      <c r="AP70" s="15">
        <f t="shared" si="37"/>
        <v>265.24200000000002</v>
      </c>
      <c r="AQ70" s="15">
        <f t="shared" si="38"/>
        <v>265.24200000000002</v>
      </c>
      <c r="AR70" s="127">
        <f t="shared" si="39"/>
        <v>0</v>
      </c>
      <c r="AS70" s="112">
        <f t="shared" si="70"/>
        <v>844539.01574400009</v>
      </c>
      <c r="AT70" s="112">
        <f t="shared" si="70"/>
        <v>0</v>
      </c>
      <c r="AU70" s="112">
        <f t="shared" si="70"/>
        <v>0</v>
      </c>
      <c r="AV70" s="112">
        <f t="shared" si="70"/>
        <v>0</v>
      </c>
      <c r="AW70" s="112">
        <f t="shared" si="70"/>
        <v>0</v>
      </c>
      <c r="AX70" s="112">
        <f t="shared" si="40"/>
        <v>844539.01574400009</v>
      </c>
      <c r="AY70" s="112">
        <f t="shared" si="41"/>
        <v>844539.01574400009</v>
      </c>
      <c r="AZ70" s="112">
        <f t="shared" si="71"/>
        <v>875075.7967200001</v>
      </c>
      <c r="BA70" s="112">
        <f t="shared" si="71"/>
        <v>0</v>
      </c>
      <c r="BB70" s="112">
        <f t="shared" si="71"/>
        <v>0</v>
      </c>
      <c r="BC70" s="112">
        <f t="shared" si="71"/>
        <v>0</v>
      </c>
      <c r="BD70" s="112">
        <f t="shared" si="71"/>
        <v>0</v>
      </c>
      <c r="BE70" s="112">
        <f t="shared" si="42"/>
        <v>875075.7967200001</v>
      </c>
      <c r="BF70" s="112">
        <f t="shared" si="43"/>
        <v>875075.7967200001</v>
      </c>
      <c r="BG70" s="112"/>
      <c r="BH70" s="112"/>
      <c r="BI70" s="112">
        <f t="shared" si="80"/>
        <v>0</v>
      </c>
      <c r="BJ70" s="112"/>
      <c r="BK70" s="112"/>
      <c r="BL70" s="112">
        <f t="shared" si="72"/>
        <v>534286.93766399997</v>
      </c>
      <c r="BM70" s="112">
        <f t="shared" si="72"/>
        <v>0</v>
      </c>
      <c r="BN70" s="112">
        <f t="shared" si="72"/>
        <v>0</v>
      </c>
      <c r="BO70" s="112">
        <f t="shared" si="72"/>
        <v>0</v>
      </c>
      <c r="BP70" s="112">
        <f t="shared" si="72"/>
        <v>0</v>
      </c>
      <c r="BQ70" s="112">
        <f t="shared" si="44"/>
        <v>534286.93766399997</v>
      </c>
      <c r="BR70" s="112">
        <f t="shared" si="45"/>
        <v>534286.93766399997</v>
      </c>
      <c r="BS70" s="112">
        <f t="shared" si="73"/>
        <v>321470.15040000004</v>
      </c>
      <c r="BT70" s="112">
        <f t="shared" si="73"/>
        <v>0</v>
      </c>
      <c r="BU70" s="112">
        <f t="shared" si="73"/>
        <v>0</v>
      </c>
      <c r="BV70" s="112">
        <f t="shared" si="12"/>
        <v>0</v>
      </c>
      <c r="BW70" s="112">
        <f t="shared" si="13"/>
        <v>0</v>
      </c>
      <c r="BX70" s="112">
        <f t="shared" si="46"/>
        <v>321470.15040000004</v>
      </c>
      <c r="BY70" s="112">
        <f t="shared" si="47"/>
        <v>321470.15040000004</v>
      </c>
      <c r="BZ70" s="113">
        <f t="shared" si="48"/>
        <v>0</v>
      </c>
      <c r="CA70" s="113">
        <f t="shared" si="48"/>
        <v>0</v>
      </c>
      <c r="CB70" s="113">
        <f t="shared" si="49"/>
        <v>0</v>
      </c>
      <c r="CC70" s="119" t="e">
        <f t="shared" si="50"/>
        <v>#DIV/0!</v>
      </c>
      <c r="CD70" s="119" t="e">
        <f t="shared" si="50"/>
        <v>#DIV/0!</v>
      </c>
      <c r="CE70" s="119" t="e">
        <f t="shared" si="51"/>
        <v>#DIV/0!</v>
      </c>
      <c r="CF70" s="113" t="e">
        <f t="shared" si="14"/>
        <v>#DIV/0!</v>
      </c>
      <c r="CG70" s="619">
        <f t="shared" si="15"/>
        <v>0</v>
      </c>
      <c r="CH70" s="132" t="e">
        <f t="shared" si="52"/>
        <v>#DIV/0!</v>
      </c>
      <c r="CI70" s="106"/>
      <c r="CJ70" s="208">
        <f t="shared" si="16"/>
        <v>534.28693766399999</v>
      </c>
      <c r="CK70" s="208">
        <f t="shared" si="17"/>
        <v>321.47015040000002</v>
      </c>
      <c r="CL70" s="208">
        <f t="shared" si="53"/>
        <v>855.75708806400007</v>
      </c>
      <c r="CM70" s="112">
        <f t="shared" si="18"/>
        <v>855757.08806400001</v>
      </c>
      <c r="CN70" s="112">
        <f t="shared" si="19"/>
        <v>844539.01574400009</v>
      </c>
      <c r="CO70" s="112">
        <f t="shared" si="20"/>
        <v>844539.01574400009</v>
      </c>
      <c r="CP70" s="112">
        <f t="shared" si="21"/>
        <v>534286.93766399997</v>
      </c>
      <c r="CQ70" s="112">
        <f t="shared" si="22"/>
        <v>875075.7967200001</v>
      </c>
      <c r="CR70" s="112">
        <f t="shared" si="23"/>
        <v>875075.7967200001</v>
      </c>
      <c r="CS70" s="112">
        <f t="shared" si="24"/>
        <v>321470.15040000004</v>
      </c>
      <c r="CT70" s="112">
        <f t="shared" si="54"/>
        <v>1719614.8124640002</v>
      </c>
      <c r="CU70" s="124">
        <f t="shared" si="55"/>
        <v>6483192</v>
      </c>
      <c r="CV70" s="112">
        <f t="shared" si="25"/>
        <v>0</v>
      </c>
      <c r="CW70" s="112">
        <f t="shared" si="26"/>
        <v>0</v>
      </c>
      <c r="CX70" s="112">
        <f t="shared" si="56"/>
        <v>0</v>
      </c>
      <c r="CY70" s="112">
        <f t="shared" si="27"/>
        <v>844539.01574400009</v>
      </c>
      <c r="CZ70" s="112">
        <f t="shared" si="28"/>
        <v>875075.7967200001</v>
      </c>
      <c r="DA70" s="106"/>
      <c r="DB70" s="128" t="e">
        <f t="shared" si="57"/>
        <v>#DIV/0!</v>
      </c>
      <c r="DC70" s="106"/>
      <c r="DD70" s="106"/>
      <c r="DE70" s="106"/>
      <c r="DF70" s="106"/>
      <c r="DG70" s="618">
        <f t="shared" si="29"/>
        <v>0</v>
      </c>
      <c r="DH70" s="618">
        <f t="shared" si="30"/>
        <v>0</v>
      </c>
      <c r="DI70" s="618">
        <f t="shared" si="31"/>
        <v>0</v>
      </c>
      <c r="DJ70" s="115"/>
    </row>
    <row r="71" spans="1:116" s="45" customFormat="1" ht="56.25" hidden="1" customHeight="1">
      <c r="A71" s="20">
        <f t="shared" si="58"/>
        <v>58</v>
      </c>
      <c r="B71" s="1970" t="s">
        <v>25</v>
      </c>
      <c r="C71" s="1896" t="s">
        <v>108</v>
      </c>
      <c r="D71" s="696" t="s">
        <v>26</v>
      </c>
      <c r="E71" s="761">
        <v>4617004147</v>
      </c>
      <c r="F71" s="696" t="s">
        <v>8</v>
      </c>
      <c r="G71" s="804" t="s">
        <v>901</v>
      </c>
      <c r="H71" s="607">
        <v>2468.0000000000009</v>
      </c>
      <c r="I71" s="38">
        <v>2468.0000000000009</v>
      </c>
      <c r="J71" s="607">
        <v>2468.0000000000009</v>
      </c>
      <c r="K71" s="607"/>
      <c r="L71" s="607"/>
      <c r="M71" s="36"/>
      <c r="N71" s="36">
        <v>2555.4899999999998</v>
      </c>
      <c r="O71" s="10">
        <v>2555.4899999999998</v>
      </c>
      <c r="P71" s="36">
        <v>2555.4899999999998</v>
      </c>
      <c r="Q71" s="36"/>
      <c r="R71" s="36"/>
      <c r="S71" s="36"/>
      <c r="T71" s="177">
        <v>1742.6670000000001</v>
      </c>
      <c r="U71" s="173">
        <v>537.31299999999999</v>
      </c>
      <c r="V71" s="224">
        <v>0</v>
      </c>
      <c r="W71" s="173">
        <v>0</v>
      </c>
      <c r="X71" s="173">
        <v>0</v>
      </c>
      <c r="Y71" s="173">
        <v>0</v>
      </c>
      <c r="Z71" s="35">
        <f t="shared" si="34"/>
        <v>2279.98</v>
      </c>
      <c r="AA71" s="177">
        <v>1183.9153333333331</v>
      </c>
      <c r="AB71" s="173">
        <v>398.15899999999993</v>
      </c>
      <c r="AC71" s="224">
        <v>0</v>
      </c>
      <c r="AD71" s="173">
        <v>0</v>
      </c>
      <c r="AE71" s="173">
        <v>0</v>
      </c>
      <c r="AF71" s="173">
        <v>0</v>
      </c>
      <c r="AG71" s="35">
        <f t="shared" si="35"/>
        <v>1582.074333333333</v>
      </c>
      <c r="AH71" s="35">
        <f t="shared" si="36"/>
        <v>3862.054333333333</v>
      </c>
      <c r="AI71" s="15">
        <f t="shared" si="64"/>
        <v>2926.5823333333333</v>
      </c>
      <c r="AJ71" s="15">
        <f t="shared" si="64"/>
        <v>935.47199999999998</v>
      </c>
      <c r="AK71" s="15">
        <f t="shared" si="64"/>
        <v>0</v>
      </c>
      <c r="AL71" s="15">
        <f t="shared" si="64"/>
        <v>0</v>
      </c>
      <c r="AM71" s="15">
        <f t="shared" si="64"/>
        <v>0</v>
      </c>
      <c r="AN71" s="15"/>
      <c r="AO71" s="15">
        <f t="shared" si="7"/>
        <v>3862.0543333333335</v>
      </c>
      <c r="AP71" s="15">
        <f t="shared" si="37"/>
        <v>3862.0543333333335</v>
      </c>
      <c r="AQ71" s="15">
        <f t="shared" si="38"/>
        <v>3862.0543333333335</v>
      </c>
      <c r="AR71" s="127">
        <f t="shared" si="39"/>
        <v>0</v>
      </c>
      <c r="AS71" s="112">
        <f t="shared" si="70"/>
        <v>7222805.1986666694</v>
      </c>
      <c r="AT71" s="112">
        <f t="shared" si="70"/>
        <v>2308744.8960000006</v>
      </c>
      <c r="AU71" s="112">
        <f t="shared" si="70"/>
        <v>0</v>
      </c>
      <c r="AV71" s="112">
        <f t="shared" si="70"/>
        <v>0</v>
      </c>
      <c r="AW71" s="112">
        <f t="shared" si="70"/>
        <v>0</v>
      </c>
      <c r="AX71" s="112">
        <f t="shared" si="40"/>
        <v>9531550.094666671</v>
      </c>
      <c r="AY71" s="112">
        <f t="shared" si="41"/>
        <v>9531550.094666671</v>
      </c>
      <c r="AZ71" s="112">
        <f t="shared" si="71"/>
        <v>7478851.8870099988</v>
      </c>
      <c r="BA71" s="112">
        <f t="shared" si="71"/>
        <v>2390589.3412799998</v>
      </c>
      <c r="BB71" s="112">
        <f t="shared" si="71"/>
        <v>0</v>
      </c>
      <c r="BC71" s="112">
        <f t="shared" si="71"/>
        <v>0</v>
      </c>
      <c r="BD71" s="112">
        <f t="shared" si="71"/>
        <v>0</v>
      </c>
      <c r="BE71" s="112">
        <f t="shared" si="42"/>
        <v>9869441.2282899991</v>
      </c>
      <c r="BF71" s="112">
        <f t="shared" si="43"/>
        <v>9869441.2282899991</v>
      </c>
      <c r="BG71" s="169"/>
      <c r="BH71" s="170"/>
      <c r="BI71" s="169">
        <f t="shared" si="80"/>
        <v>0</v>
      </c>
      <c r="BJ71" s="169">
        <v>9669.9500000000007</v>
      </c>
      <c r="BK71" s="169"/>
      <c r="BL71" s="112">
        <f t="shared" si="72"/>
        <v>4300902.1560000023</v>
      </c>
      <c r="BM71" s="112">
        <f t="shared" si="72"/>
        <v>1326088.4840000004</v>
      </c>
      <c r="BN71" s="112">
        <f t="shared" si="72"/>
        <v>0</v>
      </c>
      <c r="BO71" s="112">
        <f t="shared" si="72"/>
        <v>0</v>
      </c>
      <c r="BP71" s="112">
        <f t="shared" si="72"/>
        <v>0</v>
      </c>
      <c r="BQ71" s="112">
        <f t="shared" si="44"/>
        <v>5626990.6400000025</v>
      </c>
      <c r="BR71" s="112">
        <f t="shared" si="45"/>
        <v>5626990.6400000025</v>
      </c>
      <c r="BS71" s="112">
        <f t="shared" si="73"/>
        <v>3025483.7951799994</v>
      </c>
      <c r="BT71" s="112">
        <f t="shared" si="73"/>
        <v>1017491.3429099998</v>
      </c>
      <c r="BU71" s="112">
        <f t="shared" si="73"/>
        <v>0</v>
      </c>
      <c r="BV71" s="112">
        <f t="shared" si="12"/>
        <v>0</v>
      </c>
      <c r="BW71" s="112">
        <f t="shared" si="13"/>
        <v>0</v>
      </c>
      <c r="BX71" s="112">
        <f t="shared" si="46"/>
        <v>4042975.1380899991</v>
      </c>
      <c r="BY71" s="112">
        <f t="shared" si="47"/>
        <v>4042975.1380899991</v>
      </c>
      <c r="BZ71" s="113">
        <f t="shared" si="48"/>
        <v>2343579.8269100003</v>
      </c>
      <c r="CA71" s="113">
        <f t="shared" si="48"/>
        <v>0</v>
      </c>
      <c r="CB71" s="113">
        <f t="shared" si="49"/>
        <v>2343579.8269100003</v>
      </c>
      <c r="CC71" s="119">
        <f t="shared" si="50"/>
        <v>2505.2378124732759</v>
      </c>
      <c r="CD71" s="119" t="e">
        <f t="shared" si="50"/>
        <v>#DIV/0!</v>
      </c>
      <c r="CE71" s="119">
        <f t="shared" si="51"/>
        <v>2505.2378124732759</v>
      </c>
      <c r="CF71" s="119">
        <f t="shared" si="14"/>
        <v>2505.2378124732759</v>
      </c>
      <c r="CG71" s="619">
        <f t="shared" si="15"/>
        <v>2343579.8269100003</v>
      </c>
      <c r="CH71" s="132">
        <f t="shared" si="52"/>
        <v>2505.2378124732759</v>
      </c>
      <c r="CI71" s="171"/>
      <c r="CJ71" s="112">
        <f t="shared" si="16"/>
        <v>5626.9906400000027</v>
      </c>
      <c r="CK71" s="112">
        <f t="shared" si="17"/>
        <v>4042.9751380899988</v>
      </c>
      <c r="CL71" s="112">
        <f t="shared" si="53"/>
        <v>9669.9657780900015</v>
      </c>
      <c r="CM71" s="112">
        <f t="shared" si="18"/>
        <v>9669965.7780900002</v>
      </c>
      <c r="CN71" s="112">
        <f t="shared" si="19"/>
        <v>9531550.094666671</v>
      </c>
      <c r="CO71" s="112">
        <f t="shared" si="20"/>
        <v>9531550.094666671</v>
      </c>
      <c r="CP71" s="112">
        <f t="shared" si="21"/>
        <v>5626990.6400000025</v>
      </c>
      <c r="CQ71" s="112">
        <f t="shared" si="22"/>
        <v>9869441.2282899991</v>
      </c>
      <c r="CR71" s="112">
        <f t="shared" si="23"/>
        <v>9869441.2282899991</v>
      </c>
      <c r="CS71" s="112">
        <f t="shared" si="24"/>
        <v>4042975.1380899991</v>
      </c>
      <c r="CT71" s="112">
        <f t="shared" si="54"/>
        <v>19400991.32295667</v>
      </c>
      <c r="CU71" s="124">
        <f t="shared" si="55"/>
        <v>5023490.0000000019</v>
      </c>
      <c r="CV71" s="112">
        <f t="shared" si="25"/>
        <v>2308744.8960000006</v>
      </c>
      <c r="CW71" s="112">
        <f t="shared" si="26"/>
        <v>2390589.3412799998</v>
      </c>
      <c r="CX71" s="112">
        <f t="shared" si="56"/>
        <v>4699334.23728</v>
      </c>
      <c r="CY71" s="112">
        <f t="shared" si="27"/>
        <v>9531550.094666671</v>
      </c>
      <c r="CZ71" s="112">
        <f t="shared" si="28"/>
        <v>9869441.2282899991</v>
      </c>
      <c r="DA71" s="171"/>
      <c r="DB71" s="128">
        <f t="shared" si="57"/>
        <v>103.54497568881681</v>
      </c>
      <c r="DC71" s="171"/>
      <c r="DD71" s="171"/>
      <c r="DE71" s="171"/>
      <c r="DF71" s="171"/>
      <c r="DG71" s="618">
        <f t="shared" si="29"/>
        <v>0</v>
      </c>
      <c r="DH71" s="618">
        <f t="shared" si="30"/>
        <v>0</v>
      </c>
      <c r="DI71" s="618">
        <f t="shared" si="31"/>
        <v>0</v>
      </c>
      <c r="DJ71" s="125"/>
      <c r="DK71" s="21"/>
      <c r="DL71" s="21"/>
    </row>
    <row r="72" spans="1:116" s="21" customFormat="1" ht="67.5" customHeight="1">
      <c r="A72" s="20">
        <f t="shared" si="58"/>
        <v>59</v>
      </c>
      <c r="B72" s="1970"/>
      <c r="C72" s="1905"/>
      <c r="D72" s="749" t="s">
        <v>141</v>
      </c>
      <c r="E72" s="617">
        <v>4632024035</v>
      </c>
      <c r="F72" s="806" t="s">
        <v>8</v>
      </c>
      <c r="G72" s="752" t="s">
        <v>890</v>
      </c>
      <c r="H72" s="819">
        <f>2653.36*1.2</f>
        <v>3184.0320000000002</v>
      </c>
      <c r="I72" s="819">
        <f>2653.36*1.2</f>
        <v>3184.0320000000002</v>
      </c>
      <c r="J72" s="38">
        <v>2732.57</v>
      </c>
      <c r="K72" s="38"/>
      <c r="L72" s="819">
        <f>2653.36*1.2</f>
        <v>3184.0320000000002</v>
      </c>
      <c r="M72" s="36"/>
      <c r="N72" s="622">
        <f>2749.3*1.2</f>
        <v>3299.1600000000003</v>
      </c>
      <c r="O72" s="622">
        <f>2749.3*1.2</f>
        <v>3299.1600000000003</v>
      </c>
      <c r="P72" s="38">
        <v>2896.52</v>
      </c>
      <c r="Q72" s="10"/>
      <c r="R72" s="622">
        <f>2749.3*1.2</f>
        <v>3299.1600000000003</v>
      </c>
      <c r="S72" s="36"/>
      <c r="T72" s="177">
        <v>159.517</v>
      </c>
      <c r="U72" s="173">
        <v>1797.1</v>
      </c>
      <c r="V72" s="224"/>
      <c r="W72" s="173"/>
      <c r="X72" s="173"/>
      <c r="Y72" s="173"/>
      <c r="Z72" s="35">
        <f t="shared" si="34"/>
        <v>1956.617</v>
      </c>
      <c r="AA72" s="177">
        <v>94.62</v>
      </c>
      <c r="AB72" s="173">
        <v>1347.8</v>
      </c>
      <c r="AC72" s="224"/>
      <c r="AD72" s="173"/>
      <c r="AE72" s="173"/>
      <c r="AF72" s="173"/>
      <c r="AG72" s="35">
        <f t="shared" si="35"/>
        <v>1442.42</v>
      </c>
      <c r="AH72" s="35">
        <f>Z72+AG72</f>
        <v>3399.0370000000003</v>
      </c>
      <c r="AI72" s="15">
        <f t="shared" si="64"/>
        <v>254.137</v>
      </c>
      <c r="AJ72" s="15">
        <f t="shared" si="64"/>
        <v>3144.8999999999996</v>
      </c>
      <c r="AK72" s="15">
        <f t="shared" si="64"/>
        <v>0</v>
      </c>
      <c r="AL72" s="15">
        <f t="shared" si="64"/>
        <v>0</v>
      </c>
      <c r="AM72" s="15">
        <f t="shared" si="64"/>
        <v>0</v>
      </c>
      <c r="AN72" s="15"/>
      <c r="AO72" s="15">
        <f t="shared" si="7"/>
        <v>3399.0369999999998</v>
      </c>
      <c r="AP72" s="15">
        <f t="shared" si="37"/>
        <v>3399.0369999999998</v>
      </c>
      <c r="AQ72" s="15">
        <f t="shared" ref="AQ72:AQ135" si="81">SUM(AI72:AL72)</f>
        <v>3399.0369999999998</v>
      </c>
      <c r="AR72" s="127">
        <f t="shared" si="39"/>
        <v>0</v>
      </c>
      <c r="AS72" s="112">
        <f t="shared" si="70"/>
        <v>809180.3403840001</v>
      </c>
      <c r="AT72" s="112">
        <f t="shared" si="70"/>
        <v>8593659.3929999992</v>
      </c>
      <c r="AU72" s="112">
        <f t="shared" si="70"/>
        <v>0</v>
      </c>
      <c r="AV72" s="112">
        <f t="shared" si="70"/>
        <v>0</v>
      </c>
      <c r="AW72" s="112">
        <f t="shared" si="70"/>
        <v>0</v>
      </c>
      <c r="AX72" s="112">
        <f t="shared" si="40"/>
        <v>9402839.7333840001</v>
      </c>
      <c r="AY72" s="112">
        <f t="shared" si="41"/>
        <v>9402839.7333840001</v>
      </c>
      <c r="AZ72" s="112">
        <f t="shared" si="71"/>
        <v>838438.62492000009</v>
      </c>
      <c r="BA72" s="112">
        <f t="shared" si="71"/>
        <v>9109265.7479999997</v>
      </c>
      <c r="BB72" s="112">
        <f t="shared" si="71"/>
        <v>0</v>
      </c>
      <c r="BC72" s="112">
        <f t="shared" si="71"/>
        <v>0</v>
      </c>
      <c r="BD72" s="112">
        <f t="shared" si="71"/>
        <v>0</v>
      </c>
      <c r="BE72" s="112">
        <f t="shared" si="42"/>
        <v>9947704.3729199991</v>
      </c>
      <c r="BF72" s="112">
        <f t="shared" si="43"/>
        <v>9947704.3729199991</v>
      </c>
      <c r="BG72" s="623">
        <f>(I72-J72)/1.2*U72/1000</f>
        <v>676.10196683333334</v>
      </c>
      <c r="BH72" s="624">
        <f>(O72-P72)/1.2*AB72/1000</f>
        <v>452.23182666666708</v>
      </c>
      <c r="BI72" s="623">
        <f>BG72+BH72</f>
        <v>1128.3337935000004</v>
      </c>
      <c r="BJ72" s="169"/>
      <c r="BK72" s="169"/>
      <c r="BL72" s="112">
        <f t="shared" si="72"/>
        <v>507907.23254400003</v>
      </c>
      <c r="BM72" s="112">
        <f t="shared" si="72"/>
        <v>4910701.5470000003</v>
      </c>
      <c r="BN72" s="112">
        <f t="shared" si="72"/>
        <v>0</v>
      </c>
      <c r="BO72" s="112">
        <f t="shared" si="72"/>
        <v>0</v>
      </c>
      <c r="BP72" s="112">
        <f t="shared" si="72"/>
        <v>0</v>
      </c>
      <c r="BQ72" s="112">
        <f t="shared" si="44"/>
        <v>5418608.7795440005</v>
      </c>
      <c r="BR72" s="112">
        <f t="shared" si="45"/>
        <v>5418608.7795440005</v>
      </c>
      <c r="BS72" s="112">
        <f t="shared" si="73"/>
        <v>312166.51920000004</v>
      </c>
      <c r="BT72" s="112">
        <f t="shared" si="73"/>
        <v>3903929.656</v>
      </c>
      <c r="BU72" s="112">
        <f t="shared" si="73"/>
        <v>0</v>
      </c>
      <c r="BV72" s="112">
        <f t="shared" si="12"/>
        <v>0</v>
      </c>
      <c r="BW72" s="112">
        <f t="shared" si="13"/>
        <v>0</v>
      </c>
      <c r="BX72" s="112">
        <f t="shared" si="46"/>
        <v>4216096.1752000004</v>
      </c>
      <c r="BY72" s="112">
        <f t="shared" si="47"/>
        <v>4216096.1752000004</v>
      </c>
      <c r="BZ72" s="113">
        <f t="shared" si="48"/>
        <v>8814631.2029999997</v>
      </c>
      <c r="CA72" s="113">
        <f t="shared" si="48"/>
        <v>0</v>
      </c>
      <c r="CB72" s="113">
        <f t="shared" si="49"/>
        <v>8814631.2029999997</v>
      </c>
      <c r="CC72" s="119">
        <f t="shared" si="50"/>
        <v>2802.8335409710962</v>
      </c>
      <c r="CD72" s="119" t="e">
        <f t="shared" si="50"/>
        <v>#DIV/0!</v>
      </c>
      <c r="CE72" s="119">
        <f t="shared" si="51"/>
        <v>2802.8335409710962</v>
      </c>
      <c r="CF72" s="119">
        <f t="shared" si="14"/>
        <v>2802.8335409710962</v>
      </c>
      <c r="CG72" s="619">
        <f t="shared" si="15"/>
        <v>10168631.7552</v>
      </c>
      <c r="CH72" s="132">
        <f t="shared" si="52"/>
        <v>3233.372048459411</v>
      </c>
      <c r="CI72" s="171"/>
      <c r="CJ72" s="208">
        <f t="shared" si="16"/>
        <v>6229.9311397440006</v>
      </c>
      <c r="CK72" s="208">
        <f t="shared" si="17"/>
        <v>4758.7743672000015</v>
      </c>
      <c r="CL72" s="208">
        <f>CJ72+CK72</f>
        <v>10988.705506944003</v>
      </c>
      <c r="CM72" s="112">
        <f t="shared" si="18"/>
        <v>10988705.506944001</v>
      </c>
      <c r="CN72" s="112">
        <f t="shared" si="19"/>
        <v>9402839.7333840001</v>
      </c>
      <c r="CO72" s="112">
        <f t="shared" si="20"/>
        <v>9402839.7333840001</v>
      </c>
      <c r="CP72" s="112">
        <f t="shared" si="21"/>
        <v>5418608.7795440005</v>
      </c>
      <c r="CQ72" s="112">
        <f t="shared" si="22"/>
        <v>9947704.3729199991</v>
      </c>
      <c r="CR72" s="112">
        <f t="shared" si="23"/>
        <v>9947704.3729199991</v>
      </c>
      <c r="CS72" s="112">
        <f t="shared" si="24"/>
        <v>4216096.1752000004</v>
      </c>
      <c r="CT72" s="112">
        <f t="shared" si="54"/>
        <v>19350544.106303997</v>
      </c>
      <c r="CU72" s="124">
        <f t="shared" si="55"/>
        <v>5692948.945923212</v>
      </c>
      <c r="CV72" s="112">
        <f t="shared" si="25"/>
        <v>8593659.3929999992</v>
      </c>
      <c r="CW72" s="112">
        <f t="shared" si="26"/>
        <v>9109265.7479999997</v>
      </c>
      <c r="CX72" s="112">
        <f t="shared" si="56"/>
        <v>17702925.140999999</v>
      </c>
      <c r="CY72" s="112">
        <f t="shared" si="27"/>
        <v>10822642.577184001</v>
      </c>
      <c r="CZ72" s="112">
        <f t="shared" si="28"/>
        <v>11213966.908919999</v>
      </c>
      <c r="DA72" s="171"/>
      <c r="DB72" s="128">
        <f t="shared" si="57"/>
        <v>120.73469298133259</v>
      </c>
      <c r="DC72" s="171"/>
      <c r="DD72" s="171"/>
      <c r="DE72" s="171"/>
      <c r="DF72" s="171"/>
      <c r="DG72" s="618">
        <f t="shared" si="29"/>
        <v>0</v>
      </c>
      <c r="DH72" s="618">
        <f t="shared" si="30"/>
        <v>0</v>
      </c>
      <c r="DI72" s="618">
        <f t="shared" si="31"/>
        <v>0</v>
      </c>
      <c r="DJ72" s="125"/>
    </row>
    <row r="73" spans="1:116" s="21" customFormat="1" ht="38.25" hidden="1" customHeight="1">
      <c r="A73" s="20">
        <f t="shared" si="58"/>
        <v>60</v>
      </c>
      <c r="B73" s="1970"/>
      <c r="C73" s="762" t="s">
        <v>902</v>
      </c>
      <c r="D73" s="760" t="s">
        <v>161</v>
      </c>
      <c r="E73" s="763">
        <v>4617004147</v>
      </c>
      <c r="F73" s="760" t="s">
        <v>8</v>
      </c>
      <c r="G73" s="1971" t="s">
        <v>903</v>
      </c>
      <c r="H73" s="607">
        <v>3572.4999999999982</v>
      </c>
      <c r="I73" s="607">
        <v>3572.4999999999982</v>
      </c>
      <c r="J73" s="607"/>
      <c r="K73" s="607"/>
      <c r="L73" s="607"/>
      <c r="M73" s="36"/>
      <c r="N73" s="36">
        <v>3701.43</v>
      </c>
      <c r="O73" s="36">
        <v>3701.43</v>
      </c>
      <c r="P73" s="36"/>
      <c r="Q73" s="36"/>
      <c r="R73" s="36"/>
      <c r="S73" s="36"/>
      <c r="T73" s="173">
        <f t="shared" ref="T73:T79" si="82">2909.97/7</f>
        <v>415.71</v>
      </c>
      <c r="U73" s="173">
        <v>0</v>
      </c>
      <c r="V73" s="224">
        <v>0</v>
      </c>
      <c r="W73" s="173">
        <v>0</v>
      </c>
      <c r="X73" s="173">
        <v>0</v>
      </c>
      <c r="Y73" s="173">
        <v>0</v>
      </c>
      <c r="Z73" s="35">
        <f t="shared" si="34"/>
        <v>415.71</v>
      </c>
      <c r="AA73" s="173">
        <f t="shared" ref="AA73:AA79" si="83">2092.53/7</f>
        <v>298.93285714285719</v>
      </c>
      <c r="AB73" s="173">
        <v>0</v>
      </c>
      <c r="AC73" s="224">
        <v>0</v>
      </c>
      <c r="AD73" s="173">
        <v>0</v>
      </c>
      <c r="AE73" s="173">
        <v>0</v>
      </c>
      <c r="AF73" s="173">
        <v>0</v>
      </c>
      <c r="AG73" s="35">
        <f t="shared" si="35"/>
        <v>298.93285714285719</v>
      </c>
      <c r="AH73" s="35">
        <f t="shared" si="36"/>
        <v>714.64285714285711</v>
      </c>
      <c r="AI73" s="15">
        <f t="shared" si="64"/>
        <v>714.64285714285711</v>
      </c>
      <c r="AJ73" s="15">
        <f t="shared" si="64"/>
        <v>0</v>
      </c>
      <c r="AK73" s="15">
        <f t="shared" si="64"/>
        <v>0</v>
      </c>
      <c r="AL73" s="15">
        <f t="shared" si="64"/>
        <v>0</v>
      </c>
      <c r="AM73" s="15">
        <f t="shared" si="64"/>
        <v>0</v>
      </c>
      <c r="AN73" s="15"/>
      <c r="AO73" s="15">
        <f t="shared" si="7"/>
        <v>714.64285714285711</v>
      </c>
      <c r="AP73" s="15">
        <f t="shared" si="37"/>
        <v>714.64285714285711</v>
      </c>
      <c r="AQ73" s="15">
        <f t="shared" si="81"/>
        <v>714.64285714285711</v>
      </c>
      <c r="AR73" s="127">
        <f t="shared" si="39"/>
        <v>0</v>
      </c>
      <c r="AS73" s="112">
        <f t="shared" si="70"/>
        <v>2553061.6071428559</v>
      </c>
      <c r="AT73" s="112">
        <f t="shared" si="70"/>
        <v>0</v>
      </c>
      <c r="AU73" s="112">
        <f t="shared" si="70"/>
        <v>0</v>
      </c>
      <c r="AV73" s="112">
        <f t="shared" si="70"/>
        <v>0</v>
      </c>
      <c r="AW73" s="112">
        <f t="shared" si="70"/>
        <v>0</v>
      </c>
      <c r="AX73" s="112">
        <f t="shared" si="40"/>
        <v>2553061.6071428559</v>
      </c>
      <c r="AY73" s="112">
        <f t="shared" si="41"/>
        <v>2553061.6071428559</v>
      </c>
      <c r="AZ73" s="112">
        <f t="shared" si="71"/>
        <v>2645200.5107142855</v>
      </c>
      <c r="BA73" s="112">
        <f t="shared" si="71"/>
        <v>0</v>
      </c>
      <c r="BB73" s="112">
        <f t="shared" si="71"/>
        <v>0</v>
      </c>
      <c r="BC73" s="112">
        <f t="shared" si="71"/>
        <v>0</v>
      </c>
      <c r="BD73" s="112">
        <f t="shared" si="71"/>
        <v>0</v>
      </c>
      <c r="BE73" s="112">
        <f t="shared" si="42"/>
        <v>2645200.5107142855</v>
      </c>
      <c r="BF73" s="112">
        <f t="shared" si="43"/>
        <v>2645200.5107142855</v>
      </c>
      <c r="BG73" s="117"/>
      <c r="BH73" s="117"/>
      <c r="BI73" s="112">
        <f t="shared" si="80"/>
        <v>0</v>
      </c>
      <c r="BJ73" s="112"/>
      <c r="BK73" s="112"/>
      <c r="BL73" s="112">
        <f t="shared" si="72"/>
        <v>1485123.9749999992</v>
      </c>
      <c r="BM73" s="112">
        <f t="shared" si="72"/>
        <v>0</v>
      </c>
      <c r="BN73" s="112">
        <f t="shared" si="72"/>
        <v>0</v>
      </c>
      <c r="BO73" s="112">
        <f t="shared" si="72"/>
        <v>0</v>
      </c>
      <c r="BP73" s="112">
        <f t="shared" si="72"/>
        <v>0</v>
      </c>
      <c r="BQ73" s="112">
        <f t="shared" si="44"/>
        <v>1485123.9749999992</v>
      </c>
      <c r="BR73" s="112">
        <f t="shared" si="45"/>
        <v>1485123.9749999992</v>
      </c>
      <c r="BS73" s="112">
        <f t="shared" si="73"/>
        <v>1106479.0454142857</v>
      </c>
      <c r="BT73" s="112">
        <f t="shared" si="73"/>
        <v>0</v>
      </c>
      <c r="BU73" s="112">
        <f t="shared" si="73"/>
        <v>0</v>
      </c>
      <c r="BV73" s="112">
        <f t="shared" si="12"/>
        <v>0</v>
      </c>
      <c r="BW73" s="112">
        <f t="shared" si="13"/>
        <v>0</v>
      </c>
      <c r="BX73" s="112">
        <f t="shared" si="46"/>
        <v>1106479.0454142857</v>
      </c>
      <c r="BY73" s="112">
        <f t="shared" si="47"/>
        <v>1106479.0454142857</v>
      </c>
      <c r="BZ73" s="113">
        <f t="shared" si="48"/>
        <v>0</v>
      </c>
      <c r="CA73" s="113">
        <f t="shared" si="48"/>
        <v>0</v>
      </c>
      <c r="CB73" s="113">
        <f t="shared" si="49"/>
        <v>0</v>
      </c>
      <c r="CC73" s="119" t="e">
        <f t="shared" si="50"/>
        <v>#DIV/0!</v>
      </c>
      <c r="CD73" s="119" t="e">
        <f t="shared" si="50"/>
        <v>#DIV/0!</v>
      </c>
      <c r="CE73" s="119" t="e">
        <f t="shared" si="51"/>
        <v>#DIV/0!</v>
      </c>
      <c r="CF73" s="113" t="e">
        <f t="shared" si="14"/>
        <v>#DIV/0!</v>
      </c>
      <c r="CG73" s="619">
        <f t="shared" si="15"/>
        <v>0</v>
      </c>
      <c r="CH73" s="132" t="e">
        <f t="shared" si="52"/>
        <v>#DIV/0!</v>
      </c>
      <c r="CI73" s="171"/>
      <c r="CJ73" s="112">
        <f t="shared" si="16"/>
        <v>1485.1239749999991</v>
      </c>
      <c r="CK73" s="15">
        <f t="shared" si="17"/>
        <v>1106.4790454142858</v>
      </c>
      <c r="CL73" s="112">
        <f>CJ73+CK73</f>
        <v>2591.6030204142849</v>
      </c>
      <c r="CM73" s="112">
        <f t="shared" si="18"/>
        <v>2591603.0204142849</v>
      </c>
      <c r="CN73" s="112">
        <f t="shared" si="19"/>
        <v>2553061.6071428559</v>
      </c>
      <c r="CO73" s="112">
        <f t="shared" si="20"/>
        <v>2553061.6071428559</v>
      </c>
      <c r="CP73" s="112">
        <f t="shared" si="21"/>
        <v>1485123.9749999992</v>
      </c>
      <c r="CQ73" s="112">
        <f t="shared" si="22"/>
        <v>2645200.5107142855</v>
      </c>
      <c r="CR73" s="112">
        <f t="shared" si="23"/>
        <v>2645200.5107142855</v>
      </c>
      <c r="CS73" s="112">
        <f t="shared" si="24"/>
        <v>1106479.0454142857</v>
      </c>
      <c r="CT73" s="112">
        <f t="shared" si="54"/>
        <v>5198262.1178571414</v>
      </c>
      <c r="CU73" s="124">
        <f t="shared" si="55"/>
        <v>7273929.9999999981</v>
      </c>
      <c r="CV73" s="112">
        <f t="shared" si="25"/>
        <v>0</v>
      </c>
      <c r="CW73" s="112">
        <f t="shared" si="26"/>
        <v>0</v>
      </c>
      <c r="CX73" s="112">
        <f t="shared" si="56"/>
        <v>0</v>
      </c>
      <c r="CY73" s="112">
        <f t="shared" si="27"/>
        <v>2553061.6071428559</v>
      </c>
      <c r="CZ73" s="112">
        <f t="shared" si="28"/>
        <v>2645200.5107142855</v>
      </c>
      <c r="DA73" s="171"/>
      <c r="DB73" s="128" t="e">
        <f t="shared" si="57"/>
        <v>#DIV/0!</v>
      </c>
      <c r="DC73" s="171"/>
      <c r="DD73" s="171"/>
      <c r="DE73" s="171"/>
      <c r="DF73" s="171"/>
      <c r="DG73" s="618">
        <f t="shared" si="29"/>
        <v>0</v>
      </c>
      <c r="DH73" s="618">
        <f t="shared" si="30"/>
        <v>0</v>
      </c>
      <c r="DI73" s="618">
        <f t="shared" si="31"/>
        <v>0</v>
      </c>
      <c r="DJ73" s="125"/>
    </row>
    <row r="74" spans="1:116" s="21" customFormat="1" ht="51" hidden="1">
      <c r="A74" s="20">
        <f t="shared" si="58"/>
        <v>61</v>
      </c>
      <c r="B74" s="1970"/>
      <c r="C74" s="762" t="s">
        <v>156</v>
      </c>
      <c r="D74" s="760" t="s">
        <v>161</v>
      </c>
      <c r="E74" s="763">
        <v>4617004147</v>
      </c>
      <c r="F74" s="760" t="s">
        <v>8</v>
      </c>
      <c r="G74" s="1972"/>
      <c r="H74" s="607">
        <v>3572.4999999999982</v>
      </c>
      <c r="I74" s="607">
        <v>3572.4999999999982</v>
      </c>
      <c r="J74" s="607"/>
      <c r="K74" s="607"/>
      <c r="L74" s="607"/>
      <c r="M74" s="36"/>
      <c r="N74" s="36">
        <v>3701.43</v>
      </c>
      <c r="O74" s="36">
        <v>3701.43</v>
      </c>
      <c r="P74" s="36"/>
      <c r="Q74" s="36"/>
      <c r="R74" s="36"/>
      <c r="S74" s="36"/>
      <c r="T74" s="173">
        <f t="shared" si="82"/>
        <v>415.71</v>
      </c>
      <c r="U74" s="173">
        <v>0</v>
      </c>
      <c r="V74" s="224">
        <v>0</v>
      </c>
      <c r="W74" s="173">
        <v>0</v>
      </c>
      <c r="X74" s="173">
        <v>0</v>
      </c>
      <c r="Y74" s="173">
        <v>0</v>
      </c>
      <c r="Z74" s="35">
        <f t="shared" si="34"/>
        <v>415.71</v>
      </c>
      <c r="AA74" s="173">
        <f t="shared" si="83"/>
        <v>298.93285714285719</v>
      </c>
      <c r="AB74" s="173">
        <v>0</v>
      </c>
      <c r="AC74" s="224">
        <v>0</v>
      </c>
      <c r="AD74" s="173">
        <v>0</v>
      </c>
      <c r="AE74" s="173">
        <v>0</v>
      </c>
      <c r="AF74" s="173">
        <v>0</v>
      </c>
      <c r="AG74" s="35">
        <f t="shared" si="35"/>
        <v>298.93285714285719</v>
      </c>
      <c r="AH74" s="35">
        <f t="shared" si="36"/>
        <v>714.64285714285711</v>
      </c>
      <c r="AI74" s="15">
        <f t="shared" si="64"/>
        <v>714.64285714285711</v>
      </c>
      <c r="AJ74" s="15">
        <f t="shared" si="64"/>
        <v>0</v>
      </c>
      <c r="AK74" s="15">
        <f t="shared" si="64"/>
        <v>0</v>
      </c>
      <c r="AL74" s="15">
        <f t="shared" si="64"/>
        <v>0</v>
      </c>
      <c r="AM74" s="15">
        <f t="shared" si="64"/>
        <v>0</v>
      </c>
      <c r="AN74" s="15"/>
      <c r="AO74" s="15">
        <f t="shared" si="7"/>
        <v>714.64285714285711</v>
      </c>
      <c r="AP74" s="15">
        <f t="shared" si="37"/>
        <v>714.64285714285711</v>
      </c>
      <c r="AQ74" s="15">
        <f t="shared" si="81"/>
        <v>714.64285714285711</v>
      </c>
      <c r="AR74" s="127">
        <f t="shared" si="39"/>
        <v>0</v>
      </c>
      <c r="AS74" s="112">
        <f t="shared" si="70"/>
        <v>2553061.6071428559</v>
      </c>
      <c r="AT74" s="112">
        <f t="shared" si="70"/>
        <v>0</v>
      </c>
      <c r="AU74" s="112">
        <f t="shared" si="70"/>
        <v>0</v>
      </c>
      <c r="AV74" s="112">
        <f t="shared" si="70"/>
        <v>0</v>
      </c>
      <c r="AW74" s="112">
        <f t="shared" si="70"/>
        <v>0</v>
      </c>
      <c r="AX74" s="112">
        <f t="shared" si="40"/>
        <v>2553061.6071428559</v>
      </c>
      <c r="AY74" s="112">
        <f t="shared" si="41"/>
        <v>2553061.6071428559</v>
      </c>
      <c r="AZ74" s="112">
        <f t="shared" si="71"/>
        <v>2645200.5107142855</v>
      </c>
      <c r="BA74" s="112">
        <f t="shared" si="71"/>
        <v>0</v>
      </c>
      <c r="BB74" s="112">
        <f t="shared" si="71"/>
        <v>0</v>
      </c>
      <c r="BC74" s="112">
        <f t="shared" si="71"/>
        <v>0</v>
      </c>
      <c r="BD74" s="112">
        <f t="shared" si="71"/>
        <v>0</v>
      </c>
      <c r="BE74" s="112">
        <f t="shared" si="42"/>
        <v>2645200.5107142855</v>
      </c>
      <c r="BF74" s="112">
        <f t="shared" si="43"/>
        <v>2645200.5107142855</v>
      </c>
      <c r="BG74" s="117"/>
      <c r="BH74" s="117"/>
      <c r="BI74" s="112">
        <f t="shared" si="80"/>
        <v>0</v>
      </c>
      <c r="BJ74" s="112"/>
      <c r="BK74" s="112"/>
      <c r="BL74" s="112">
        <f t="shared" si="72"/>
        <v>1485123.9749999992</v>
      </c>
      <c r="BM74" s="112">
        <f t="shared" si="72"/>
        <v>0</v>
      </c>
      <c r="BN74" s="112">
        <f t="shared" si="72"/>
        <v>0</v>
      </c>
      <c r="BO74" s="112">
        <f t="shared" si="72"/>
        <v>0</v>
      </c>
      <c r="BP74" s="112">
        <f t="shared" si="72"/>
        <v>0</v>
      </c>
      <c r="BQ74" s="112">
        <f t="shared" si="44"/>
        <v>1485123.9749999992</v>
      </c>
      <c r="BR74" s="112">
        <f t="shared" si="45"/>
        <v>1485123.9749999992</v>
      </c>
      <c r="BS74" s="112">
        <f t="shared" si="73"/>
        <v>1106479.0454142857</v>
      </c>
      <c r="BT74" s="112">
        <f t="shared" si="73"/>
        <v>0</v>
      </c>
      <c r="BU74" s="112">
        <f t="shared" si="73"/>
        <v>0</v>
      </c>
      <c r="BV74" s="112">
        <f t="shared" si="12"/>
        <v>0</v>
      </c>
      <c r="BW74" s="112">
        <f t="shared" si="13"/>
        <v>0</v>
      </c>
      <c r="BX74" s="112">
        <f t="shared" si="46"/>
        <v>1106479.0454142857</v>
      </c>
      <c r="BY74" s="112">
        <f t="shared" si="47"/>
        <v>1106479.0454142857</v>
      </c>
      <c r="BZ74" s="113">
        <f t="shared" si="48"/>
        <v>0</v>
      </c>
      <c r="CA74" s="113">
        <f t="shared" si="48"/>
        <v>0</v>
      </c>
      <c r="CB74" s="113">
        <f t="shared" si="49"/>
        <v>0</v>
      </c>
      <c r="CC74" s="119" t="e">
        <f t="shared" si="50"/>
        <v>#DIV/0!</v>
      </c>
      <c r="CD74" s="119" t="e">
        <f t="shared" si="50"/>
        <v>#DIV/0!</v>
      </c>
      <c r="CE74" s="119" t="e">
        <f t="shared" si="51"/>
        <v>#DIV/0!</v>
      </c>
      <c r="CF74" s="113" t="e">
        <f t="shared" si="14"/>
        <v>#DIV/0!</v>
      </c>
      <c r="CG74" s="619">
        <f t="shared" si="15"/>
        <v>0</v>
      </c>
      <c r="CH74" s="132" t="e">
        <f t="shared" si="52"/>
        <v>#DIV/0!</v>
      </c>
      <c r="CI74" s="171"/>
      <c r="CJ74" s="112">
        <f t="shared" si="16"/>
        <v>1485.1239749999991</v>
      </c>
      <c r="CK74" s="15">
        <f t="shared" si="17"/>
        <v>1106.4790454142858</v>
      </c>
      <c r="CL74" s="112">
        <f t="shared" ref="CL74:CL137" si="84">CJ74+CK74</f>
        <v>2591.6030204142849</v>
      </c>
      <c r="CM74" s="112">
        <f t="shared" si="18"/>
        <v>2591603.0204142849</v>
      </c>
      <c r="CN74" s="112">
        <f t="shared" si="19"/>
        <v>2553061.6071428559</v>
      </c>
      <c r="CO74" s="112">
        <f t="shared" si="20"/>
        <v>2553061.6071428559</v>
      </c>
      <c r="CP74" s="112">
        <f t="shared" si="21"/>
        <v>1485123.9749999992</v>
      </c>
      <c r="CQ74" s="112">
        <f t="shared" si="22"/>
        <v>2645200.5107142855</v>
      </c>
      <c r="CR74" s="112">
        <f t="shared" si="23"/>
        <v>2645200.5107142855</v>
      </c>
      <c r="CS74" s="112">
        <f t="shared" si="24"/>
        <v>1106479.0454142857</v>
      </c>
      <c r="CT74" s="112">
        <f t="shared" si="54"/>
        <v>5198262.1178571414</v>
      </c>
      <c r="CU74" s="124">
        <f t="shared" si="55"/>
        <v>7273929.9999999981</v>
      </c>
      <c r="CV74" s="112">
        <f t="shared" si="25"/>
        <v>0</v>
      </c>
      <c r="CW74" s="112">
        <f t="shared" si="26"/>
        <v>0</v>
      </c>
      <c r="CX74" s="112">
        <f t="shared" si="56"/>
        <v>0</v>
      </c>
      <c r="CY74" s="112">
        <f t="shared" si="27"/>
        <v>2553061.6071428559</v>
      </c>
      <c r="CZ74" s="112">
        <f t="shared" si="28"/>
        <v>2645200.5107142855</v>
      </c>
      <c r="DA74" s="171"/>
      <c r="DB74" s="128" t="e">
        <f t="shared" si="57"/>
        <v>#DIV/0!</v>
      </c>
      <c r="DC74" s="171"/>
      <c r="DD74" s="171"/>
      <c r="DE74" s="171"/>
      <c r="DF74" s="171"/>
      <c r="DG74" s="618">
        <f t="shared" si="29"/>
        <v>0</v>
      </c>
      <c r="DH74" s="618">
        <f t="shared" si="30"/>
        <v>0</v>
      </c>
      <c r="DI74" s="618">
        <f t="shared" si="31"/>
        <v>0</v>
      </c>
      <c r="DJ74" s="125"/>
    </row>
    <row r="75" spans="1:116" s="21" customFormat="1" ht="51" hidden="1">
      <c r="A75" s="20">
        <f t="shared" si="58"/>
        <v>62</v>
      </c>
      <c r="B75" s="1970"/>
      <c r="C75" s="762" t="s">
        <v>157</v>
      </c>
      <c r="D75" s="760" t="s">
        <v>161</v>
      </c>
      <c r="E75" s="763">
        <v>4617004147</v>
      </c>
      <c r="F75" s="760" t="s">
        <v>8</v>
      </c>
      <c r="G75" s="1972"/>
      <c r="H75" s="607">
        <v>3572.4999999999982</v>
      </c>
      <c r="I75" s="607">
        <v>3572.4999999999982</v>
      </c>
      <c r="J75" s="607"/>
      <c r="K75" s="607"/>
      <c r="L75" s="607"/>
      <c r="M75" s="36"/>
      <c r="N75" s="36">
        <v>3701.43</v>
      </c>
      <c r="O75" s="36">
        <v>3701.43</v>
      </c>
      <c r="P75" s="36"/>
      <c r="Q75" s="36"/>
      <c r="R75" s="36"/>
      <c r="S75" s="36"/>
      <c r="T75" s="173">
        <f t="shared" si="82"/>
        <v>415.71</v>
      </c>
      <c r="U75" s="173">
        <v>0</v>
      </c>
      <c r="V75" s="224">
        <v>0</v>
      </c>
      <c r="W75" s="173">
        <v>0</v>
      </c>
      <c r="X75" s="173">
        <v>0</v>
      </c>
      <c r="Y75" s="173">
        <v>0</v>
      </c>
      <c r="Z75" s="35">
        <f t="shared" si="34"/>
        <v>415.71</v>
      </c>
      <c r="AA75" s="173">
        <f t="shared" si="83"/>
        <v>298.93285714285719</v>
      </c>
      <c r="AB75" s="173">
        <v>0</v>
      </c>
      <c r="AC75" s="224">
        <v>0</v>
      </c>
      <c r="AD75" s="173">
        <v>0</v>
      </c>
      <c r="AE75" s="173">
        <v>0</v>
      </c>
      <c r="AF75" s="173">
        <v>0</v>
      </c>
      <c r="AG75" s="35">
        <f t="shared" si="35"/>
        <v>298.93285714285719</v>
      </c>
      <c r="AH75" s="35">
        <f t="shared" si="36"/>
        <v>714.64285714285711</v>
      </c>
      <c r="AI75" s="15">
        <f t="shared" si="64"/>
        <v>714.64285714285711</v>
      </c>
      <c r="AJ75" s="15">
        <f t="shared" si="64"/>
        <v>0</v>
      </c>
      <c r="AK75" s="15">
        <f t="shared" si="64"/>
        <v>0</v>
      </c>
      <c r="AL75" s="15">
        <f t="shared" si="64"/>
        <v>0</v>
      </c>
      <c r="AM75" s="15">
        <f t="shared" si="64"/>
        <v>0</v>
      </c>
      <c r="AN75" s="15"/>
      <c r="AO75" s="15">
        <f t="shared" si="7"/>
        <v>714.64285714285711</v>
      </c>
      <c r="AP75" s="15">
        <f t="shared" si="37"/>
        <v>714.64285714285711</v>
      </c>
      <c r="AQ75" s="15">
        <f t="shared" si="81"/>
        <v>714.64285714285711</v>
      </c>
      <c r="AR75" s="127">
        <f t="shared" si="39"/>
        <v>0</v>
      </c>
      <c r="AS75" s="112">
        <f t="shared" si="70"/>
        <v>2553061.6071428559</v>
      </c>
      <c r="AT75" s="112">
        <f t="shared" si="70"/>
        <v>0</v>
      </c>
      <c r="AU75" s="112">
        <f t="shared" si="70"/>
        <v>0</v>
      </c>
      <c r="AV75" s="112">
        <f t="shared" si="70"/>
        <v>0</v>
      </c>
      <c r="AW75" s="112">
        <f t="shared" si="70"/>
        <v>0</v>
      </c>
      <c r="AX75" s="112">
        <f t="shared" si="40"/>
        <v>2553061.6071428559</v>
      </c>
      <c r="AY75" s="112">
        <f t="shared" si="41"/>
        <v>2553061.6071428559</v>
      </c>
      <c r="AZ75" s="112">
        <f t="shared" si="71"/>
        <v>2645200.5107142855</v>
      </c>
      <c r="BA75" s="112">
        <f t="shared" si="71"/>
        <v>0</v>
      </c>
      <c r="BB75" s="112">
        <f t="shared" si="71"/>
        <v>0</v>
      </c>
      <c r="BC75" s="112">
        <f t="shared" si="71"/>
        <v>0</v>
      </c>
      <c r="BD75" s="112">
        <f t="shared" si="71"/>
        <v>0</v>
      </c>
      <c r="BE75" s="112">
        <f t="shared" si="42"/>
        <v>2645200.5107142855</v>
      </c>
      <c r="BF75" s="112">
        <f t="shared" si="43"/>
        <v>2645200.5107142855</v>
      </c>
      <c r="BG75" s="117"/>
      <c r="BH75" s="117"/>
      <c r="BI75" s="112">
        <f t="shared" si="80"/>
        <v>0</v>
      </c>
      <c r="BJ75" s="112"/>
      <c r="BK75" s="112"/>
      <c r="BL75" s="112">
        <f t="shared" si="72"/>
        <v>1485123.9749999992</v>
      </c>
      <c r="BM75" s="112">
        <f t="shared" si="72"/>
        <v>0</v>
      </c>
      <c r="BN75" s="112">
        <f t="shared" si="72"/>
        <v>0</v>
      </c>
      <c r="BO75" s="112">
        <f t="shared" si="72"/>
        <v>0</v>
      </c>
      <c r="BP75" s="112">
        <f t="shared" si="72"/>
        <v>0</v>
      </c>
      <c r="BQ75" s="112">
        <f t="shared" si="44"/>
        <v>1485123.9749999992</v>
      </c>
      <c r="BR75" s="112">
        <f t="shared" si="45"/>
        <v>1485123.9749999992</v>
      </c>
      <c r="BS75" s="112">
        <f t="shared" si="73"/>
        <v>1106479.0454142857</v>
      </c>
      <c r="BT75" s="112">
        <f t="shared" si="73"/>
        <v>0</v>
      </c>
      <c r="BU75" s="112">
        <f t="shared" si="73"/>
        <v>0</v>
      </c>
      <c r="BV75" s="112">
        <f t="shared" si="12"/>
        <v>0</v>
      </c>
      <c r="BW75" s="112">
        <f t="shared" si="13"/>
        <v>0</v>
      </c>
      <c r="BX75" s="112">
        <f t="shared" si="46"/>
        <v>1106479.0454142857</v>
      </c>
      <c r="BY75" s="112">
        <f t="shared" si="47"/>
        <v>1106479.0454142857</v>
      </c>
      <c r="BZ75" s="113">
        <f t="shared" si="48"/>
        <v>0</v>
      </c>
      <c r="CA75" s="113">
        <f t="shared" si="48"/>
        <v>0</v>
      </c>
      <c r="CB75" s="113">
        <f t="shared" si="49"/>
        <v>0</v>
      </c>
      <c r="CC75" s="119" t="e">
        <f t="shared" si="50"/>
        <v>#DIV/0!</v>
      </c>
      <c r="CD75" s="119" t="e">
        <f t="shared" si="50"/>
        <v>#DIV/0!</v>
      </c>
      <c r="CE75" s="119" t="e">
        <f t="shared" si="51"/>
        <v>#DIV/0!</v>
      </c>
      <c r="CF75" s="113" t="e">
        <f t="shared" si="14"/>
        <v>#DIV/0!</v>
      </c>
      <c r="CG75" s="619">
        <f t="shared" si="15"/>
        <v>0</v>
      </c>
      <c r="CH75" s="132" t="e">
        <f t="shared" si="52"/>
        <v>#DIV/0!</v>
      </c>
      <c r="CI75" s="171"/>
      <c r="CJ75" s="112">
        <f t="shared" si="16"/>
        <v>1485.1239749999991</v>
      </c>
      <c r="CK75" s="15">
        <f t="shared" si="17"/>
        <v>1106.4790454142858</v>
      </c>
      <c r="CL75" s="112">
        <f t="shared" si="84"/>
        <v>2591.6030204142849</v>
      </c>
      <c r="CM75" s="112">
        <f t="shared" si="18"/>
        <v>2591603.0204142849</v>
      </c>
      <c r="CN75" s="112">
        <f t="shared" si="19"/>
        <v>2553061.6071428559</v>
      </c>
      <c r="CO75" s="112">
        <f t="shared" si="20"/>
        <v>2553061.6071428559</v>
      </c>
      <c r="CP75" s="112">
        <f t="shared" si="21"/>
        <v>1485123.9749999992</v>
      </c>
      <c r="CQ75" s="112">
        <f t="shared" si="22"/>
        <v>2645200.5107142855</v>
      </c>
      <c r="CR75" s="112">
        <f t="shared" si="23"/>
        <v>2645200.5107142855</v>
      </c>
      <c r="CS75" s="112">
        <f t="shared" si="24"/>
        <v>1106479.0454142857</v>
      </c>
      <c r="CT75" s="112">
        <f t="shared" si="54"/>
        <v>5198262.1178571414</v>
      </c>
      <c r="CU75" s="124">
        <f t="shared" si="55"/>
        <v>7273929.9999999981</v>
      </c>
      <c r="CV75" s="112">
        <f t="shared" si="25"/>
        <v>0</v>
      </c>
      <c r="CW75" s="112">
        <f t="shared" si="26"/>
        <v>0</v>
      </c>
      <c r="CX75" s="112">
        <f t="shared" si="56"/>
        <v>0</v>
      </c>
      <c r="CY75" s="112">
        <f t="shared" si="27"/>
        <v>2553061.6071428559</v>
      </c>
      <c r="CZ75" s="112">
        <f t="shared" si="28"/>
        <v>2645200.5107142855</v>
      </c>
      <c r="DA75" s="171"/>
      <c r="DB75" s="128" t="e">
        <f t="shared" si="57"/>
        <v>#DIV/0!</v>
      </c>
      <c r="DC75" s="171"/>
      <c r="DD75" s="171"/>
      <c r="DE75" s="171"/>
      <c r="DF75" s="171"/>
      <c r="DG75" s="618">
        <f t="shared" si="29"/>
        <v>0</v>
      </c>
      <c r="DH75" s="618">
        <f t="shared" si="30"/>
        <v>0</v>
      </c>
      <c r="DI75" s="618">
        <f t="shared" si="31"/>
        <v>0</v>
      </c>
      <c r="DJ75" s="125"/>
    </row>
    <row r="76" spans="1:116" s="21" customFormat="1" ht="51" hidden="1">
      <c r="A76" s="20">
        <f t="shared" si="58"/>
        <v>63</v>
      </c>
      <c r="B76" s="1970"/>
      <c r="C76" s="762" t="s">
        <v>158</v>
      </c>
      <c r="D76" s="760" t="s">
        <v>161</v>
      </c>
      <c r="E76" s="763">
        <v>4617004147</v>
      </c>
      <c r="F76" s="760" t="s">
        <v>8</v>
      </c>
      <c r="G76" s="1972"/>
      <c r="H76" s="607">
        <v>3572.4999999999982</v>
      </c>
      <c r="I76" s="607">
        <v>3572.4999999999982</v>
      </c>
      <c r="J76" s="607"/>
      <c r="K76" s="607"/>
      <c r="L76" s="607"/>
      <c r="M76" s="36"/>
      <c r="N76" s="36">
        <v>3701.43</v>
      </c>
      <c r="O76" s="36">
        <v>3701.43</v>
      </c>
      <c r="P76" s="36"/>
      <c r="Q76" s="36"/>
      <c r="R76" s="36"/>
      <c r="S76" s="36"/>
      <c r="T76" s="173">
        <f t="shared" si="82"/>
        <v>415.71</v>
      </c>
      <c r="U76" s="173">
        <v>0</v>
      </c>
      <c r="V76" s="224">
        <v>0</v>
      </c>
      <c r="W76" s="173">
        <v>0</v>
      </c>
      <c r="X76" s="173">
        <v>0</v>
      </c>
      <c r="Y76" s="173">
        <v>0</v>
      </c>
      <c r="Z76" s="35">
        <f t="shared" si="34"/>
        <v>415.71</v>
      </c>
      <c r="AA76" s="173">
        <f t="shared" si="83"/>
        <v>298.93285714285719</v>
      </c>
      <c r="AB76" s="173">
        <v>0</v>
      </c>
      <c r="AC76" s="224">
        <v>0</v>
      </c>
      <c r="AD76" s="173">
        <v>0</v>
      </c>
      <c r="AE76" s="173">
        <v>0</v>
      </c>
      <c r="AF76" s="173">
        <v>0</v>
      </c>
      <c r="AG76" s="35">
        <f t="shared" si="35"/>
        <v>298.93285714285719</v>
      </c>
      <c r="AH76" s="35">
        <f t="shared" si="36"/>
        <v>714.64285714285711</v>
      </c>
      <c r="AI76" s="15">
        <f t="shared" si="64"/>
        <v>714.64285714285711</v>
      </c>
      <c r="AJ76" s="15">
        <f t="shared" si="64"/>
        <v>0</v>
      </c>
      <c r="AK76" s="15">
        <f t="shared" si="64"/>
        <v>0</v>
      </c>
      <c r="AL76" s="15">
        <f t="shared" si="64"/>
        <v>0</v>
      </c>
      <c r="AM76" s="15">
        <f t="shared" si="64"/>
        <v>0</v>
      </c>
      <c r="AN76" s="15"/>
      <c r="AO76" s="15">
        <f t="shared" ref="AO76:AO136" si="85">SUM(AI76:AN76)</f>
        <v>714.64285714285711</v>
      </c>
      <c r="AP76" s="15">
        <f t="shared" ref="AP76:AP137" si="86">SUM(AI76:AM76)</f>
        <v>714.64285714285711</v>
      </c>
      <c r="AQ76" s="15">
        <f t="shared" si="81"/>
        <v>714.64285714285711</v>
      </c>
      <c r="AR76" s="127">
        <f t="shared" si="39"/>
        <v>0</v>
      </c>
      <c r="AS76" s="112">
        <f t="shared" ref="AS76:AW91" si="87">I76*AI76</f>
        <v>2553061.6071428559</v>
      </c>
      <c r="AT76" s="112">
        <f t="shared" si="87"/>
        <v>0</v>
      </c>
      <c r="AU76" s="112">
        <f t="shared" si="87"/>
        <v>0</v>
      </c>
      <c r="AV76" s="112">
        <f t="shared" si="87"/>
        <v>0</v>
      </c>
      <c r="AW76" s="112">
        <f t="shared" si="87"/>
        <v>0</v>
      </c>
      <c r="AX76" s="112">
        <f t="shared" si="40"/>
        <v>2553061.6071428559</v>
      </c>
      <c r="AY76" s="112">
        <f t="shared" si="41"/>
        <v>2553061.6071428559</v>
      </c>
      <c r="AZ76" s="112">
        <f t="shared" ref="AZ76:BD91" si="88">O76*AI76</f>
        <v>2645200.5107142855</v>
      </c>
      <c r="BA76" s="112">
        <f t="shared" si="88"/>
        <v>0</v>
      </c>
      <c r="BB76" s="112">
        <f t="shared" si="88"/>
        <v>0</v>
      </c>
      <c r="BC76" s="112">
        <f t="shared" si="88"/>
        <v>0</v>
      </c>
      <c r="BD76" s="112">
        <f t="shared" si="88"/>
        <v>0</v>
      </c>
      <c r="BE76" s="112">
        <f t="shared" si="42"/>
        <v>2645200.5107142855</v>
      </c>
      <c r="BF76" s="112">
        <f t="shared" si="43"/>
        <v>2645200.5107142855</v>
      </c>
      <c r="BG76" s="117"/>
      <c r="BH76" s="117"/>
      <c r="BI76" s="112">
        <f t="shared" si="80"/>
        <v>0</v>
      </c>
      <c r="BJ76" s="112"/>
      <c r="BK76" s="112"/>
      <c r="BL76" s="112">
        <f t="shared" ref="BL76:BP107" si="89">I76*T76</f>
        <v>1485123.9749999992</v>
      </c>
      <c r="BM76" s="112">
        <f t="shared" si="89"/>
        <v>0</v>
      </c>
      <c r="BN76" s="112">
        <f t="shared" si="89"/>
        <v>0</v>
      </c>
      <c r="BO76" s="112">
        <f t="shared" si="89"/>
        <v>0</v>
      </c>
      <c r="BP76" s="112">
        <f t="shared" si="89"/>
        <v>0</v>
      </c>
      <c r="BQ76" s="112">
        <f t="shared" si="44"/>
        <v>1485123.9749999992</v>
      </c>
      <c r="BR76" s="112">
        <f t="shared" si="45"/>
        <v>1485123.9749999992</v>
      </c>
      <c r="BS76" s="112">
        <f t="shared" ref="BS76:BU107" si="90">O76*AA76</f>
        <v>1106479.0454142857</v>
      </c>
      <c r="BT76" s="112">
        <f t="shared" si="90"/>
        <v>0</v>
      </c>
      <c r="BU76" s="112">
        <f t="shared" si="90"/>
        <v>0</v>
      </c>
      <c r="BV76" s="112">
        <f t="shared" si="12"/>
        <v>0</v>
      </c>
      <c r="BW76" s="112">
        <f t="shared" si="13"/>
        <v>0</v>
      </c>
      <c r="BX76" s="112">
        <f t="shared" si="46"/>
        <v>1106479.0454142857</v>
      </c>
      <c r="BY76" s="112">
        <f t="shared" si="47"/>
        <v>1106479.0454142857</v>
      </c>
      <c r="BZ76" s="113">
        <f t="shared" ref="BZ76:CA139" si="91">BM76+BT76</f>
        <v>0</v>
      </c>
      <c r="CA76" s="113">
        <f t="shared" si="91"/>
        <v>0</v>
      </c>
      <c r="CB76" s="113">
        <f t="shared" si="49"/>
        <v>0</v>
      </c>
      <c r="CC76" s="119" t="e">
        <f t="shared" ref="CC76:CD139" si="92">BZ76/AJ76</f>
        <v>#DIV/0!</v>
      </c>
      <c r="CD76" s="119" t="e">
        <f t="shared" si="92"/>
        <v>#DIV/0!</v>
      </c>
      <c r="CE76" s="119" t="e">
        <f t="shared" si="51"/>
        <v>#DIV/0!</v>
      </c>
      <c r="CF76" s="113" t="e">
        <f t="shared" si="14"/>
        <v>#DIV/0!</v>
      </c>
      <c r="CG76" s="619">
        <f t="shared" si="15"/>
        <v>0</v>
      </c>
      <c r="CH76" s="132" t="e">
        <f t="shared" si="52"/>
        <v>#DIV/0!</v>
      </c>
      <c r="CI76" s="171"/>
      <c r="CJ76" s="112">
        <f t="shared" si="16"/>
        <v>1485.1239749999991</v>
      </c>
      <c r="CK76" s="15">
        <f t="shared" si="17"/>
        <v>1106.4790454142858</v>
      </c>
      <c r="CL76" s="112">
        <f t="shared" si="84"/>
        <v>2591.6030204142849</v>
      </c>
      <c r="CM76" s="112">
        <f t="shared" si="18"/>
        <v>2591603.0204142849</v>
      </c>
      <c r="CN76" s="112">
        <f t="shared" si="19"/>
        <v>2553061.6071428559</v>
      </c>
      <c r="CO76" s="112">
        <f t="shared" si="20"/>
        <v>2553061.6071428559</v>
      </c>
      <c r="CP76" s="112">
        <f t="shared" si="21"/>
        <v>1485123.9749999992</v>
      </c>
      <c r="CQ76" s="112">
        <f t="shared" si="22"/>
        <v>2645200.5107142855</v>
      </c>
      <c r="CR76" s="112">
        <f t="shared" si="23"/>
        <v>2645200.5107142855</v>
      </c>
      <c r="CS76" s="112">
        <f t="shared" si="24"/>
        <v>1106479.0454142857</v>
      </c>
      <c r="CT76" s="112">
        <f t="shared" si="54"/>
        <v>5198262.1178571414</v>
      </c>
      <c r="CU76" s="124">
        <f t="shared" si="55"/>
        <v>7273929.9999999981</v>
      </c>
      <c r="CV76" s="112">
        <f t="shared" si="25"/>
        <v>0</v>
      </c>
      <c r="CW76" s="112">
        <f t="shared" si="26"/>
        <v>0</v>
      </c>
      <c r="CX76" s="112">
        <f t="shared" si="56"/>
        <v>0</v>
      </c>
      <c r="CY76" s="112">
        <f t="shared" si="27"/>
        <v>2553061.6071428559</v>
      </c>
      <c r="CZ76" s="112">
        <f t="shared" si="28"/>
        <v>2645200.5107142855</v>
      </c>
      <c r="DA76" s="171"/>
      <c r="DB76" s="128" t="e">
        <f t="shared" si="57"/>
        <v>#DIV/0!</v>
      </c>
      <c r="DC76" s="171"/>
      <c r="DD76" s="171"/>
      <c r="DE76" s="171"/>
      <c r="DF76" s="171"/>
      <c r="DG76" s="618">
        <f t="shared" si="29"/>
        <v>0</v>
      </c>
      <c r="DH76" s="618">
        <f t="shared" si="30"/>
        <v>0</v>
      </c>
      <c r="DI76" s="618">
        <f t="shared" si="31"/>
        <v>0</v>
      </c>
      <c r="DJ76" s="125"/>
    </row>
    <row r="77" spans="1:116" s="21" customFormat="1" ht="51" hidden="1">
      <c r="A77" s="20">
        <f t="shared" si="58"/>
        <v>64</v>
      </c>
      <c r="B77" s="1970"/>
      <c r="C77" s="762" t="s">
        <v>159</v>
      </c>
      <c r="D77" s="760" t="s">
        <v>161</v>
      </c>
      <c r="E77" s="763">
        <v>4617004147</v>
      </c>
      <c r="F77" s="760" t="s">
        <v>8</v>
      </c>
      <c r="G77" s="1972"/>
      <c r="H77" s="607">
        <v>3572.4999999999982</v>
      </c>
      <c r="I77" s="607">
        <v>3572.4999999999982</v>
      </c>
      <c r="J77" s="607"/>
      <c r="K77" s="607"/>
      <c r="L77" s="607"/>
      <c r="M77" s="36"/>
      <c r="N77" s="36">
        <v>3701.43</v>
      </c>
      <c r="O77" s="36">
        <v>3701.43</v>
      </c>
      <c r="P77" s="36"/>
      <c r="Q77" s="36"/>
      <c r="R77" s="36"/>
      <c r="S77" s="36"/>
      <c r="T77" s="173">
        <f t="shared" si="82"/>
        <v>415.71</v>
      </c>
      <c r="U77" s="173">
        <v>0</v>
      </c>
      <c r="V77" s="224">
        <v>0</v>
      </c>
      <c r="W77" s="173">
        <v>0</v>
      </c>
      <c r="X77" s="173">
        <v>0</v>
      </c>
      <c r="Y77" s="173">
        <v>0</v>
      </c>
      <c r="Z77" s="35">
        <f>SUM(T77:W77)</f>
        <v>415.71</v>
      </c>
      <c r="AA77" s="173">
        <f t="shared" si="83"/>
        <v>298.93285714285719</v>
      </c>
      <c r="AB77" s="173">
        <v>0</v>
      </c>
      <c r="AC77" s="224">
        <v>0</v>
      </c>
      <c r="AD77" s="173">
        <v>0</v>
      </c>
      <c r="AE77" s="173">
        <v>0</v>
      </c>
      <c r="AF77" s="173">
        <v>0</v>
      </c>
      <c r="AG77" s="35">
        <f>SUM(AA77:AD77)</f>
        <v>298.93285714285719</v>
      </c>
      <c r="AH77" s="35">
        <f t="shared" si="36"/>
        <v>714.64285714285711</v>
      </c>
      <c r="AI77" s="15">
        <f t="shared" si="64"/>
        <v>714.64285714285711</v>
      </c>
      <c r="AJ77" s="15">
        <f t="shared" si="64"/>
        <v>0</v>
      </c>
      <c r="AK77" s="15">
        <f t="shared" si="64"/>
        <v>0</v>
      </c>
      <c r="AL77" s="15">
        <f t="shared" si="64"/>
        <v>0</v>
      </c>
      <c r="AM77" s="15">
        <f t="shared" si="64"/>
        <v>0</v>
      </c>
      <c r="AN77" s="15"/>
      <c r="AO77" s="15">
        <f t="shared" si="85"/>
        <v>714.64285714285711</v>
      </c>
      <c r="AP77" s="15">
        <f t="shared" si="86"/>
        <v>714.64285714285711</v>
      </c>
      <c r="AQ77" s="15">
        <f t="shared" si="81"/>
        <v>714.64285714285711</v>
      </c>
      <c r="AR77" s="127">
        <f t="shared" si="39"/>
        <v>0</v>
      </c>
      <c r="AS77" s="112">
        <f t="shared" si="87"/>
        <v>2553061.6071428559</v>
      </c>
      <c r="AT77" s="112">
        <f t="shared" si="87"/>
        <v>0</v>
      </c>
      <c r="AU77" s="112">
        <f t="shared" si="87"/>
        <v>0</v>
      </c>
      <c r="AV77" s="112">
        <f t="shared" si="87"/>
        <v>0</v>
      </c>
      <c r="AW77" s="112">
        <f t="shared" si="87"/>
        <v>0</v>
      </c>
      <c r="AX77" s="112">
        <f t="shared" si="40"/>
        <v>2553061.6071428559</v>
      </c>
      <c r="AY77" s="112">
        <f t="shared" si="41"/>
        <v>2553061.6071428559</v>
      </c>
      <c r="AZ77" s="112">
        <f t="shared" si="88"/>
        <v>2645200.5107142855</v>
      </c>
      <c r="BA77" s="112">
        <f t="shared" si="88"/>
        <v>0</v>
      </c>
      <c r="BB77" s="112">
        <f t="shared" si="88"/>
        <v>0</v>
      </c>
      <c r="BC77" s="112">
        <f t="shared" si="88"/>
        <v>0</v>
      </c>
      <c r="BD77" s="112">
        <f t="shared" si="88"/>
        <v>0</v>
      </c>
      <c r="BE77" s="112">
        <f t="shared" si="42"/>
        <v>2645200.5107142855</v>
      </c>
      <c r="BF77" s="112">
        <f t="shared" si="43"/>
        <v>2645200.5107142855</v>
      </c>
      <c r="BG77" s="117"/>
      <c r="BH77" s="117"/>
      <c r="BI77" s="112">
        <f t="shared" si="80"/>
        <v>0</v>
      </c>
      <c r="BJ77" s="112"/>
      <c r="BK77" s="112"/>
      <c r="BL77" s="112">
        <f t="shared" si="89"/>
        <v>1485123.9749999992</v>
      </c>
      <c r="BM77" s="112">
        <f t="shared" si="89"/>
        <v>0</v>
      </c>
      <c r="BN77" s="112">
        <f t="shared" si="89"/>
        <v>0</v>
      </c>
      <c r="BO77" s="112">
        <f t="shared" si="89"/>
        <v>0</v>
      </c>
      <c r="BP77" s="112">
        <f t="shared" si="89"/>
        <v>0</v>
      </c>
      <c r="BQ77" s="112">
        <f t="shared" si="44"/>
        <v>1485123.9749999992</v>
      </c>
      <c r="BR77" s="112">
        <f t="shared" si="45"/>
        <v>1485123.9749999992</v>
      </c>
      <c r="BS77" s="112">
        <f t="shared" si="90"/>
        <v>1106479.0454142857</v>
      </c>
      <c r="BT77" s="112">
        <f t="shared" si="90"/>
        <v>0</v>
      </c>
      <c r="BU77" s="112">
        <f t="shared" si="90"/>
        <v>0</v>
      </c>
      <c r="BV77" s="112">
        <f t="shared" si="12"/>
        <v>0</v>
      </c>
      <c r="BW77" s="112">
        <f t="shared" si="13"/>
        <v>0</v>
      </c>
      <c r="BX77" s="112">
        <f t="shared" si="46"/>
        <v>1106479.0454142857</v>
      </c>
      <c r="BY77" s="112">
        <f t="shared" si="47"/>
        <v>1106479.0454142857</v>
      </c>
      <c r="BZ77" s="113">
        <f t="shared" si="91"/>
        <v>0</v>
      </c>
      <c r="CA77" s="113">
        <f t="shared" si="91"/>
        <v>0</v>
      </c>
      <c r="CB77" s="113">
        <f t="shared" si="49"/>
        <v>0</v>
      </c>
      <c r="CC77" s="119" t="e">
        <f t="shared" si="92"/>
        <v>#DIV/0!</v>
      </c>
      <c r="CD77" s="119" t="e">
        <f t="shared" si="92"/>
        <v>#DIV/0!</v>
      </c>
      <c r="CE77" s="119" t="e">
        <f t="shared" si="51"/>
        <v>#DIV/0!</v>
      </c>
      <c r="CF77" s="113" t="e">
        <f t="shared" si="14"/>
        <v>#DIV/0!</v>
      </c>
      <c r="CG77" s="619">
        <f t="shared" si="15"/>
        <v>0</v>
      </c>
      <c r="CH77" s="132" t="e">
        <f t="shared" si="52"/>
        <v>#DIV/0!</v>
      </c>
      <c r="CI77" s="171"/>
      <c r="CJ77" s="112">
        <f t="shared" si="16"/>
        <v>1485.1239749999991</v>
      </c>
      <c r="CK77" s="15">
        <f t="shared" si="17"/>
        <v>1106.4790454142858</v>
      </c>
      <c r="CL77" s="112">
        <f t="shared" si="84"/>
        <v>2591.6030204142849</v>
      </c>
      <c r="CM77" s="112">
        <f t="shared" si="18"/>
        <v>2591603.0204142849</v>
      </c>
      <c r="CN77" s="112">
        <f t="shared" si="19"/>
        <v>2553061.6071428559</v>
      </c>
      <c r="CO77" s="112">
        <f t="shared" si="20"/>
        <v>2553061.6071428559</v>
      </c>
      <c r="CP77" s="112">
        <f t="shared" si="21"/>
        <v>1485123.9749999992</v>
      </c>
      <c r="CQ77" s="112">
        <f t="shared" si="22"/>
        <v>2645200.5107142855</v>
      </c>
      <c r="CR77" s="112">
        <f t="shared" si="23"/>
        <v>2645200.5107142855</v>
      </c>
      <c r="CS77" s="112">
        <f t="shared" si="24"/>
        <v>1106479.0454142857</v>
      </c>
      <c r="CT77" s="112">
        <f t="shared" si="54"/>
        <v>5198262.1178571414</v>
      </c>
      <c r="CU77" s="124">
        <f t="shared" si="55"/>
        <v>7273929.9999999981</v>
      </c>
      <c r="CV77" s="112">
        <f t="shared" si="25"/>
        <v>0</v>
      </c>
      <c r="CW77" s="112">
        <f t="shared" si="26"/>
        <v>0</v>
      </c>
      <c r="CX77" s="112">
        <f t="shared" si="56"/>
        <v>0</v>
      </c>
      <c r="CY77" s="112">
        <f t="shared" si="27"/>
        <v>2553061.6071428559</v>
      </c>
      <c r="CZ77" s="112">
        <f t="shared" si="28"/>
        <v>2645200.5107142855</v>
      </c>
      <c r="DA77" s="171"/>
      <c r="DB77" s="128" t="e">
        <f t="shared" si="57"/>
        <v>#DIV/0!</v>
      </c>
      <c r="DC77" s="171"/>
      <c r="DD77" s="171"/>
      <c r="DE77" s="171"/>
      <c r="DF77" s="171"/>
      <c r="DG77" s="618">
        <f t="shared" si="29"/>
        <v>0</v>
      </c>
      <c r="DH77" s="618">
        <f t="shared" si="30"/>
        <v>0</v>
      </c>
      <c r="DI77" s="618">
        <f t="shared" si="31"/>
        <v>0</v>
      </c>
      <c r="DJ77" s="125"/>
    </row>
    <row r="78" spans="1:116" s="21" customFormat="1" ht="51" hidden="1">
      <c r="A78" s="20">
        <f t="shared" si="58"/>
        <v>65</v>
      </c>
      <c r="B78" s="1970"/>
      <c r="C78" s="762" t="s">
        <v>160</v>
      </c>
      <c r="D78" s="760" t="s">
        <v>161</v>
      </c>
      <c r="E78" s="763">
        <v>4617004147</v>
      </c>
      <c r="F78" s="760" t="s">
        <v>8</v>
      </c>
      <c r="G78" s="1972"/>
      <c r="H78" s="607">
        <v>3572.4999999999982</v>
      </c>
      <c r="I78" s="607">
        <v>3572.4999999999982</v>
      </c>
      <c r="J78" s="607"/>
      <c r="K78" s="607"/>
      <c r="L78" s="607"/>
      <c r="M78" s="36"/>
      <c r="N78" s="36">
        <v>3701.43</v>
      </c>
      <c r="O78" s="36">
        <v>3701.43</v>
      </c>
      <c r="P78" s="36"/>
      <c r="Q78" s="36"/>
      <c r="R78" s="36"/>
      <c r="S78" s="36"/>
      <c r="T78" s="173">
        <f t="shared" si="82"/>
        <v>415.71</v>
      </c>
      <c r="U78" s="173">
        <v>0</v>
      </c>
      <c r="V78" s="224">
        <v>0</v>
      </c>
      <c r="W78" s="173">
        <v>0</v>
      </c>
      <c r="X78" s="173">
        <v>0</v>
      </c>
      <c r="Y78" s="173">
        <v>0</v>
      </c>
      <c r="Z78" s="35">
        <f>SUM(T78:W78)</f>
        <v>415.71</v>
      </c>
      <c r="AA78" s="173">
        <f t="shared" si="83"/>
        <v>298.93285714285719</v>
      </c>
      <c r="AB78" s="173">
        <v>0</v>
      </c>
      <c r="AC78" s="224">
        <v>0</v>
      </c>
      <c r="AD78" s="173">
        <v>0</v>
      </c>
      <c r="AE78" s="173">
        <v>0</v>
      </c>
      <c r="AF78" s="173">
        <v>0</v>
      </c>
      <c r="AG78" s="35">
        <f>SUM(AA78:AD78)</f>
        <v>298.93285714285719</v>
      </c>
      <c r="AH78" s="35">
        <f t="shared" si="36"/>
        <v>714.64285714285711</v>
      </c>
      <c r="AI78" s="15">
        <f t="shared" si="64"/>
        <v>714.64285714285711</v>
      </c>
      <c r="AJ78" s="15">
        <f t="shared" si="64"/>
        <v>0</v>
      </c>
      <c r="AK78" s="15">
        <f t="shared" si="64"/>
        <v>0</v>
      </c>
      <c r="AL78" s="15">
        <f t="shared" si="64"/>
        <v>0</v>
      </c>
      <c r="AM78" s="15">
        <f t="shared" si="64"/>
        <v>0</v>
      </c>
      <c r="AN78" s="15"/>
      <c r="AO78" s="15">
        <f t="shared" si="85"/>
        <v>714.64285714285711</v>
      </c>
      <c r="AP78" s="15">
        <f t="shared" si="86"/>
        <v>714.64285714285711</v>
      </c>
      <c r="AQ78" s="15">
        <f t="shared" si="81"/>
        <v>714.64285714285711</v>
      </c>
      <c r="AR78" s="127">
        <f t="shared" si="39"/>
        <v>0</v>
      </c>
      <c r="AS78" s="112">
        <f t="shared" si="87"/>
        <v>2553061.6071428559</v>
      </c>
      <c r="AT78" s="112">
        <f t="shared" si="87"/>
        <v>0</v>
      </c>
      <c r="AU78" s="112">
        <f t="shared" si="87"/>
        <v>0</v>
      </c>
      <c r="AV78" s="112">
        <f t="shared" si="87"/>
        <v>0</v>
      </c>
      <c r="AW78" s="112">
        <f t="shared" si="87"/>
        <v>0</v>
      </c>
      <c r="AX78" s="112">
        <f t="shared" si="40"/>
        <v>2553061.6071428559</v>
      </c>
      <c r="AY78" s="112">
        <f t="shared" si="41"/>
        <v>2553061.6071428559</v>
      </c>
      <c r="AZ78" s="112">
        <f t="shared" si="88"/>
        <v>2645200.5107142855</v>
      </c>
      <c r="BA78" s="112">
        <f t="shared" si="88"/>
        <v>0</v>
      </c>
      <c r="BB78" s="112">
        <f t="shared" si="88"/>
        <v>0</v>
      </c>
      <c r="BC78" s="112">
        <f t="shared" si="88"/>
        <v>0</v>
      </c>
      <c r="BD78" s="112">
        <f t="shared" si="88"/>
        <v>0</v>
      </c>
      <c r="BE78" s="112">
        <f t="shared" si="42"/>
        <v>2645200.5107142855</v>
      </c>
      <c r="BF78" s="112">
        <f t="shared" si="43"/>
        <v>2645200.5107142855</v>
      </c>
      <c r="BG78" s="117"/>
      <c r="BH78" s="117"/>
      <c r="BI78" s="112">
        <f t="shared" si="80"/>
        <v>0</v>
      </c>
      <c r="BJ78" s="112"/>
      <c r="BK78" s="112"/>
      <c r="BL78" s="112">
        <f t="shared" si="89"/>
        <v>1485123.9749999992</v>
      </c>
      <c r="BM78" s="112">
        <f t="shared" si="89"/>
        <v>0</v>
      </c>
      <c r="BN78" s="112">
        <f t="shared" si="89"/>
        <v>0</v>
      </c>
      <c r="BO78" s="112">
        <f t="shared" si="89"/>
        <v>0</v>
      </c>
      <c r="BP78" s="112">
        <f t="shared" si="89"/>
        <v>0</v>
      </c>
      <c r="BQ78" s="112">
        <f t="shared" si="44"/>
        <v>1485123.9749999992</v>
      </c>
      <c r="BR78" s="112">
        <f t="shared" si="45"/>
        <v>1485123.9749999992</v>
      </c>
      <c r="BS78" s="112">
        <f t="shared" si="90"/>
        <v>1106479.0454142857</v>
      </c>
      <c r="BT78" s="112">
        <f t="shared" si="90"/>
        <v>0</v>
      </c>
      <c r="BU78" s="112">
        <f t="shared" si="90"/>
        <v>0</v>
      </c>
      <c r="BV78" s="112">
        <f t="shared" ref="BV78:BV140" si="93">R78*W78</f>
        <v>0</v>
      </c>
      <c r="BW78" s="112">
        <f t="shared" ref="BW78:BW130" si="94">S78*AE78</f>
        <v>0</v>
      </c>
      <c r="BX78" s="112">
        <f t="shared" si="46"/>
        <v>1106479.0454142857</v>
      </c>
      <c r="BY78" s="112">
        <f t="shared" si="47"/>
        <v>1106479.0454142857</v>
      </c>
      <c r="BZ78" s="113">
        <f t="shared" si="91"/>
        <v>0</v>
      </c>
      <c r="CA78" s="113">
        <f t="shared" si="91"/>
        <v>0</v>
      </c>
      <c r="CB78" s="113">
        <f t="shared" si="49"/>
        <v>0</v>
      </c>
      <c r="CC78" s="119" t="e">
        <f t="shared" si="92"/>
        <v>#DIV/0!</v>
      </c>
      <c r="CD78" s="119" t="e">
        <f t="shared" si="92"/>
        <v>#DIV/0!</v>
      </c>
      <c r="CE78" s="119" t="e">
        <f t="shared" si="51"/>
        <v>#DIV/0!</v>
      </c>
      <c r="CF78" s="113" t="e">
        <f t="shared" ref="CF78:CF141" si="95">CB78/(U78+V78+AB78+AC78)</f>
        <v>#DIV/0!</v>
      </c>
      <c r="CG78" s="619">
        <f t="shared" ref="CG78:CG141" si="96">I78*(U78+V78)+O78*(AB78+AC78)</f>
        <v>0</v>
      </c>
      <c r="CH78" s="132" t="e">
        <f t="shared" si="52"/>
        <v>#DIV/0!</v>
      </c>
      <c r="CI78" s="171"/>
      <c r="CJ78" s="112">
        <f t="shared" ref="CJ78:CJ141" si="97">H78*Z78/1000</f>
        <v>1485.1239749999991</v>
      </c>
      <c r="CK78" s="15">
        <f t="shared" ref="CK78:CK141" si="98">N78*AG78/1000</f>
        <v>1106.4790454142858</v>
      </c>
      <c r="CL78" s="112">
        <f t="shared" si="84"/>
        <v>2591.6030204142849</v>
      </c>
      <c r="CM78" s="112">
        <f t="shared" ref="CM78:CM141" si="99">H78*Z78+N78*AG78</f>
        <v>2591603.0204142849</v>
      </c>
      <c r="CN78" s="112">
        <f t="shared" ref="CN78:CN140" si="100">I78*AI78+J78*AJ78+K78*AK78+L78*AL78</f>
        <v>2553061.6071428559</v>
      </c>
      <c r="CO78" s="112">
        <f t="shared" ref="CO78:CO140" si="101">I78*AI78+J78*(AJ78+AK78)+L78*AL78</f>
        <v>2553061.6071428559</v>
      </c>
      <c r="CP78" s="112">
        <f t="shared" ref="CP78:CP140" si="102">I78*T78+J78*U78+K78*V78+L78*W78</f>
        <v>1485123.9749999992</v>
      </c>
      <c r="CQ78" s="112">
        <f t="shared" ref="CQ78:CQ140" si="103">O78*AI78+P78*AJ78+Q78*AK78+R78*AL78</f>
        <v>2645200.5107142855</v>
      </c>
      <c r="CR78" s="112">
        <f t="shared" ref="CR78:CR140" si="104">O78*AI78+P78*(AJ78+AK78)+R78*AL78</f>
        <v>2645200.5107142855</v>
      </c>
      <c r="CS78" s="112">
        <f t="shared" ref="CS78:CS140" si="105">O78*AA78+P78*AB78+Q78*AC78+R78*AD78</f>
        <v>1106479.0454142857</v>
      </c>
      <c r="CT78" s="112">
        <f t="shared" si="54"/>
        <v>5198262.1178571414</v>
      </c>
      <c r="CU78" s="124">
        <f t="shared" si="55"/>
        <v>7273929.9999999981</v>
      </c>
      <c r="CV78" s="112">
        <f t="shared" ref="CV78:CV140" si="106">J78*AJ78+K78*AK78</f>
        <v>0</v>
      </c>
      <c r="CW78" s="112">
        <f t="shared" ref="CW78:CW140" si="107">P78*AJ78+Q78*AK78</f>
        <v>0</v>
      </c>
      <c r="CX78" s="112">
        <f t="shared" si="56"/>
        <v>0</v>
      </c>
      <c r="CY78" s="112">
        <f t="shared" ref="CY78:CY140" si="108">H78*AI78+H78*AJ78+H78*AK78+H78*AL78</f>
        <v>2553061.6071428559</v>
      </c>
      <c r="CZ78" s="112">
        <f t="shared" ref="CZ78:CZ140" si="109">N78*AI78+N78*AJ78+N78*AK78+N78*AL78</f>
        <v>2645200.5107142855</v>
      </c>
      <c r="DA78" s="171"/>
      <c r="DB78" s="128" t="e">
        <f t="shared" si="57"/>
        <v>#DIV/0!</v>
      </c>
      <c r="DC78" s="171"/>
      <c r="DD78" s="171"/>
      <c r="DE78" s="171"/>
      <c r="DF78" s="171"/>
      <c r="DG78" s="618">
        <f t="shared" ref="DG78:DG141" si="110">M78*X78/1000</f>
        <v>0</v>
      </c>
      <c r="DH78" s="618">
        <f t="shared" ref="DH78:DH141" si="111">S78*AE78/1000</f>
        <v>0</v>
      </c>
      <c r="DI78" s="618">
        <f t="shared" ref="DI78:DI141" si="112">DG78+DH78</f>
        <v>0</v>
      </c>
      <c r="DJ78" s="125"/>
    </row>
    <row r="79" spans="1:116" s="21" customFormat="1" ht="51" hidden="1">
      <c r="A79" s="20">
        <f t="shared" si="58"/>
        <v>66</v>
      </c>
      <c r="B79" s="1963"/>
      <c r="C79" s="762" t="s">
        <v>155</v>
      </c>
      <c r="D79" s="760" t="s">
        <v>161</v>
      </c>
      <c r="E79" s="763">
        <v>4617004147</v>
      </c>
      <c r="F79" s="760" t="s">
        <v>8</v>
      </c>
      <c r="G79" s="1973"/>
      <c r="H79" s="607">
        <v>3572.4999999999982</v>
      </c>
      <c r="I79" s="607">
        <v>3572.4999999999982</v>
      </c>
      <c r="J79" s="607"/>
      <c r="K79" s="607"/>
      <c r="L79" s="607"/>
      <c r="M79" s="36"/>
      <c r="N79" s="36">
        <v>3701.43</v>
      </c>
      <c r="O79" s="36">
        <v>3701.43</v>
      </c>
      <c r="P79" s="36"/>
      <c r="Q79" s="36"/>
      <c r="R79" s="36"/>
      <c r="S79" s="36"/>
      <c r="T79" s="173">
        <f t="shared" si="82"/>
        <v>415.71</v>
      </c>
      <c r="U79" s="173">
        <v>0</v>
      </c>
      <c r="V79" s="224">
        <v>0</v>
      </c>
      <c r="W79" s="173">
        <v>0</v>
      </c>
      <c r="X79" s="173">
        <v>0</v>
      </c>
      <c r="Y79" s="173">
        <v>0</v>
      </c>
      <c r="Z79" s="35">
        <f>SUM(T79:W79)</f>
        <v>415.71</v>
      </c>
      <c r="AA79" s="173">
        <f t="shared" si="83"/>
        <v>298.93285714285719</v>
      </c>
      <c r="AB79" s="173">
        <v>0</v>
      </c>
      <c r="AC79" s="224">
        <v>0</v>
      </c>
      <c r="AD79" s="173">
        <v>0</v>
      </c>
      <c r="AE79" s="173">
        <v>0</v>
      </c>
      <c r="AF79" s="173">
        <v>0</v>
      </c>
      <c r="AG79" s="35">
        <f>SUM(AA79:AD79)</f>
        <v>298.93285714285719</v>
      </c>
      <c r="AH79" s="35">
        <f t="shared" ref="AH79:AH141" si="113">Z79+AG79</f>
        <v>714.64285714285711</v>
      </c>
      <c r="AI79" s="15">
        <f t="shared" si="64"/>
        <v>714.64285714285711</v>
      </c>
      <c r="AJ79" s="15">
        <f t="shared" si="64"/>
        <v>0</v>
      </c>
      <c r="AK79" s="15">
        <f t="shared" si="64"/>
        <v>0</v>
      </c>
      <c r="AL79" s="15">
        <f t="shared" si="64"/>
        <v>0</v>
      </c>
      <c r="AM79" s="15">
        <f t="shared" si="64"/>
        <v>0</v>
      </c>
      <c r="AN79" s="15"/>
      <c r="AO79" s="15">
        <f t="shared" si="85"/>
        <v>714.64285714285711</v>
      </c>
      <c r="AP79" s="15">
        <f t="shared" si="86"/>
        <v>714.64285714285711</v>
      </c>
      <c r="AQ79" s="15">
        <f t="shared" si="81"/>
        <v>714.64285714285711</v>
      </c>
      <c r="AR79" s="127">
        <f t="shared" ref="AR79:AR141" si="114">AQ79-AH79</f>
        <v>0</v>
      </c>
      <c r="AS79" s="112">
        <f t="shared" si="87"/>
        <v>2553061.6071428559</v>
      </c>
      <c r="AT79" s="112">
        <f t="shared" si="87"/>
        <v>0</v>
      </c>
      <c r="AU79" s="112">
        <f t="shared" si="87"/>
        <v>0</v>
      </c>
      <c r="AV79" s="112">
        <f t="shared" si="87"/>
        <v>0</v>
      </c>
      <c r="AW79" s="112">
        <f t="shared" si="87"/>
        <v>0</v>
      </c>
      <c r="AX79" s="112">
        <f t="shared" ref="AX79:AX140" si="115">SUM(AS79:AW79)</f>
        <v>2553061.6071428559</v>
      </c>
      <c r="AY79" s="112">
        <f t="shared" ref="AY79:AY140" si="116">SUM(AS79:AV79)</f>
        <v>2553061.6071428559</v>
      </c>
      <c r="AZ79" s="112">
        <f t="shared" si="88"/>
        <v>2645200.5107142855</v>
      </c>
      <c r="BA79" s="112">
        <f t="shared" si="88"/>
        <v>0</v>
      </c>
      <c r="BB79" s="112">
        <f t="shared" si="88"/>
        <v>0</v>
      </c>
      <c r="BC79" s="112">
        <f t="shared" si="88"/>
        <v>0</v>
      </c>
      <c r="BD79" s="112">
        <f t="shared" si="88"/>
        <v>0</v>
      </c>
      <c r="BE79" s="112">
        <f t="shared" ref="BE79:BE140" si="117">SUM(AZ79:BD79)</f>
        <v>2645200.5107142855</v>
      </c>
      <c r="BF79" s="112">
        <f t="shared" ref="BF79:BF140" si="118">SUM(AZ79:BC79)</f>
        <v>2645200.5107142855</v>
      </c>
      <c r="BG79" s="117"/>
      <c r="BH79" s="117"/>
      <c r="BI79" s="112">
        <f t="shared" si="80"/>
        <v>0</v>
      </c>
      <c r="BJ79" s="112"/>
      <c r="BK79" s="112"/>
      <c r="BL79" s="112">
        <f t="shared" si="89"/>
        <v>1485123.9749999992</v>
      </c>
      <c r="BM79" s="112">
        <f t="shared" si="89"/>
        <v>0</v>
      </c>
      <c r="BN79" s="112">
        <f t="shared" si="89"/>
        <v>0</v>
      </c>
      <c r="BO79" s="112">
        <f t="shared" si="89"/>
        <v>0</v>
      </c>
      <c r="BP79" s="112">
        <f t="shared" si="89"/>
        <v>0</v>
      </c>
      <c r="BQ79" s="112">
        <f t="shared" ref="BQ79:BQ138" si="119">BL79+BM79+BN79+BO79+BP79</f>
        <v>1485123.9749999992</v>
      </c>
      <c r="BR79" s="112">
        <f t="shared" ref="BR79:BR138" si="120">BQ79-BP79</f>
        <v>1485123.9749999992</v>
      </c>
      <c r="BS79" s="112">
        <f t="shared" si="90"/>
        <v>1106479.0454142857</v>
      </c>
      <c r="BT79" s="112">
        <f t="shared" si="90"/>
        <v>0</v>
      </c>
      <c r="BU79" s="112">
        <f t="shared" si="90"/>
        <v>0</v>
      </c>
      <c r="BV79" s="112">
        <f t="shared" si="93"/>
        <v>0</v>
      </c>
      <c r="BW79" s="112">
        <f t="shared" si="94"/>
        <v>0</v>
      </c>
      <c r="BX79" s="112">
        <f t="shared" ref="BX79:BX141" si="121">BS79+BT79+BU79+BV79+BW79</f>
        <v>1106479.0454142857</v>
      </c>
      <c r="BY79" s="112">
        <f t="shared" ref="BY79:BY141" si="122">BX79-BW79</f>
        <v>1106479.0454142857</v>
      </c>
      <c r="BZ79" s="113">
        <f t="shared" si="91"/>
        <v>0</v>
      </c>
      <c r="CA79" s="113">
        <f t="shared" si="91"/>
        <v>0</v>
      </c>
      <c r="CB79" s="113">
        <f t="shared" ref="CB79:CB141" si="123">BZ79+CA79</f>
        <v>0</v>
      </c>
      <c r="CC79" s="119" t="e">
        <f t="shared" si="92"/>
        <v>#DIV/0!</v>
      </c>
      <c r="CD79" s="119" t="e">
        <f t="shared" si="92"/>
        <v>#DIV/0!</v>
      </c>
      <c r="CE79" s="119" t="e">
        <f t="shared" ref="CE79:CE141" si="124">CB79/(AJ79+AK79)</f>
        <v>#DIV/0!</v>
      </c>
      <c r="CF79" s="113" t="e">
        <f t="shared" si="95"/>
        <v>#DIV/0!</v>
      </c>
      <c r="CG79" s="619">
        <f t="shared" si="96"/>
        <v>0</v>
      </c>
      <c r="CH79" s="132" t="e">
        <f t="shared" ref="CH79:CH141" si="125">CG79/(AJ79+AK79)</f>
        <v>#DIV/0!</v>
      </c>
      <c r="CI79" s="171"/>
      <c r="CJ79" s="112">
        <f t="shared" si="97"/>
        <v>1485.1239749999991</v>
      </c>
      <c r="CK79" s="15">
        <f t="shared" si="98"/>
        <v>1106.4790454142858</v>
      </c>
      <c r="CL79" s="112">
        <f t="shared" si="84"/>
        <v>2591.6030204142849</v>
      </c>
      <c r="CM79" s="112">
        <f t="shared" si="99"/>
        <v>2591603.0204142849</v>
      </c>
      <c r="CN79" s="112">
        <f t="shared" si="100"/>
        <v>2553061.6071428559</v>
      </c>
      <c r="CO79" s="112">
        <f t="shared" si="101"/>
        <v>2553061.6071428559</v>
      </c>
      <c r="CP79" s="112">
        <f t="shared" si="102"/>
        <v>1485123.9749999992</v>
      </c>
      <c r="CQ79" s="112">
        <f t="shared" si="103"/>
        <v>2645200.5107142855</v>
      </c>
      <c r="CR79" s="112">
        <f t="shared" si="104"/>
        <v>2645200.5107142855</v>
      </c>
      <c r="CS79" s="112">
        <f t="shared" si="105"/>
        <v>1106479.0454142857</v>
      </c>
      <c r="CT79" s="112">
        <f t="shared" ref="CT79:CT141" si="126">CN79+CQ79</f>
        <v>5198262.1178571414</v>
      </c>
      <c r="CU79" s="124">
        <f t="shared" ref="CU79:CU139" si="127">CT79/AH79*1000</f>
        <v>7273929.9999999981</v>
      </c>
      <c r="CV79" s="112">
        <f t="shared" si="106"/>
        <v>0</v>
      </c>
      <c r="CW79" s="112">
        <f t="shared" si="107"/>
        <v>0</v>
      </c>
      <c r="CX79" s="112">
        <f t="shared" ref="CX79:CX140" si="128">CV79+CW79</f>
        <v>0</v>
      </c>
      <c r="CY79" s="112">
        <f t="shared" si="108"/>
        <v>2553061.6071428559</v>
      </c>
      <c r="CZ79" s="112">
        <f t="shared" si="109"/>
        <v>2645200.5107142855</v>
      </c>
      <c r="DA79" s="171"/>
      <c r="DB79" s="128" t="e">
        <f t="shared" ref="DB79:DB141" si="129">N79/J79*100</f>
        <v>#DIV/0!</v>
      </c>
      <c r="DC79" s="171"/>
      <c r="DD79" s="171"/>
      <c r="DE79" s="171"/>
      <c r="DF79" s="171"/>
      <c r="DG79" s="618">
        <f t="shared" si="110"/>
        <v>0</v>
      </c>
      <c r="DH79" s="618">
        <f t="shared" si="111"/>
        <v>0</v>
      </c>
      <c r="DI79" s="618">
        <f t="shared" si="112"/>
        <v>0</v>
      </c>
      <c r="DJ79" s="125"/>
    </row>
    <row r="80" spans="1:116" ht="65.25" hidden="1" customHeight="1">
      <c r="A80" s="20">
        <f t="shared" ref="A80:A141" si="130">A79+1</f>
        <v>67</v>
      </c>
      <c r="B80" s="1896" t="s">
        <v>27</v>
      </c>
      <c r="C80" s="705" t="s">
        <v>63</v>
      </c>
      <c r="D80" s="696" t="s">
        <v>28</v>
      </c>
      <c r="E80" s="696">
        <v>4618003724</v>
      </c>
      <c r="F80" s="696" t="s">
        <v>8</v>
      </c>
      <c r="G80" s="804" t="s">
        <v>900</v>
      </c>
      <c r="H80" s="38">
        <v>2520.77</v>
      </c>
      <c r="I80" s="38">
        <v>2520.77</v>
      </c>
      <c r="J80" s="38">
        <v>2421.02</v>
      </c>
      <c r="K80" s="38">
        <v>0</v>
      </c>
      <c r="L80" s="38">
        <v>2520.77</v>
      </c>
      <c r="M80" s="10">
        <v>0</v>
      </c>
      <c r="N80" s="10">
        <v>2556.21</v>
      </c>
      <c r="O80" s="10">
        <v>2556.21</v>
      </c>
      <c r="P80" s="10">
        <v>2556.21</v>
      </c>
      <c r="Q80" s="10"/>
      <c r="R80" s="10">
        <v>2556.21</v>
      </c>
      <c r="S80" s="10"/>
      <c r="T80" s="23">
        <v>2581</v>
      </c>
      <c r="U80" s="15">
        <v>1010</v>
      </c>
      <c r="V80" s="208">
        <v>0</v>
      </c>
      <c r="W80" s="15">
        <v>430</v>
      </c>
      <c r="X80" s="15">
        <v>0</v>
      </c>
      <c r="Y80" s="15">
        <v>0</v>
      </c>
      <c r="Z80" s="35">
        <f t="shared" ref="Z80:Z140" si="131">SUM(T80:W80)</f>
        <v>4021</v>
      </c>
      <c r="AA80" s="15">
        <v>1561</v>
      </c>
      <c r="AB80" s="179">
        <v>640</v>
      </c>
      <c r="AC80" s="208">
        <v>0</v>
      </c>
      <c r="AD80" s="15">
        <v>420</v>
      </c>
      <c r="AE80" s="15">
        <v>0</v>
      </c>
      <c r="AF80" s="15">
        <v>0</v>
      </c>
      <c r="AG80" s="35">
        <f t="shared" ref="AG80:AG140" si="132">SUM(AA80:AD80)</f>
        <v>2621</v>
      </c>
      <c r="AH80" s="35">
        <f t="shared" si="113"/>
        <v>6642</v>
      </c>
      <c r="AI80" s="15">
        <f t="shared" si="64"/>
        <v>4142</v>
      </c>
      <c r="AJ80" s="15">
        <f t="shared" si="64"/>
        <v>1650</v>
      </c>
      <c r="AK80" s="15">
        <f t="shared" si="64"/>
        <v>0</v>
      </c>
      <c r="AL80" s="15">
        <f t="shared" si="64"/>
        <v>850</v>
      </c>
      <c r="AM80" s="15">
        <f t="shared" si="64"/>
        <v>0</v>
      </c>
      <c r="AN80" s="15">
        <v>0</v>
      </c>
      <c r="AO80" s="15">
        <f t="shared" si="85"/>
        <v>6642</v>
      </c>
      <c r="AP80" s="15">
        <f t="shared" si="86"/>
        <v>6642</v>
      </c>
      <c r="AQ80" s="15">
        <f t="shared" si="81"/>
        <v>6642</v>
      </c>
      <c r="AR80" s="127">
        <f t="shared" si="114"/>
        <v>0</v>
      </c>
      <c r="AS80" s="112">
        <f t="shared" si="87"/>
        <v>10441029.34</v>
      </c>
      <c r="AT80" s="112">
        <f t="shared" si="87"/>
        <v>3994683</v>
      </c>
      <c r="AU80" s="112">
        <f t="shared" si="87"/>
        <v>0</v>
      </c>
      <c r="AV80" s="112">
        <f t="shared" si="87"/>
        <v>2142654.5</v>
      </c>
      <c r="AW80" s="112">
        <f t="shared" si="87"/>
        <v>0</v>
      </c>
      <c r="AX80" s="112">
        <f t="shared" si="115"/>
        <v>16578366.84</v>
      </c>
      <c r="AY80" s="112">
        <f t="shared" si="116"/>
        <v>16578366.84</v>
      </c>
      <c r="AZ80" s="112">
        <f t="shared" si="88"/>
        <v>10587821.82</v>
      </c>
      <c r="BA80" s="112">
        <f t="shared" si="88"/>
        <v>4217746.5</v>
      </c>
      <c r="BB80" s="112">
        <f t="shared" si="88"/>
        <v>0</v>
      </c>
      <c r="BC80" s="112">
        <f t="shared" si="88"/>
        <v>2172778.5</v>
      </c>
      <c r="BD80" s="112">
        <f t="shared" si="88"/>
        <v>0</v>
      </c>
      <c r="BE80" s="112">
        <f t="shared" si="117"/>
        <v>16978346.82</v>
      </c>
      <c r="BF80" s="112">
        <f t="shared" si="118"/>
        <v>16978346.82</v>
      </c>
      <c r="BG80" s="112">
        <v>100.748</v>
      </c>
      <c r="BH80" s="112">
        <v>0</v>
      </c>
      <c r="BI80" s="112">
        <f t="shared" si="80"/>
        <v>100.748</v>
      </c>
      <c r="BJ80" s="112">
        <v>16835.830000000002</v>
      </c>
      <c r="BK80" s="112">
        <v>17317.7</v>
      </c>
      <c r="BL80" s="112">
        <f t="shared" si="89"/>
        <v>6506107.3700000001</v>
      </c>
      <c r="BM80" s="112">
        <f t="shared" si="89"/>
        <v>2445230.2000000002</v>
      </c>
      <c r="BN80" s="112">
        <f t="shared" si="89"/>
        <v>0</v>
      </c>
      <c r="BO80" s="112">
        <f t="shared" si="89"/>
        <v>1083931.1000000001</v>
      </c>
      <c r="BP80" s="112">
        <f t="shared" si="89"/>
        <v>0</v>
      </c>
      <c r="BQ80" s="112">
        <f t="shared" si="119"/>
        <v>10035268.67</v>
      </c>
      <c r="BR80" s="112">
        <f t="shared" si="120"/>
        <v>10035268.67</v>
      </c>
      <c r="BS80" s="112">
        <f t="shared" si="90"/>
        <v>3990243.81</v>
      </c>
      <c r="BT80" s="112">
        <f t="shared" si="90"/>
        <v>1635974.4</v>
      </c>
      <c r="BU80" s="112">
        <f t="shared" si="90"/>
        <v>0</v>
      </c>
      <c r="BV80" s="112">
        <f t="shared" si="93"/>
        <v>1099170.3</v>
      </c>
      <c r="BW80" s="112">
        <f t="shared" si="94"/>
        <v>0</v>
      </c>
      <c r="BX80" s="112">
        <f t="shared" si="121"/>
        <v>6725388.5099999998</v>
      </c>
      <c r="BY80" s="112">
        <f t="shared" si="122"/>
        <v>6725388.5099999998</v>
      </c>
      <c r="BZ80" s="113">
        <f t="shared" si="91"/>
        <v>4081204.6</v>
      </c>
      <c r="CA80" s="113">
        <f t="shared" si="91"/>
        <v>0</v>
      </c>
      <c r="CB80" s="113">
        <f t="shared" si="123"/>
        <v>4081204.6</v>
      </c>
      <c r="CC80" s="119">
        <f t="shared" si="92"/>
        <v>2473.4573333333333</v>
      </c>
      <c r="CD80" s="119" t="e">
        <f t="shared" si="92"/>
        <v>#DIV/0!</v>
      </c>
      <c r="CE80" s="119">
        <f t="shared" si="124"/>
        <v>2473.4573333333333</v>
      </c>
      <c r="CF80" s="119">
        <f t="shared" si="95"/>
        <v>2473.4573333333333</v>
      </c>
      <c r="CG80" s="619">
        <f t="shared" si="96"/>
        <v>4181952.1</v>
      </c>
      <c r="CH80" s="132">
        <f t="shared" si="125"/>
        <v>2534.5164242424244</v>
      </c>
      <c r="CI80" s="106"/>
      <c r="CJ80" s="112">
        <f t="shared" si="97"/>
        <v>10136.016170000001</v>
      </c>
      <c r="CK80" s="112">
        <f t="shared" si="98"/>
        <v>6699.8264100000006</v>
      </c>
      <c r="CL80" s="112">
        <f t="shared" si="84"/>
        <v>16835.84258</v>
      </c>
      <c r="CM80" s="112">
        <f t="shared" si="99"/>
        <v>16835842.579999998</v>
      </c>
      <c r="CN80" s="112">
        <f t="shared" si="100"/>
        <v>16578366.84</v>
      </c>
      <c r="CO80" s="112">
        <f t="shared" si="101"/>
        <v>16578366.84</v>
      </c>
      <c r="CP80" s="112">
        <f t="shared" si="102"/>
        <v>10035268.67</v>
      </c>
      <c r="CQ80" s="112">
        <f t="shared" si="103"/>
        <v>16978346.82</v>
      </c>
      <c r="CR80" s="112">
        <f t="shared" si="104"/>
        <v>16978346.82</v>
      </c>
      <c r="CS80" s="112">
        <f t="shared" si="105"/>
        <v>6699826.4100000001</v>
      </c>
      <c r="CT80" s="112">
        <f t="shared" si="126"/>
        <v>33556713.659999996</v>
      </c>
      <c r="CU80" s="124">
        <f t="shared" si="127"/>
        <v>5052200.1897018962</v>
      </c>
      <c r="CV80" s="112">
        <f t="shared" si="106"/>
        <v>3994683</v>
      </c>
      <c r="CW80" s="112">
        <f t="shared" si="107"/>
        <v>4217746.5</v>
      </c>
      <c r="CX80" s="112">
        <f t="shared" si="128"/>
        <v>8212429.5</v>
      </c>
      <c r="CY80" s="112">
        <f t="shared" si="108"/>
        <v>16742954.34</v>
      </c>
      <c r="CZ80" s="112">
        <f t="shared" si="109"/>
        <v>16978346.82</v>
      </c>
      <c r="DA80" s="106"/>
      <c r="DB80" s="128">
        <f t="shared" si="129"/>
        <v>105.58401004535278</v>
      </c>
      <c r="DC80" s="106"/>
      <c r="DD80" s="106"/>
      <c r="DE80" s="106"/>
      <c r="DF80" s="106"/>
      <c r="DG80" s="618">
        <f t="shared" si="110"/>
        <v>0</v>
      </c>
      <c r="DH80" s="618">
        <f t="shared" si="111"/>
        <v>0</v>
      </c>
      <c r="DI80" s="618">
        <f t="shared" si="112"/>
        <v>0</v>
      </c>
      <c r="DJ80" s="106"/>
    </row>
    <row r="81" spans="1:116" s="32" customFormat="1" ht="63.75" customHeight="1">
      <c r="A81" s="20">
        <f t="shared" si="130"/>
        <v>68</v>
      </c>
      <c r="B81" s="1897"/>
      <c r="C81" s="806" t="s">
        <v>109</v>
      </c>
      <c r="D81" s="749" t="s">
        <v>141</v>
      </c>
      <c r="E81" s="617">
        <v>4632024035</v>
      </c>
      <c r="F81" s="806" t="s">
        <v>8</v>
      </c>
      <c r="G81" s="752" t="s">
        <v>890</v>
      </c>
      <c r="H81" s="819">
        <f>2653.36*1.2</f>
        <v>3184.0320000000002</v>
      </c>
      <c r="I81" s="819">
        <f>2653.36*1.2</f>
        <v>3184.0320000000002</v>
      </c>
      <c r="J81" s="38"/>
      <c r="K81" s="38"/>
      <c r="L81" s="819">
        <f>2653.36*1.2</f>
        <v>3184.0320000000002</v>
      </c>
      <c r="M81" s="10"/>
      <c r="N81" s="622">
        <f>2749.3*1.2</f>
        <v>3299.1600000000003</v>
      </c>
      <c r="O81" s="622">
        <f>2749.3*1.2</f>
        <v>3299.1600000000003</v>
      </c>
      <c r="P81" s="10"/>
      <c r="Q81" s="10"/>
      <c r="R81" s="622">
        <f>2749.3*1.2</f>
        <v>3299.1600000000003</v>
      </c>
      <c r="S81" s="10"/>
      <c r="T81" s="178">
        <v>194.17099999999999</v>
      </c>
      <c r="U81" s="16"/>
      <c r="V81" s="227"/>
      <c r="W81" s="16"/>
      <c r="X81" s="16"/>
      <c r="Y81" s="16"/>
      <c r="Z81" s="35">
        <f t="shared" si="131"/>
        <v>194.17099999999999</v>
      </c>
      <c r="AA81" s="178">
        <v>112.752</v>
      </c>
      <c r="AB81" s="178"/>
      <c r="AC81" s="227"/>
      <c r="AD81" s="16"/>
      <c r="AE81" s="16"/>
      <c r="AF81" s="16"/>
      <c r="AG81" s="35">
        <f t="shared" si="132"/>
        <v>112.752</v>
      </c>
      <c r="AH81" s="35">
        <f t="shared" si="113"/>
        <v>306.923</v>
      </c>
      <c r="AI81" s="15">
        <f t="shared" si="64"/>
        <v>306.923</v>
      </c>
      <c r="AJ81" s="15">
        <f t="shared" si="64"/>
        <v>0</v>
      </c>
      <c r="AK81" s="15">
        <f t="shared" si="64"/>
        <v>0</v>
      </c>
      <c r="AL81" s="15">
        <f t="shared" si="64"/>
        <v>0</v>
      </c>
      <c r="AM81" s="15">
        <f t="shared" si="64"/>
        <v>0</v>
      </c>
      <c r="AN81" s="15"/>
      <c r="AO81" s="15">
        <f t="shared" si="85"/>
        <v>306.923</v>
      </c>
      <c r="AP81" s="15">
        <f t="shared" si="86"/>
        <v>306.923</v>
      </c>
      <c r="AQ81" s="15">
        <f t="shared" si="81"/>
        <v>306.923</v>
      </c>
      <c r="AR81" s="127">
        <f t="shared" si="114"/>
        <v>0</v>
      </c>
      <c r="AS81" s="112">
        <f t="shared" si="87"/>
        <v>977252.65353600006</v>
      </c>
      <c r="AT81" s="112">
        <f t="shared" si="87"/>
        <v>0</v>
      </c>
      <c r="AU81" s="112">
        <f t="shared" si="87"/>
        <v>0</v>
      </c>
      <c r="AV81" s="112">
        <f t="shared" si="87"/>
        <v>0</v>
      </c>
      <c r="AW81" s="112">
        <f t="shared" si="87"/>
        <v>0</v>
      </c>
      <c r="AX81" s="112">
        <f t="shared" si="115"/>
        <v>977252.65353600006</v>
      </c>
      <c r="AY81" s="112">
        <f t="shared" si="116"/>
        <v>977252.65353600006</v>
      </c>
      <c r="AZ81" s="112">
        <f t="shared" si="88"/>
        <v>1012588.0846800001</v>
      </c>
      <c r="BA81" s="112">
        <f t="shared" si="88"/>
        <v>0</v>
      </c>
      <c r="BB81" s="112">
        <f t="shared" si="88"/>
        <v>0</v>
      </c>
      <c r="BC81" s="112">
        <f t="shared" si="88"/>
        <v>0</v>
      </c>
      <c r="BD81" s="112">
        <f t="shared" si="88"/>
        <v>0</v>
      </c>
      <c r="BE81" s="112">
        <f t="shared" si="117"/>
        <v>1012588.0846800001</v>
      </c>
      <c r="BF81" s="112">
        <f t="shared" si="118"/>
        <v>1012588.0846800001</v>
      </c>
      <c r="BG81" s="169">
        <f>(I81-J81)/1.2*U81/1000</f>
        <v>0</v>
      </c>
      <c r="BH81" s="170">
        <f>(O81-P81)/1.2*AB81/1000</f>
        <v>0</v>
      </c>
      <c r="BI81" s="169">
        <f t="shared" si="80"/>
        <v>0</v>
      </c>
      <c r="BJ81" s="169"/>
      <c r="BK81" s="169"/>
      <c r="BL81" s="112">
        <f t="shared" si="89"/>
        <v>618246.67747200001</v>
      </c>
      <c r="BM81" s="112">
        <f t="shared" si="89"/>
        <v>0</v>
      </c>
      <c r="BN81" s="112">
        <f t="shared" si="89"/>
        <v>0</v>
      </c>
      <c r="BO81" s="112">
        <f t="shared" si="89"/>
        <v>0</v>
      </c>
      <c r="BP81" s="112">
        <f t="shared" si="89"/>
        <v>0</v>
      </c>
      <c r="BQ81" s="112">
        <f t="shared" si="119"/>
        <v>618246.67747200001</v>
      </c>
      <c r="BR81" s="112">
        <f t="shared" si="120"/>
        <v>618246.67747200001</v>
      </c>
      <c r="BS81" s="112">
        <f t="shared" si="90"/>
        <v>371986.88832000003</v>
      </c>
      <c r="BT81" s="112">
        <f t="shared" si="90"/>
        <v>0</v>
      </c>
      <c r="BU81" s="112">
        <f t="shared" si="90"/>
        <v>0</v>
      </c>
      <c r="BV81" s="112">
        <f t="shared" si="93"/>
        <v>0</v>
      </c>
      <c r="BW81" s="112">
        <f t="shared" si="94"/>
        <v>0</v>
      </c>
      <c r="BX81" s="112">
        <f t="shared" si="121"/>
        <v>371986.88832000003</v>
      </c>
      <c r="BY81" s="112">
        <f t="shared" si="122"/>
        <v>371986.88832000003</v>
      </c>
      <c r="BZ81" s="113">
        <f t="shared" si="91"/>
        <v>0</v>
      </c>
      <c r="CA81" s="113">
        <f t="shared" si="91"/>
        <v>0</v>
      </c>
      <c r="CB81" s="113">
        <f t="shared" si="123"/>
        <v>0</v>
      </c>
      <c r="CC81" s="119" t="e">
        <f t="shared" si="92"/>
        <v>#DIV/0!</v>
      </c>
      <c r="CD81" s="119" t="e">
        <f t="shared" si="92"/>
        <v>#DIV/0!</v>
      </c>
      <c r="CE81" s="119" t="e">
        <f t="shared" si="124"/>
        <v>#DIV/0!</v>
      </c>
      <c r="CF81" s="113" t="e">
        <f t="shared" si="95"/>
        <v>#DIV/0!</v>
      </c>
      <c r="CG81" s="619">
        <f t="shared" si="96"/>
        <v>0</v>
      </c>
      <c r="CH81" s="132" t="e">
        <f t="shared" si="125"/>
        <v>#DIV/0!</v>
      </c>
      <c r="CI81" s="625"/>
      <c r="CJ81" s="208">
        <f t="shared" si="97"/>
        <v>618.24667747199999</v>
      </c>
      <c r="CK81" s="208">
        <f t="shared" si="98"/>
        <v>371.98688832000005</v>
      </c>
      <c r="CL81" s="208">
        <f t="shared" si="84"/>
        <v>990.23356579200004</v>
      </c>
      <c r="CM81" s="112">
        <f t="shared" si="99"/>
        <v>990233.56579200004</v>
      </c>
      <c r="CN81" s="112">
        <f t="shared" si="100"/>
        <v>977252.65353600006</v>
      </c>
      <c r="CO81" s="112">
        <f t="shared" si="101"/>
        <v>977252.65353600006</v>
      </c>
      <c r="CP81" s="112">
        <f t="shared" si="102"/>
        <v>618246.67747200001</v>
      </c>
      <c r="CQ81" s="112">
        <f t="shared" si="103"/>
        <v>1012588.0846800001</v>
      </c>
      <c r="CR81" s="112">
        <f t="shared" si="104"/>
        <v>1012588.0846800001</v>
      </c>
      <c r="CS81" s="112">
        <f t="shared" si="105"/>
        <v>371986.88832000003</v>
      </c>
      <c r="CT81" s="112">
        <f t="shared" si="126"/>
        <v>1989840.7382160001</v>
      </c>
      <c r="CU81" s="124">
        <f t="shared" si="127"/>
        <v>6483192</v>
      </c>
      <c r="CV81" s="112">
        <f t="shared" si="106"/>
        <v>0</v>
      </c>
      <c r="CW81" s="112">
        <f t="shared" si="107"/>
        <v>0</v>
      </c>
      <c r="CX81" s="112">
        <f t="shared" si="128"/>
        <v>0</v>
      </c>
      <c r="CY81" s="112">
        <f t="shared" si="108"/>
        <v>977252.65353600006</v>
      </c>
      <c r="CZ81" s="112">
        <f t="shared" si="109"/>
        <v>1012588.0846800001</v>
      </c>
      <c r="DA81" s="625"/>
      <c r="DB81" s="128" t="e">
        <f t="shared" si="129"/>
        <v>#DIV/0!</v>
      </c>
      <c r="DC81" s="625"/>
      <c r="DD81" s="625"/>
      <c r="DE81" s="625"/>
      <c r="DF81" s="625"/>
      <c r="DG81" s="618">
        <f t="shared" si="110"/>
        <v>0</v>
      </c>
      <c r="DH81" s="618">
        <f t="shared" si="111"/>
        <v>0</v>
      </c>
      <c r="DI81" s="618">
        <f t="shared" si="112"/>
        <v>0</v>
      </c>
      <c r="DJ81" s="123"/>
    </row>
    <row r="82" spans="1:116" s="32" customFormat="1" ht="63.75" customHeight="1">
      <c r="A82" s="20">
        <f t="shared" si="130"/>
        <v>69</v>
      </c>
      <c r="B82" s="1905"/>
      <c r="C82" s="806" t="s">
        <v>110</v>
      </c>
      <c r="D82" s="749" t="s">
        <v>142</v>
      </c>
      <c r="E82" s="617">
        <v>4632024035</v>
      </c>
      <c r="F82" s="806" t="s">
        <v>8</v>
      </c>
      <c r="G82" s="752" t="s">
        <v>890</v>
      </c>
      <c r="H82" s="819">
        <f>2653.36*1.2</f>
        <v>3184.0320000000002</v>
      </c>
      <c r="I82" s="819">
        <f>2653.36*1.2</f>
        <v>3184.0320000000002</v>
      </c>
      <c r="J82" s="38">
        <v>2732.57</v>
      </c>
      <c r="K82" s="38"/>
      <c r="L82" s="819">
        <f>2653.36*1.2</f>
        <v>3184.0320000000002</v>
      </c>
      <c r="M82" s="10"/>
      <c r="N82" s="622">
        <f>2749.3*1.2</f>
        <v>3299.1600000000003</v>
      </c>
      <c r="O82" s="622">
        <f>2749.3*1.2</f>
        <v>3299.1600000000003</v>
      </c>
      <c r="P82" s="38">
        <v>2896.52</v>
      </c>
      <c r="Q82" s="10"/>
      <c r="R82" s="622">
        <f>2749.3*1.2</f>
        <v>3299.1600000000003</v>
      </c>
      <c r="S82" s="10"/>
      <c r="T82" s="178">
        <v>635.24800000000005</v>
      </c>
      <c r="U82" s="16">
        <v>193.29999999999998</v>
      </c>
      <c r="V82" s="227"/>
      <c r="W82" s="16"/>
      <c r="X82" s="16"/>
      <c r="Y82" s="16"/>
      <c r="Z82" s="35">
        <f t="shared" si="131"/>
        <v>828.548</v>
      </c>
      <c r="AA82" s="178">
        <v>368.88</v>
      </c>
      <c r="AB82" s="178">
        <v>145</v>
      </c>
      <c r="AC82" s="227"/>
      <c r="AD82" s="16"/>
      <c r="AE82" s="16"/>
      <c r="AF82" s="16"/>
      <c r="AG82" s="35">
        <f t="shared" si="132"/>
        <v>513.88</v>
      </c>
      <c r="AH82" s="35">
        <f t="shared" si="113"/>
        <v>1342.4279999999999</v>
      </c>
      <c r="AI82" s="15">
        <f t="shared" si="64"/>
        <v>1004.128</v>
      </c>
      <c r="AJ82" s="15">
        <f t="shared" si="64"/>
        <v>338.29999999999995</v>
      </c>
      <c r="AK82" s="15">
        <f t="shared" si="64"/>
        <v>0</v>
      </c>
      <c r="AL82" s="15">
        <f t="shared" si="64"/>
        <v>0</v>
      </c>
      <c r="AM82" s="15">
        <f t="shared" si="64"/>
        <v>0</v>
      </c>
      <c r="AN82" s="15"/>
      <c r="AO82" s="15">
        <f t="shared" si="85"/>
        <v>1342.4279999999999</v>
      </c>
      <c r="AP82" s="15">
        <f t="shared" si="86"/>
        <v>1342.4279999999999</v>
      </c>
      <c r="AQ82" s="15">
        <f t="shared" si="81"/>
        <v>1342.4279999999999</v>
      </c>
      <c r="AR82" s="127">
        <f t="shared" si="114"/>
        <v>0</v>
      </c>
      <c r="AS82" s="112">
        <f t="shared" si="87"/>
        <v>3197175.6840960002</v>
      </c>
      <c r="AT82" s="112">
        <f t="shared" si="87"/>
        <v>924428.43099999998</v>
      </c>
      <c r="AU82" s="112">
        <f t="shared" si="87"/>
        <v>0</v>
      </c>
      <c r="AV82" s="112">
        <f t="shared" si="87"/>
        <v>0</v>
      </c>
      <c r="AW82" s="112">
        <f t="shared" si="87"/>
        <v>0</v>
      </c>
      <c r="AX82" s="112">
        <f t="shared" si="115"/>
        <v>4121604.115096</v>
      </c>
      <c r="AY82" s="112">
        <f t="shared" si="116"/>
        <v>4121604.115096</v>
      </c>
      <c r="AZ82" s="112">
        <f t="shared" si="88"/>
        <v>3312778.9324800004</v>
      </c>
      <c r="BA82" s="112">
        <f t="shared" si="88"/>
        <v>979892.7159999999</v>
      </c>
      <c r="BB82" s="112">
        <f t="shared" si="88"/>
        <v>0</v>
      </c>
      <c r="BC82" s="112">
        <f t="shared" si="88"/>
        <v>0</v>
      </c>
      <c r="BD82" s="112">
        <f t="shared" si="88"/>
        <v>0</v>
      </c>
      <c r="BE82" s="112">
        <f t="shared" si="117"/>
        <v>4292671.64848</v>
      </c>
      <c r="BF82" s="112">
        <f t="shared" si="118"/>
        <v>4292671.64848</v>
      </c>
      <c r="BG82" s="623">
        <f>(I82-J82)/1.2*U82/1000</f>
        <v>72.723003833333337</v>
      </c>
      <c r="BH82" s="624">
        <f>(O82-P82)/1.2*AB82/1000</f>
        <v>48.652333333333381</v>
      </c>
      <c r="BI82" s="623">
        <f t="shared" si="80"/>
        <v>121.37533716666672</v>
      </c>
      <c r="BJ82" s="169"/>
      <c r="BK82" s="169"/>
      <c r="BL82" s="112">
        <f t="shared" si="89"/>
        <v>2022649.9599360002</v>
      </c>
      <c r="BM82" s="112">
        <f t="shared" si="89"/>
        <v>528205.78099999996</v>
      </c>
      <c r="BN82" s="112">
        <f t="shared" si="89"/>
        <v>0</v>
      </c>
      <c r="BO82" s="112">
        <f t="shared" si="89"/>
        <v>0</v>
      </c>
      <c r="BP82" s="112">
        <f t="shared" si="89"/>
        <v>0</v>
      </c>
      <c r="BQ82" s="112">
        <f t="shared" si="119"/>
        <v>2550855.7409359999</v>
      </c>
      <c r="BR82" s="112">
        <f t="shared" si="120"/>
        <v>2550855.7409359999</v>
      </c>
      <c r="BS82" s="112">
        <f t="shared" si="90"/>
        <v>1216994.1408000002</v>
      </c>
      <c r="BT82" s="112">
        <f t="shared" si="90"/>
        <v>419995.4</v>
      </c>
      <c r="BU82" s="112">
        <f t="shared" si="90"/>
        <v>0</v>
      </c>
      <c r="BV82" s="112">
        <f t="shared" si="93"/>
        <v>0</v>
      </c>
      <c r="BW82" s="112">
        <f t="shared" si="94"/>
        <v>0</v>
      </c>
      <c r="BX82" s="112">
        <f t="shared" si="121"/>
        <v>1636989.5408000001</v>
      </c>
      <c r="BY82" s="112">
        <f t="shared" si="122"/>
        <v>1636989.5408000001</v>
      </c>
      <c r="BZ82" s="113">
        <f t="shared" si="91"/>
        <v>948201.18099999998</v>
      </c>
      <c r="CA82" s="113">
        <f t="shared" si="91"/>
        <v>0</v>
      </c>
      <c r="CB82" s="113">
        <f t="shared" si="123"/>
        <v>948201.18099999998</v>
      </c>
      <c r="CC82" s="119">
        <f t="shared" si="92"/>
        <v>2802.8412089861072</v>
      </c>
      <c r="CD82" s="119" t="e">
        <f t="shared" si="92"/>
        <v>#DIV/0!</v>
      </c>
      <c r="CE82" s="119">
        <f t="shared" si="124"/>
        <v>2802.8412089861072</v>
      </c>
      <c r="CF82" s="119">
        <f t="shared" si="95"/>
        <v>2802.8412089861072</v>
      </c>
      <c r="CG82" s="619">
        <f t="shared" si="96"/>
        <v>1093851.5855999999</v>
      </c>
      <c r="CH82" s="132">
        <f t="shared" si="125"/>
        <v>3233.3774330475908</v>
      </c>
      <c r="CI82" s="625"/>
      <c r="CJ82" s="208">
        <f t="shared" si="97"/>
        <v>2638.1233455360002</v>
      </c>
      <c r="CK82" s="208">
        <f t="shared" si="98"/>
        <v>1695.3723408000001</v>
      </c>
      <c r="CL82" s="208">
        <f t="shared" si="84"/>
        <v>4333.4956863360003</v>
      </c>
      <c r="CM82" s="112">
        <f t="shared" si="99"/>
        <v>4333495.6863360004</v>
      </c>
      <c r="CN82" s="112">
        <f t="shared" si="100"/>
        <v>4121604.115096</v>
      </c>
      <c r="CO82" s="112">
        <f t="shared" si="101"/>
        <v>4121604.115096</v>
      </c>
      <c r="CP82" s="112">
        <f t="shared" si="102"/>
        <v>2550855.7409359999</v>
      </c>
      <c r="CQ82" s="112">
        <f t="shared" si="103"/>
        <v>4292671.64848</v>
      </c>
      <c r="CR82" s="112">
        <f t="shared" si="104"/>
        <v>4292671.64848</v>
      </c>
      <c r="CS82" s="112">
        <f t="shared" si="105"/>
        <v>1636989.5408000001</v>
      </c>
      <c r="CT82" s="112">
        <f t="shared" si="126"/>
        <v>8414275.7635760009</v>
      </c>
      <c r="CU82" s="124">
        <f t="shared" si="127"/>
        <v>6267953.1144880783</v>
      </c>
      <c r="CV82" s="112">
        <f t="shared" si="106"/>
        <v>924428.43099999998</v>
      </c>
      <c r="CW82" s="112">
        <f t="shared" si="107"/>
        <v>979892.7159999999</v>
      </c>
      <c r="CX82" s="112">
        <f t="shared" si="128"/>
        <v>1904321.1469999999</v>
      </c>
      <c r="CY82" s="112">
        <f t="shared" si="108"/>
        <v>4274333.7096960004</v>
      </c>
      <c r="CZ82" s="112">
        <f t="shared" si="109"/>
        <v>4428884.7604800006</v>
      </c>
      <c r="DA82" s="625"/>
      <c r="DB82" s="128">
        <f t="shared" si="129"/>
        <v>120.73469298133259</v>
      </c>
      <c r="DC82" s="625"/>
      <c r="DD82" s="625"/>
      <c r="DE82" s="625"/>
      <c r="DF82" s="625"/>
      <c r="DG82" s="618">
        <f t="shared" si="110"/>
        <v>0</v>
      </c>
      <c r="DH82" s="618">
        <f t="shared" si="111"/>
        <v>0</v>
      </c>
      <c r="DI82" s="618">
        <f t="shared" si="112"/>
        <v>0</v>
      </c>
      <c r="DJ82" s="123"/>
    </row>
    <row r="83" spans="1:116" s="45" customFormat="1" ht="63.75" hidden="1" customHeight="1">
      <c r="A83" s="20">
        <f t="shared" si="130"/>
        <v>70</v>
      </c>
      <c r="B83" s="1963" t="s">
        <v>29</v>
      </c>
      <c r="C83" s="764" t="s">
        <v>112</v>
      </c>
      <c r="D83" s="696" t="s">
        <v>111</v>
      </c>
      <c r="E83" s="761">
        <v>4617004147</v>
      </c>
      <c r="F83" s="696" t="s">
        <v>8</v>
      </c>
      <c r="G83" s="804" t="s">
        <v>904</v>
      </c>
      <c r="H83" s="607">
        <v>2899.0000000000005</v>
      </c>
      <c r="I83" s="38">
        <v>2899.0000000000005</v>
      </c>
      <c r="J83" s="607">
        <v>2899.0000000000005</v>
      </c>
      <c r="K83" s="607"/>
      <c r="L83" s="607"/>
      <c r="M83" s="36"/>
      <c r="N83" s="36">
        <v>2999.01</v>
      </c>
      <c r="O83" s="10">
        <v>2999.01</v>
      </c>
      <c r="P83" s="36">
        <v>2999.01</v>
      </c>
      <c r="Q83" s="36"/>
      <c r="R83" s="36"/>
      <c r="S83" s="36"/>
      <c r="T83" s="177">
        <v>1485.2766666666666</v>
      </c>
      <c r="U83" s="173">
        <v>103.92</v>
      </c>
      <c r="V83" s="224">
        <v>0</v>
      </c>
      <c r="W83" s="173">
        <v>0</v>
      </c>
      <c r="X83" s="173">
        <v>0</v>
      </c>
      <c r="Y83" s="173">
        <v>0</v>
      </c>
      <c r="Z83" s="35">
        <f t="shared" si="131"/>
        <v>1589.1966666666667</v>
      </c>
      <c r="AA83" s="177">
        <v>1125.9566666666667</v>
      </c>
      <c r="AB83" s="173">
        <v>75.029999999999987</v>
      </c>
      <c r="AC83" s="224">
        <v>0</v>
      </c>
      <c r="AD83" s="173">
        <v>0</v>
      </c>
      <c r="AE83" s="173">
        <v>0</v>
      </c>
      <c r="AF83" s="173">
        <v>0</v>
      </c>
      <c r="AG83" s="35">
        <f t="shared" si="132"/>
        <v>1200.9866666666667</v>
      </c>
      <c r="AH83" s="35">
        <f t="shared" si="113"/>
        <v>2790.1833333333334</v>
      </c>
      <c r="AI83" s="15">
        <f t="shared" si="64"/>
        <v>2611.2333333333336</v>
      </c>
      <c r="AJ83" s="15">
        <f t="shared" si="64"/>
        <v>178.95</v>
      </c>
      <c r="AK83" s="15">
        <f t="shared" si="64"/>
        <v>0</v>
      </c>
      <c r="AL83" s="15">
        <f t="shared" si="64"/>
        <v>0</v>
      </c>
      <c r="AM83" s="15">
        <f t="shared" si="64"/>
        <v>0</v>
      </c>
      <c r="AN83" s="15"/>
      <c r="AO83" s="15">
        <f t="shared" si="85"/>
        <v>2790.1833333333334</v>
      </c>
      <c r="AP83" s="15">
        <f t="shared" si="86"/>
        <v>2790.1833333333334</v>
      </c>
      <c r="AQ83" s="15">
        <f t="shared" si="81"/>
        <v>2790.1833333333334</v>
      </c>
      <c r="AR83" s="127">
        <f t="shared" si="114"/>
        <v>0</v>
      </c>
      <c r="AS83" s="112">
        <f t="shared" si="87"/>
        <v>7569965.4333333354</v>
      </c>
      <c r="AT83" s="112">
        <f t="shared" si="87"/>
        <v>518776.05000000005</v>
      </c>
      <c r="AU83" s="112">
        <f t="shared" si="87"/>
        <v>0</v>
      </c>
      <c r="AV83" s="112">
        <f t="shared" si="87"/>
        <v>0</v>
      </c>
      <c r="AW83" s="112">
        <f t="shared" si="87"/>
        <v>0</v>
      </c>
      <c r="AX83" s="112">
        <f t="shared" si="115"/>
        <v>8088741.4833333353</v>
      </c>
      <c r="AY83" s="112">
        <f t="shared" si="116"/>
        <v>8088741.4833333353</v>
      </c>
      <c r="AZ83" s="112">
        <f t="shared" si="88"/>
        <v>7831114.8790000016</v>
      </c>
      <c r="BA83" s="112">
        <f t="shared" si="88"/>
        <v>536672.8395</v>
      </c>
      <c r="BB83" s="112">
        <f t="shared" si="88"/>
        <v>0</v>
      </c>
      <c r="BC83" s="112">
        <f t="shared" si="88"/>
        <v>0</v>
      </c>
      <c r="BD83" s="112">
        <f t="shared" si="88"/>
        <v>0</v>
      </c>
      <c r="BE83" s="112">
        <f t="shared" si="117"/>
        <v>8367787.7185000014</v>
      </c>
      <c r="BF83" s="112">
        <f t="shared" si="118"/>
        <v>8367787.7185000014</v>
      </c>
      <c r="BG83" s="169"/>
      <c r="BH83" s="170"/>
      <c r="BI83" s="169">
        <f t="shared" si="80"/>
        <v>0</v>
      </c>
      <c r="BJ83" s="169">
        <v>8208.84</v>
      </c>
      <c r="BK83" s="169"/>
      <c r="BL83" s="112">
        <f t="shared" si="89"/>
        <v>4305817.0566666676</v>
      </c>
      <c r="BM83" s="112">
        <f t="shared" si="89"/>
        <v>301264.08000000007</v>
      </c>
      <c r="BN83" s="112">
        <f t="shared" si="89"/>
        <v>0</v>
      </c>
      <c r="BO83" s="112">
        <f t="shared" si="89"/>
        <v>0</v>
      </c>
      <c r="BP83" s="112">
        <f t="shared" si="89"/>
        <v>0</v>
      </c>
      <c r="BQ83" s="112">
        <f t="shared" si="119"/>
        <v>4607081.1366666676</v>
      </c>
      <c r="BR83" s="112">
        <f t="shared" si="120"/>
        <v>4607081.1366666676</v>
      </c>
      <c r="BS83" s="112">
        <f t="shared" si="90"/>
        <v>3376755.3029000005</v>
      </c>
      <c r="BT83" s="112">
        <f t="shared" si="90"/>
        <v>225015.72029999999</v>
      </c>
      <c r="BU83" s="112">
        <f t="shared" si="90"/>
        <v>0</v>
      </c>
      <c r="BV83" s="112">
        <f t="shared" si="93"/>
        <v>0</v>
      </c>
      <c r="BW83" s="112">
        <f t="shared" si="94"/>
        <v>0</v>
      </c>
      <c r="BX83" s="112">
        <f t="shared" si="121"/>
        <v>3601771.0232000006</v>
      </c>
      <c r="BY83" s="112">
        <f t="shared" si="122"/>
        <v>3601771.0232000006</v>
      </c>
      <c r="BZ83" s="113">
        <f t="shared" si="91"/>
        <v>526279.8003</v>
      </c>
      <c r="CA83" s="113">
        <f t="shared" si="91"/>
        <v>0</v>
      </c>
      <c r="CB83" s="113">
        <f t="shared" si="123"/>
        <v>526279.8003</v>
      </c>
      <c r="CC83" s="119">
        <f t="shared" si="92"/>
        <v>2940.9321056160943</v>
      </c>
      <c r="CD83" s="119" t="e">
        <f t="shared" si="92"/>
        <v>#DIV/0!</v>
      </c>
      <c r="CE83" s="119">
        <f t="shared" si="124"/>
        <v>2940.9321056160943</v>
      </c>
      <c r="CF83" s="119">
        <f t="shared" si="95"/>
        <v>2940.9321056160943</v>
      </c>
      <c r="CG83" s="619">
        <f t="shared" si="96"/>
        <v>526279.8003</v>
      </c>
      <c r="CH83" s="132">
        <f t="shared" si="125"/>
        <v>2940.9321056160943</v>
      </c>
      <c r="CI83" s="171"/>
      <c r="CJ83" s="112">
        <f t="shared" si="97"/>
        <v>4607.0811366666676</v>
      </c>
      <c r="CK83" s="112">
        <f t="shared" si="98"/>
        <v>3601.7710231999999</v>
      </c>
      <c r="CL83" s="112">
        <f t="shared" si="84"/>
        <v>8208.8521598666666</v>
      </c>
      <c r="CM83" s="112">
        <f t="shared" si="99"/>
        <v>8208852.1598666683</v>
      </c>
      <c r="CN83" s="112">
        <f t="shared" si="100"/>
        <v>8088741.4833333353</v>
      </c>
      <c r="CO83" s="112">
        <f t="shared" si="101"/>
        <v>8088741.4833333353</v>
      </c>
      <c r="CP83" s="112">
        <f t="shared" si="102"/>
        <v>4607081.1366666676</v>
      </c>
      <c r="CQ83" s="112">
        <f t="shared" si="103"/>
        <v>8367787.7185000014</v>
      </c>
      <c r="CR83" s="112">
        <f t="shared" si="104"/>
        <v>8367787.7185000014</v>
      </c>
      <c r="CS83" s="112">
        <f t="shared" si="105"/>
        <v>3601771.0232000006</v>
      </c>
      <c r="CT83" s="112">
        <f t="shared" si="126"/>
        <v>16456529.201833338</v>
      </c>
      <c r="CU83" s="124">
        <f t="shared" si="127"/>
        <v>5898010.0000000009</v>
      </c>
      <c r="CV83" s="112">
        <f t="shared" si="106"/>
        <v>518776.05000000005</v>
      </c>
      <c r="CW83" s="112">
        <f t="shared" si="107"/>
        <v>536672.8395</v>
      </c>
      <c r="CX83" s="112">
        <f t="shared" si="128"/>
        <v>1055448.8895</v>
      </c>
      <c r="CY83" s="112">
        <f t="shared" si="108"/>
        <v>8088741.4833333353</v>
      </c>
      <c r="CZ83" s="112">
        <f t="shared" si="109"/>
        <v>8367787.7185000014</v>
      </c>
      <c r="DA83" s="171"/>
      <c r="DB83" s="128">
        <f t="shared" si="129"/>
        <v>103.44981027940668</v>
      </c>
      <c r="DC83" s="171"/>
      <c r="DD83" s="171"/>
      <c r="DE83" s="171"/>
      <c r="DF83" s="171"/>
      <c r="DG83" s="618">
        <f t="shared" si="110"/>
        <v>0</v>
      </c>
      <c r="DH83" s="618">
        <f t="shared" si="111"/>
        <v>0</v>
      </c>
      <c r="DI83" s="618">
        <f t="shared" si="112"/>
        <v>0</v>
      </c>
      <c r="DJ83" s="125"/>
      <c r="DK83" s="21"/>
      <c r="DL83" s="21"/>
    </row>
    <row r="84" spans="1:116" s="32" customFormat="1" ht="63.75" customHeight="1">
      <c r="A84" s="20">
        <f t="shared" si="130"/>
        <v>71</v>
      </c>
      <c r="B84" s="1964"/>
      <c r="C84" s="805" t="s">
        <v>113</v>
      </c>
      <c r="D84" s="749" t="s">
        <v>142</v>
      </c>
      <c r="E84" s="617">
        <v>4632024035</v>
      </c>
      <c r="F84" s="806" t="s">
        <v>8</v>
      </c>
      <c r="G84" s="752" t="s">
        <v>890</v>
      </c>
      <c r="H84" s="819">
        <f>2653.36*1.2</f>
        <v>3184.0320000000002</v>
      </c>
      <c r="I84" s="819">
        <f>2653.36*1.2</f>
        <v>3184.0320000000002</v>
      </c>
      <c r="J84" s="38"/>
      <c r="K84" s="38"/>
      <c r="L84" s="819">
        <f>2653.36*1.2</f>
        <v>3184.0320000000002</v>
      </c>
      <c r="M84" s="10"/>
      <c r="N84" s="622">
        <f>2749.3*1.2</f>
        <v>3299.1600000000003</v>
      </c>
      <c r="O84" s="622">
        <f>2749.3*1.2</f>
        <v>3299.1600000000003</v>
      </c>
      <c r="P84" s="10"/>
      <c r="Q84" s="10"/>
      <c r="R84" s="622">
        <f>2749.3*1.2</f>
        <v>3299.1600000000003</v>
      </c>
      <c r="S84" s="10"/>
      <c r="T84" s="178">
        <v>228.929</v>
      </c>
      <c r="U84" s="16"/>
      <c r="V84" s="227"/>
      <c r="W84" s="16"/>
      <c r="X84" s="16"/>
      <c r="Y84" s="16"/>
      <c r="Z84" s="35">
        <f t="shared" si="131"/>
        <v>228.929</v>
      </c>
      <c r="AA84" s="178">
        <v>132.93600000000001</v>
      </c>
      <c r="AB84" s="16"/>
      <c r="AC84" s="227"/>
      <c r="AD84" s="16"/>
      <c r="AE84" s="16"/>
      <c r="AF84" s="16"/>
      <c r="AG84" s="35">
        <f t="shared" si="132"/>
        <v>132.93600000000001</v>
      </c>
      <c r="AH84" s="35">
        <f t="shared" si="113"/>
        <v>361.86500000000001</v>
      </c>
      <c r="AI84" s="15">
        <f t="shared" si="64"/>
        <v>361.86500000000001</v>
      </c>
      <c r="AJ84" s="15">
        <f t="shared" si="64"/>
        <v>0</v>
      </c>
      <c r="AK84" s="15">
        <f t="shared" si="64"/>
        <v>0</v>
      </c>
      <c r="AL84" s="15">
        <f t="shared" si="64"/>
        <v>0</v>
      </c>
      <c r="AM84" s="15">
        <f t="shared" ref="AM84:AM140" si="133">X84+AE84</f>
        <v>0</v>
      </c>
      <c r="AN84" s="15"/>
      <c r="AO84" s="15">
        <f t="shared" si="85"/>
        <v>361.86500000000001</v>
      </c>
      <c r="AP84" s="15">
        <f t="shared" si="86"/>
        <v>361.86500000000001</v>
      </c>
      <c r="AQ84" s="15">
        <f t="shared" si="81"/>
        <v>361.86500000000001</v>
      </c>
      <c r="AR84" s="127">
        <f t="shared" si="114"/>
        <v>0</v>
      </c>
      <c r="AS84" s="112">
        <f t="shared" si="87"/>
        <v>1152189.7396800001</v>
      </c>
      <c r="AT84" s="112">
        <f t="shared" si="87"/>
        <v>0</v>
      </c>
      <c r="AU84" s="112">
        <f t="shared" si="87"/>
        <v>0</v>
      </c>
      <c r="AV84" s="112">
        <f t="shared" si="87"/>
        <v>0</v>
      </c>
      <c r="AW84" s="112">
        <f t="shared" si="87"/>
        <v>0</v>
      </c>
      <c r="AX84" s="112">
        <f t="shared" si="115"/>
        <v>1152189.7396800001</v>
      </c>
      <c r="AY84" s="112">
        <f t="shared" si="116"/>
        <v>1152189.7396800001</v>
      </c>
      <c r="AZ84" s="112">
        <f t="shared" si="88"/>
        <v>1193850.5334000001</v>
      </c>
      <c r="BA84" s="112">
        <f t="shared" si="88"/>
        <v>0</v>
      </c>
      <c r="BB84" s="112">
        <f t="shared" si="88"/>
        <v>0</v>
      </c>
      <c r="BC84" s="112">
        <f t="shared" si="88"/>
        <v>0</v>
      </c>
      <c r="BD84" s="112">
        <f t="shared" si="88"/>
        <v>0</v>
      </c>
      <c r="BE84" s="112">
        <f t="shared" si="117"/>
        <v>1193850.5334000001</v>
      </c>
      <c r="BF84" s="112">
        <f t="shared" si="118"/>
        <v>1193850.5334000001</v>
      </c>
      <c r="BG84" s="169">
        <f>(I84-J84)/1.2*U84/1000</f>
        <v>0</v>
      </c>
      <c r="BH84" s="170">
        <f>(O84-P84)/1.2*AB84/1000</f>
        <v>0</v>
      </c>
      <c r="BI84" s="169">
        <f t="shared" si="80"/>
        <v>0</v>
      </c>
      <c r="BJ84" s="169"/>
      <c r="BK84" s="169"/>
      <c r="BL84" s="112">
        <f t="shared" si="89"/>
        <v>728917.26172800001</v>
      </c>
      <c r="BM84" s="112">
        <f t="shared" si="89"/>
        <v>0</v>
      </c>
      <c r="BN84" s="112">
        <f t="shared" si="89"/>
        <v>0</v>
      </c>
      <c r="BO84" s="112">
        <f t="shared" si="89"/>
        <v>0</v>
      </c>
      <c r="BP84" s="112">
        <f t="shared" si="89"/>
        <v>0</v>
      </c>
      <c r="BQ84" s="112">
        <f t="shared" si="119"/>
        <v>728917.26172800001</v>
      </c>
      <c r="BR84" s="112">
        <f t="shared" si="120"/>
        <v>728917.26172800001</v>
      </c>
      <c r="BS84" s="112">
        <f t="shared" si="90"/>
        <v>438577.13376000006</v>
      </c>
      <c r="BT84" s="112">
        <f t="shared" si="90"/>
        <v>0</v>
      </c>
      <c r="BU84" s="112">
        <f t="shared" si="90"/>
        <v>0</v>
      </c>
      <c r="BV84" s="112">
        <f t="shared" si="93"/>
        <v>0</v>
      </c>
      <c r="BW84" s="112">
        <f t="shared" si="94"/>
        <v>0</v>
      </c>
      <c r="BX84" s="112">
        <f t="shared" si="121"/>
        <v>438577.13376000006</v>
      </c>
      <c r="BY84" s="112">
        <f t="shared" si="122"/>
        <v>438577.13376000006</v>
      </c>
      <c r="BZ84" s="113">
        <f t="shared" si="91"/>
        <v>0</v>
      </c>
      <c r="CA84" s="113">
        <f t="shared" si="91"/>
        <v>0</v>
      </c>
      <c r="CB84" s="113">
        <f t="shared" si="123"/>
        <v>0</v>
      </c>
      <c r="CC84" s="119" t="e">
        <f t="shared" si="92"/>
        <v>#DIV/0!</v>
      </c>
      <c r="CD84" s="119" t="e">
        <f t="shared" si="92"/>
        <v>#DIV/0!</v>
      </c>
      <c r="CE84" s="119" t="e">
        <f t="shared" si="124"/>
        <v>#DIV/0!</v>
      </c>
      <c r="CF84" s="113" t="e">
        <f t="shared" si="95"/>
        <v>#DIV/0!</v>
      </c>
      <c r="CG84" s="619">
        <f t="shared" si="96"/>
        <v>0</v>
      </c>
      <c r="CH84" s="132" t="e">
        <f t="shared" si="125"/>
        <v>#DIV/0!</v>
      </c>
      <c r="CI84" s="625"/>
      <c r="CJ84" s="208">
        <f t="shared" si="97"/>
        <v>728.91726172799997</v>
      </c>
      <c r="CK84" s="208">
        <f t="shared" si="98"/>
        <v>438.57713376000004</v>
      </c>
      <c r="CL84" s="208">
        <f t="shared" si="84"/>
        <v>1167.494395488</v>
      </c>
      <c r="CM84" s="112">
        <f t="shared" si="99"/>
        <v>1167494.395488</v>
      </c>
      <c r="CN84" s="112">
        <f t="shared" si="100"/>
        <v>1152189.7396800001</v>
      </c>
      <c r="CO84" s="112">
        <f t="shared" si="101"/>
        <v>1152189.7396800001</v>
      </c>
      <c r="CP84" s="112">
        <f t="shared" si="102"/>
        <v>728917.26172800001</v>
      </c>
      <c r="CQ84" s="112">
        <f t="shared" si="103"/>
        <v>1193850.5334000001</v>
      </c>
      <c r="CR84" s="112">
        <f t="shared" si="104"/>
        <v>1193850.5334000001</v>
      </c>
      <c r="CS84" s="112">
        <f t="shared" si="105"/>
        <v>438577.13376000006</v>
      </c>
      <c r="CT84" s="112">
        <f t="shared" si="126"/>
        <v>2346040.2730800002</v>
      </c>
      <c r="CU84" s="124">
        <f t="shared" si="127"/>
        <v>6483192</v>
      </c>
      <c r="CV84" s="112">
        <f t="shared" si="106"/>
        <v>0</v>
      </c>
      <c r="CW84" s="112">
        <f t="shared" si="107"/>
        <v>0</v>
      </c>
      <c r="CX84" s="112">
        <f t="shared" si="128"/>
        <v>0</v>
      </c>
      <c r="CY84" s="112">
        <f t="shared" si="108"/>
        <v>1152189.7396800001</v>
      </c>
      <c r="CZ84" s="112">
        <f t="shared" si="109"/>
        <v>1193850.5334000001</v>
      </c>
      <c r="DA84" s="625"/>
      <c r="DB84" s="128" t="e">
        <f t="shared" si="129"/>
        <v>#DIV/0!</v>
      </c>
      <c r="DC84" s="625"/>
      <c r="DD84" s="625"/>
      <c r="DE84" s="625"/>
      <c r="DF84" s="625"/>
      <c r="DG84" s="618">
        <f t="shared" si="110"/>
        <v>0</v>
      </c>
      <c r="DH84" s="618">
        <f t="shared" si="111"/>
        <v>0</v>
      </c>
      <c r="DI84" s="618">
        <f t="shared" si="112"/>
        <v>0</v>
      </c>
      <c r="DJ84" s="123"/>
    </row>
    <row r="85" spans="1:116" s="32" customFormat="1" ht="63.75" customHeight="1">
      <c r="A85" s="20">
        <f t="shared" si="130"/>
        <v>72</v>
      </c>
      <c r="B85" s="1965"/>
      <c r="C85" s="806" t="s">
        <v>114</v>
      </c>
      <c r="D85" s="749" t="s">
        <v>141</v>
      </c>
      <c r="E85" s="617">
        <v>4632024035</v>
      </c>
      <c r="F85" s="806" t="s">
        <v>8</v>
      </c>
      <c r="G85" s="752" t="s">
        <v>890</v>
      </c>
      <c r="H85" s="819">
        <f>2653.36*1.2</f>
        <v>3184.0320000000002</v>
      </c>
      <c r="I85" s="819">
        <f>2653.36*1.2</f>
        <v>3184.0320000000002</v>
      </c>
      <c r="J85" s="38">
        <v>2732.57</v>
      </c>
      <c r="K85" s="38"/>
      <c r="L85" s="819">
        <f>2653.36*1.2</f>
        <v>3184.0320000000002</v>
      </c>
      <c r="M85" s="10"/>
      <c r="N85" s="622">
        <f>2749.3*1.2</f>
        <v>3299.1600000000003</v>
      </c>
      <c r="O85" s="622">
        <f>2749.3*1.2</f>
        <v>3299.1600000000003</v>
      </c>
      <c r="P85" s="38">
        <v>2896.52</v>
      </c>
      <c r="Q85" s="10"/>
      <c r="R85" s="622">
        <f>2749.3*1.2</f>
        <v>3299.1600000000003</v>
      </c>
      <c r="S85" s="10"/>
      <c r="T85" s="178"/>
      <c r="U85" s="16">
        <v>148.80000000000001</v>
      </c>
      <c r="V85" s="227"/>
      <c r="W85" s="16"/>
      <c r="X85" s="16"/>
      <c r="Y85" s="16"/>
      <c r="Z85" s="35">
        <f t="shared" si="131"/>
        <v>148.80000000000001</v>
      </c>
      <c r="AA85" s="178"/>
      <c r="AB85" s="16">
        <v>111.6</v>
      </c>
      <c r="AC85" s="227"/>
      <c r="AD85" s="16"/>
      <c r="AE85" s="16"/>
      <c r="AF85" s="16"/>
      <c r="AG85" s="35">
        <f t="shared" si="132"/>
        <v>111.6</v>
      </c>
      <c r="AH85" s="35">
        <f t="shared" si="113"/>
        <v>260.39999999999998</v>
      </c>
      <c r="AI85" s="15">
        <f t="shared" ref="AI85:AL140" si="134">T85+AA85</f>
        <v>0</v>
      </c>
      <c r="AJ85" s="15">
        <f t="shared" si="134"/>
        <v>260.39999999999998</v>
      </c>
      <c r="AK85" s="15">
        <f t="shared" si="134"/>
        <v>0</v>
      </c>
      <c r="AL85" s="15">
        <f t="shared" si="134"/>
        <v>0</v>
      </c>
      <c r="AM85" s="15">
        <f t="shared" si="133"/>
        <v>0</v>
      </c>
      <c r="AN85" s="15"/>
      <c r="AO85" s="15">
        <f t="shared" si="85"/>
        <v>260.39999999999998</v>
      </c>
      <c r="AP85" s="15">
        <f t="shared" si="86"/>
        <v>260.39999999999998</v>
      </c>
      <c r="AQ85" s="15">
        <f t="shared" si="81"/>
        <v>260.39999999999998</v>
      </c>
      <c r="AR85" s="127">
        <f t="shared" si="114"/>
        <v>0</v>
      </c>
      <c r="AS85" s="112">
        <f t="shared" si="87"/>
        <v>0</v>
      </c>
      <c r="AT85" s="112">
        <f t="shared" si="87"/>
        <v>711561.228</v>
      </c>
      <c r="AU85" s="112">
        <f t="shared" si="87"/>
        <v>0</v>
      </c>
      <c r="AV85" s="112">
        <f t="shared" si="87"/>
        <v>0</v>
      </c>
      <c r="AW85" s="112">
        <f t="shared" si="87"/>
        <v>0</v>
      </c>
      <c r="AX85" s="112">
        <f t="shared" si="115"/>
        <v>711561.228</v>
      </c>
      <c r="AY85" s="112">
        <f t="shared" si="116"/>
        <v>711561.228</v>
      </c>
      <c r="AZ85" s="112">
        <f t="shared" si="88"/>
        <v>0</v>
      </c>
      <c r="BA85" s="112">
        <f t="shared" si="88"/>
        <v>754253.80799999996</v>
      </c>
      <c r="BB85" s="112">
        <f t="shared" si="88"/>
        <v>0</v>
      </c>
      <c r="BC85" s="112">
        <f t="shared" si="88"/>
        <v>0</v>
      </c>
      <c r="BD85" s="112">
        <f t="shared" si="88"/>
        <v>0</v>
      </c>
      <c r="BE85" s="112">
        <f t="shared" si="117"/>
        <v>754253.80799999996</v>
      </c>
      <c r="BF85" s="112">
        <f t="shared" si="118"/>
        <v>754253.80799999996</v>
      </c>
      <c r="BG85" s="623">
        <f>(I85-J85)/1.2*U85/1000</f>
        <v>55.981288000000006</v>
      </c>
      <c r="BH85" s="624">
        <f>(O85-P85)/1.2*AB85/1000</f>
        <v>37.44552000000003</v>
      </c>
      <c r="BI85" s="623">
        <f>BG85+BH85</f>
        <v>93.426808000000037</v>
      </c>
      <c r="BJ85" s="623"/>
      <c r="BK85" s="623"/>
      <c r="BL85" s="112">
        <f t="shared" si="89"/>
        <v>0</v>
      </c>
      <c r="BM85" s="112">
        <f t="shared" si="89"/>
        <v>406606.41600000003</v>
      </c>
      <c r="BN85" s="112">
        <f t="shared" si="89"/>
        <v>0</v>
      </c>
      <c r="BO85" s="112">
        <f t="shared" si="89"/>
        <v>0</v>
      </c>
      <c r="BP85" s="112">
        <f t="shared" si="89"/>
        <v>0</v>
      </c>
      <c r="BQ85" s="112">
        <f t="shared" si="119"/>
        <v>406606.41600000003</v>
      </c>
      <c r="BR85" s="112">
        <f t="shared" si="120"/>
        <v>406606.41600000003</v>
      </c>
      <c r="BS85" s="112">
        <f t="shared" si="90"/>
        <v>0</v>
      </c>
      <c r="BT85" s="112">
        <f t="shared" si="90"/>
        <v>323251.63199999998</v>
      </c>
      <c r="BU85" s="112">
        <f t="shared" si="90"/>
        <v>0</v>
      </c>
      <c r="BV85" s="112">
        <f t="shared" si="93"/>
        <v>0</v>
      </c>
      <c r="BW85" s="112">
        <f t="shared" si="94"/>
        <v>0</v>
      </c>
      <c r="BX85" s="112">
        <f t="shared" si="121"/>
        <v>323251.63199999998</v>
      </c>
      <c r="BY85" s="112">
        <f t="shared" si="122"/>
        <v>323251.63199999998</v>
      </c>
      <c r="BZ85" s="113">
        <f t="shared" si="91"/>
        <v>729858.04799999995</v>
      </c>
      <c r="CA85" s="113">
        <f t="shared" si="91"/>
        <v>0</v>
      </c>
      <c r="CB85" s="113">
        <f t="shared" si="123"/>
        <v>729858.04799999995</v>
      </c>
      <c r="CC85" s="119">
        <f t="shared" si="92"/>
        <v>2802.8342857142857</v>
      </c>
      <c r="CD85" s="119" t="e">
        <f t="shared" si="92"/>
        <v>#DIV/0!</v>
      </c>
      <c r="CE85" s="119">
        <f t="shared" si="124"/>
        <v>2802.8342857142857</v>
      </c>
      <c r="CF85" s="119">
        <f t="shared" si="95"/>
        <v>2802.8342857142857</v>
      </c>
      <c r="CG85" s="619">
        <f t="shared" si="96"/>
        <v>841970.21760000009</v>
      </c>
      <c r="CH85" s="132">
        <f t="shared" si="125"/>
        <v>3233.372571428572</v>
      </c>
      <c r="CI85" s="625"/>
      <c r="CJ85" s="208">
        <f t="shared" si="97"/>
        <v>473.78396160000005</v>
      </c>
      <c r="CK85" s="208">
        <f t="shared" si="98"/>
        <v>368.18625600000001</v>
      </c>
      <c r="CL85" s="208">
        <f t="shared" si="84"/>
        <v>841.97021760000007</v>
      </c>
      <c r="CM85" s="112">
        <f t="shared" si="99"/>
        <v>841970.21760000009</v>
      </c>
      <c r="CN85" s="112">
        <f t="shared" si="100"/>
        <v>711561.228</v>
      </c>
      <c r="CO85" s="112">
        <f t="shared" si="101"/>
        <v>711561.228</v>
      </c>
      <c r="CP85" s="112">
        <f t="shared" si="102"/>
        <v>406606.41600000003</v>
      </c>
      <c r="CQ85" s="112">
        <f t="shared" si="103"/>
        <v>754253.80799999996</v>
      </c>
      <c r="CR85" s="112">
        <f t="shared" si="104"/>
        <v>754253.80799999996</v>
      </c>
      <c r="CS85" s="112">
        <f t="shared" si="105"/>
        <v>323251.63199999998</v>
      </c>
      <c r="CT85" s="112">
        <f t="shared" si="126"/>
        <v>1465815.0359999998</v>
      </c>
      <c r="CU85" s="124">
        <f t="shared" si="127"/>
        <v>5629090</v>
      </c>
      <c r="CV85" s="112">
        <f t="shared" si="106"/>
        <v>711561.228</v>
      </c>
      <c r="CW85" s="112">
        <f t="shared" si="107"/>
        <v>754253.80799999996</v>
      </c>
      <c r="CX85" s="112">
        <f t="shared" si="128"/>
        <v>1465815.0359999998</v>
      </c>
      <c r="CY85" s="112">
        <f t="shared" si="108"/>
        <v>829121.93279999995</v>
      </c>
      <c r="CZ85" s="112">
        <f t="shared" si="109"/>
        <v>859101.26399999997</v>
      </c>
      <c r="DA85" s="625"/>
      <c r="DB85" s="128">
        <f t="shared" si="129"/>
        <v>120.73469298133259</v>
      </c>
      <c r="DC85" s="625"/>
      <c r="DD85" s="625"/>
      <c r="DE85" s="625"/>
      <c r="DF85" s="625"/>
      <c r="DG85" s="618">
        <f t="shared" si="110"/>
        <v>0</v>
      </c>
      <c r="DH85" s="618">
        <f t="shared" si="111"/>
        <v>0</v>
      </c>
      <c r="DI85" s="618">
        <f t="shared" si="112"/>
        <v>0</v>
      </c>
      <c r="DJ85" s="123"/>
    </row>
    <row r="86" spans="1:116" s="13" customFormat="1" ht="69.75" hidden="1" customHeight="1">
      <c r="A86" s="695">
        <f t="shared" si="130"/>
        <v>73</v>
      </c>
      <c r="B86" s="1897" t="s">
        <v>30</v>
      </c>
      <c r="C86" s="809" t="s">
        <v>58</v>
      </c>
      <c r="D86" s="696" t="s">
        <v>187</v>
      </c>
      <c r="E86" s="706">
        <v>4620014875</v>
      </c>
      <c r="F86" s="696" t="s">
        <v>8</v>
      </c>
      <c r="G86" s="808" t="s">
        <v>886</v>
      </c>
      <c r="H86" s="697">
        <v>2495.8000000000002</v>
      </c>
      <c r="I86" s="697">
        <v>2495.8000000000002</v>
      </c>
      <c r="J86" s="697">
        <v>2063.2399999999998</v>
      </c>
      <c r="K86" s="697">
        <v>1815.58</v>
      </c>
      <c r="L86" s="697">
        <v>2495.8000000000002</v>
      </c>
      <c r="M86" s="698">
        <v>0</v>
      </c>
      <c r="N86" s="698">
        <v>2640.47</v>
      </c>
      <c r="O86" s="698">
        <v>2640.47</v>
      </c>
      <c r="P86" s="698">
        <v>2197.35</v>
      </c>
      <c r="Q86" s="698">
        <v>1933.59</v>
      </c>
      <c r="R86" s="698">
        <v>2640.47</v>
      </c>
      <c r="S86" s="698">
        <v>0</v>
      </c>
      <c r="T86" s="699">
        <v>7557.3</v>
      </c>
      <c r="U86" s="699">
        <v>10371.5</v>
      </c>
      <c r="V86" s="700">
        <v>452.3</v>
      </c>
      <c r="W86" s="700">
        <v>707.17</v>
      </c>
      <c r="X86" s="699">
        <v>0</v>
      </c>
      <c r="Y86" s="699">
        <v>0</v>
      </c>
      <c r="Z86" s="99">
        <f>SUM(T86:W86)</f>
        <v>19088.269999999997</v>
      </c>
      <c r="AA86" s="699">
        <v>5106.5600000000004</v>
      </c>
      <c r="AB86" s="699">
        <v>6456.01</v>
      </c>
      <c r="AC86" s="700">
        <v>253.53</v>
      </c>
      <c r="AD86" s="700">
        <v>301.64</v>
      </c>
      <c r="AE86" s="699">
        <v>0</v>
      </c>
      <c r="AF86" s="699">
        <v>0</v>
      </c>
      <c r="AG86" s="99">
        <f>SUM(AA86:AD86)</f>
        <v>12117.74</v>
      </c>
      <c r="AH86" s="99">
        <f>Z86+AG86</f>
        <v>31206.009999999995</v>
      </c>
      <c r="AI86" s="18">
        <f>T86+AA86</f>
        <v>12663.86</v>
      </c>
      <c r="AJ86" s="18">
        <f t="shared" si="134"/>
        <v>16827.510000000002</v>
      </c>
      <c r="AK86" s="18">
        <f t="shared" si="134"/>
        <v>705.83</v>
      </c>
      <c r="AL86" s="18">
        <f t="shared" si="134"/>
        <v>1008.81</v>
      </c>
      <c r="AM86" s="18">
        <f t="shared" si="133"/>
        <v>0</v>
      </c>
      <c r="AN86" s="18">
        <v>0</v>
      </c>
      <c r="AO86" s="18">
        <f>SUM(AI86:AN86)</f>
        <v>31206.010000000006</v>
      </c>
      <c r="AP86" s="18">
        <f>SUM(AI86:AM86)</f>
        <v>31206.010000000006</v>
      </c>
      <c r="AQ86" s="12">
        <f>SUM(AI86:AL86)</f>
        <v>31206.010000000006</v>
      </c>
      <c r="AR86" s="99">
        <f t="shared" si="114"/>
        <v>0</v>
      </c>
      <c r="AS86" s="18">
        <f t="shared" si="87"/>
        <v>31606461.788000003</v>
      </c>
      <c r="AT86" s="18">
        <f t="shared" si="87"/>
        <v>34719191.7324</v>
      </c>
      <c r="AU86" s="18">
        <f t="shared" si="87"/>
        <v>1281490.8314</v>
      </c>
      <c r="AV86" s="12">
        <f t="shared" si="87"/>
        <v>2517787.9980000001</v>
      </c>
      <c r="AW86" s="12">
        <f t="shared" si="87"/>
        <v>0</v>
      </c>
      <c r="AX86" s="18">
        <f t="shared" si="115"/>
        <v>70124932.349800006</v>
      </c>
      <c r="AY86" s="18">
        <f t="shared" si="116"/>
        <v>70124932.349800006</v>
      </c>
      <c r="AZ86" s="18">
        <f t="shared" si="88"/>
        <v>33438542.4142</v>
      </c>
      <c r="BA86" s="18">
        <f t="shared" si="88"/>
        <v>36975929.098500006</v>
      </c>
      <c r="BB86" s="18">
        <f t="shared" si="88"/>
        <v>1364785.8297000001</v>
      </c>
      <c r="BC86" s="18">
        <f t="shared" si="88"/>
        <v>2663732.5406999998</v>
      </c>
      <c r="BD86" s="18">
        <f t="shared" si="88"/>
        <v>0</v>
      </c>
      <c r="BE86" s="18">
        <f t="shared" si="117"/>
        <v>74442989.883100003</v>
      </c>
      <c r="BF86" s="18">
        <f t="shared" si="118"/>
        <v>74442989.883100003</v>
      </c>
      <c r="BG86" s="44">
        <v>4793.9949999999999</v>
      </c>
      <c r="BH86" s="165">
        <v>3039.9850000000001</v>
      </c>
      <c r="BI86" s="165">
        <f>BG86+BH86</f>
        <v>7833.98</v>
      </c>
      <c r="BJ86" s="774">
        <v>79637.071273420239</v>
      </c>
      <c r="BK86" s="774">
        <v>98873.883759999997</v>
      </c>
      <c r="BL86" s="18">
        <f>I86*T86</f>
        <v>18861509.340000004</v>
      </c>
      <c r="BM86" s="18">
        <f t="shared" si="89"/>
        <v>21398893.659999996</v>
      </c>
      <c r="BN86" s="18">
        <f t="shared" si="89"/>
        <v>821186.83400000003</v>
      </c>
      <c r="BO86" s="18">
        <f t="shared" si="89"/>
        <v>1764954.8859999999</v>
      </c>
      <c r="BP86" s="18">
        <f t="shared" si="89"/>
        <v>0</v>
      </c>
      <c r="BQ86" s="18">
        <f t="shared" si="119"/>
        <v>42846544.719999999</v>
      </c>
      <c r="BR86" s="18">
        <f t="shared" si="120"/>
        <v>42846544.719999999</v>
      </c>
      <c r="BS86" s="18">
        <f t="shared" si="90"/>
        <v>13483718.483200001</v>
      </c>
      <c r="BT86" s="18">
        <f t="shared" si="90"/>
        <v>14186113.5735</v>
      </c>
      <c r="BU86" s="18">
        <f t="shared" si="90"/>
        <v>490223.07269999996</v>
      </c>
      <c r="BV86" s="18">
        <f t="shared" si="93"/>
        <v>1867261.1698999999</v>
      </c>
      <c r="BW86" s="18">
        <f t="shared" si="94"/>
        <v>0</v>
      </c>
      <c r="BX86" s="18">
        <f t="shared" si="121"/>
        <v>30027316.2993</v>
      </c>
      <c r="BY86" s="18">
        <f t="shared" si="122"/>
        <v>30027316.2993</v>
      </c>
      <c r="BZ86" s="161">
        <f t="shared" si="91"/>
        <v>35585007.233499996</v>
      </c>
      <c r="CA86" s="161">
        <f t="shared" si="91"/>
        <v>1311409.9066999999</v>
      </c>
      <c r="CB86" s="161">
        <f t="shared" si="123"/>
        <v>36896417.140199997</v>
      </c>
      <c r="CC86" s="162">
        <f t="shared" si="92"/>
        <v>2114.6923836919423</v>
      </c>
      <c r="CD86" s="162">
        <f t="shared" si="92"/>
        <v>1857.968500488786</v>
      </c>
      <c r="CE86" s="162">
        <f t="shared" si="124"/>
        <v>2104.357591890649</v>
      </c>
      <c r="CF86" s="162">
        <f t="shared" si="95"/>
        <v>2104.3575918906495</v>
      </c>
      <c r="CG86" s="651">
        <f t="shared" si="96"/>
        <v>44730379.123799995</v>
      </c>
      <c r="CH86" s="652">
        <f t="shared" si="125"/>
        <v>2551.1613374177414</v>
      </c>
      <c r="CJ86" s="18">
        <f t="shared" si="97"/>
        <v>47640.504265999996</v>
      </c>
      <c r="CK86" s="18">
        <f t="shared" si="98"/>
        <v>31996.528937799998</v>
      </c>
      <c r="CL86" s="18">
        <f t="shared" si="84"/>
        <v>79637.033203799991</v>
      </c>
      <c r="CM86" s="18">
        <f t="shared" si="99"/>
        <v>79637033.203799993</v>
      </c>
      <c r="CN86" s="18">
        <f t="shared" si="100"/>
        <v>70124932.349800006</v>
      </c>
      <c r="CO86" s="18">
        <f t="shared" si="101"/>
        <v>70299738.207599998</v>
      </c>
      <c r="CP86" s="18">
        <f t="shared" si="102"/>
        <v>42846544.719999999</v>
      </c>
      <c r="CQ86" s="18">
        <f t="shared" si="103"/>
        <v>74442989.883100003</v>
      </c>
      <c r="CR86" s="18">
        <f t="shared" si="104"/>
        <v>74629159.6039</v>
      </c>
      <c r="CS86" s="18">
        <f t="shared" si="105"/>
        <v>28956526.5002</v>
      </c>
      <c r="CT86" s="18">
        <f t="shared" si="126"/>
        <v>144567922.23290002</v>
      </c>
      <c r="CU86" s="29">
        <f t="shared" si="127"/>
        <v>4632694.8633580534</v>
      </c>
      <c r="CV86" s="18">
        <f t="shared" si="106"/>
        <v>36000682.5638</v>
      </c>
      <c r="CW86" s="18">
        <f t="shared" si="107"/>
        <v>38340714.928200006</v>
      </c>
      <c r="CX86" s="18">
        <f t="shared" si="128"/>
        <v>74341397.492000014</v>
      </c>
      <c r="CY86" s="18">
        <f t="shared" si="108"/>
        <v>77883959.758000016</v>
      </c>
      <c r="CZ86" s="18">
        <f t="shared" si="109"/>
        <v>82398533.224700004</v>
      </c>
      <c r="DB86" s="653">
        <f t="shared" si="129"/>
        <v>127.97687132858999</v>
      </c>
      <c r="DG86" s="701">
        <f t="shared" si="110"/>
        <v>0</v>
      </c>
      <c r="DH86" s="701">
        <f t="shared" si="111"/>
        <v>0</v>
      </c>
      <c r="DI86" s="701">
        <f t="shared" si="112"/>
        <v>0</v>
      </c>
    </row>
    <row r="87" spans="1:116" s="13" customFormat="1" ht="63.75" hidden="1" customHeight="1">
      <c r="A87" s="695">
        <f t="shared" si="130"/>
        <v>74</v>
      </c>
      <c r="B87" s="1897"/>
      <c r="C87" s="1896" t="s">
        <v>260</v>
      </c>
      <c r="D87" s="808" t="s">
        <v>31</v>
      </c>
      <c r="E87" s="706">
        <v>4620001192</v>
      </c>
      <c r="F87" s="696" t="s">
        <v>8</v>
      </c>
      <c r="G87" s="808" t="s">
        <v>889</v>
      </c>
      <c r="H87" s="697">
        <v>1604.82</v>
      </c>
      <c r="I87" s="697">
        <v>1604.82</v>
      </c>
      <c r="J87" s="697">
        <v>1604.82</v>
      </c>
      <c r="K87" s="697">
        <v>1604.82</v>
      </c>
      <c r="L87" s="697">
        <v>1604.82</v>
      </c>
      <c r="M87" s="714">
        <v>0</v>
      </c>
      <c r="N87" s="716">
        <v>1708.49</v>
      </c>
      <c r="O87" s="716">
        <v>1708.49</v>
      </c>
      <c r="P87" s="716">
        <v>1708.49</v>
      </c>
      <c r="Q87" s="716">
        <v>1708.49</v>
      </c>
      <c r="R87" s="716">
        <v>1708.49</v>
      </c>
      <c r="S87" s="714">
        <v>0</v>
      </c>
      <c r="T87" s="18">
        <v>758.3</v>
      </c>
      <c r="U87" s="747">
        <v>4974.8999999999996</v>
      </c>
      <c r="V87" s="748">
        <v>1084.92</v>
      </c>
      <c r="W87" s="18">
        <v>324.35000000000002</v>
      </c>
      <c r="X87" s="18"/>
      <c r="Y87" s="747">
        <v>13137.45</v>
      </c>
      <c r="Z87" s="99">
        <f t="shared" si="131"/>
        <v>7142.47</v>
      </c>
      <c r="AA87" s="18">
        <v>574.48</v>
      </c>
      <c r="AB87" s="747">
        <v>3731.17</v>
      </c>
      <c r="AC87" s="747">
        <v>1084.92</v>
      </c>
      <c r="AD87" s="18">
        <v>244.42</v>
      </c>
      <c r="AE87" s="18"/>
      <c r="AF87" s="747">
        <v>11607.2</v>
      </c>
      <c r="AG87" s="99">
        <f t="shared" si="132"/>
        <v>5634.99</v>
      </c>
      <c r="AH87" s="99">
        <f t="shared" si="113"/>
        <v>12777.46</v>
      </c>
      <c r="AI87" s="18">
        <f t="shared" si="134"/>
        <v>1332.78</v>
      </c>
      <c r="AJ87" s="18">
        <f t="shared" si="134"/>
        <v>8706.07</v>
      </c>
      <c r="AK87" s="18">
        <f t="shared" si="134"/>
        <v>2169.84</v>
      </c>
      <c r="AL87" s="18">
        <f t="shared" si="134"/>
        <v>568.77</v>
      </c>
      <c r="AM87" s="18">
        <f t="shared" si="133"/>
        <v>0</v>
      </c>
      <c r="AN87" s="18"/>
      <c r="AO87" s="18">
        <f t="shared" si="85"/>
        <v>12777.460000000001</v>
      </c>
      <c r="AP87" s="18">
        <f t="shared" si="86"/>
        <v>12777.460000000001</v>
      </c>
      <c r="AQ87" s="18">
        <f t="shared" si="81"/>
        <v>12777.460000000001</v>
      </c>
      <c r="AR87" s="99">
        <f t="shared" si="114"/>
        <v>0</v>
      </c>
      <c r="AS87" s="18">
        <f t="shared" si="87"/>
        <v>2138871.9995999997</v>
      </c>
      <c r="AT87" s="18">
        <f t="shared" si="87"/>
        <v>13971675.257399999</v>
      </c>
      <c r="AU87" s="18">
        <f t="shared" si="87"/>
        <v>3482202.6288000001</v>
      </c>
      <c r="AV87" s="18">
        <f t="shared" si="87"/>
        <v>912773.47139999992</v>
      </c>
      <c r="AW87" s="18">
        <f t="shared" si="87"/>
        <v>0</v>
      </c>
      <c r="AX87" s="18">
        <f t="shared" si="115"/>
        <v>20505523.3572</v>
      </c>
      <c r="AY87" s="18">
        <f t="shared" si="116"/>
        <v>20505523.3572</v>
      </c>
      <c r="AZ87" s="18">
        <f t="shared" si="88"/>
        <v>2277041.3021999998</v>
      </c>
      <c r="BA87" s="18">
        <f t="shared" si="88"/>
        <v>14874233.534299999</v>
      </c>
      <c r="BB87" s="18">
        <f t="shared" si="88"/>
        <v>3707149.9416000005</v>
      </c>
      <c r="BC87" s="18">
        <f t="shared" si="88"/>
        <v>971737.85729999992</v>
      </c>
      <c r="BD87" s="18">
        <f t="shared" si="88"/>
        <v>0</v>
      </c>
      <c r="BE87" s="18">
        <f t="shared" si="117"/>
        <v>21830162.635399997</v>
      </c>
      <c r="BF87" s="18">
        <f t="shared" si="118"/>
        <v>21830162.635399997</v>
      </c>
      <c r="BG87" s="18"/>
      <c r="BH87" s="18"/>
      <c r="BI87" s="18">
        <f t="shared" si="80"/>
        <v>0</v>
      </c>
      <c r="BJ87" s="18">
        <v>51669.79</v>
      </c>
      <c r="BK87" s="18">
        <v>68064.02</v>
      </c>
      <c r="BL87" s="18">
        <f t="shared" si="89"/>
        <v>1216935.0059999998</v>
      </c>
      <c r="BM87" s="18">
        <f>J87*U87</f>
        <v>7983819.0179999992</v>
      </c>
      <c r="BN87" s="18">
        <f>K87*V87</f>
        <v>1741101.3144</v>
      </c>
      <c r="BO87" s="18">
        <f>L87*W87</f>
        <v>520523.36700000003</v>
      </c>
      <c r="BP87" s="18">
        <f t="shared" si="89"/>
        <v>0</v>
      </c>
      <c r="BQ87" s="18">
        <f>BL87+BM87+BN87+BO87+BP87</f>
        <v>11462378.705399999</v>
      </c>
      <c r="BR87" s="18">
        <f>BQ87-BP87</f>
        <v>11462378.705399999</v>
      </c>
      <c r="BS87" s="18">
        <f t="shared" si="90"/>
        <v>981493.33520000009</v>
      </c>
      <c r="BT87" s="18">
        <f t="shared" si="90"/>
        <v>6374666.6332999999</v>
      </c>
      <c r="BU87" s="18">
        <f t="shared" si="90"/>
        <v>1853574.9708000002</v>
      </c>
      <c r="BV87" s="18">
        <f t="shared" si="93"/>
        <v>554148.73149999999</v>
      </c>
      <c r="BW87" s="18">
        <f t="shared" si="94"/>
        <v>0</v>
      </c>
      <c r="BX87" s="18">
        <f t="shared" si="121"/>
        <v>9763883.6708000004</v>
      </c>
      <c r="BY87" s="18">
        <f t="shared" si="122"/>
        <v>9763883.6708000004</v>
      </c>
      <c r="BZ87" s="161">
        <f t="shared" si="91"/>
        <v>14358485.651299998</v>
      </c>
      <c r="CA87" s="161">
        <f t="shared" si="91"/>
        <v>3594676.2852000003</v>
      </c>
      <c r="CB87" s="161">
        <f t="shared" si="123"/>
        <v>17953161.936499998</v>
      </c>
      <c r="CC87" s="162">
        <f t="shared" si="92"/>
        <v>1649.2499659777602</v>
      </c>
      <c r="CD87" s="162">
        <f t="shared" si="92"/>
        <v>1656.655</v>
      </c>
      <c r="CE87" s="162">
        <f t="shared" si="124"/>
        <v>1650.7273355976647</v>
      </c>
      <c r="CF87" s="162">
        <f t="shared" si="95"/>
        <v>1650.7273355976647</v>
      </c>
      <c r="CG87" s="651">
        <f t="shared" si="96"/>
        <v>17953161.936499998</v>
      </c>
      <c r="CH87" s="652">
        <f t="shared" si="125"/>
        <v>1650.7273355976647</v>
      </c>
      <c r="CJ87" s="18">
        <f t="shared" si="97"/>
        <v>11462.378705399999</v>
      </c>
      <c r="CK87" s="18">
        <f t="shared" si="98"/>
        <v>9627.3240650999996</v>
      </c>
      <c r="CL87" s="18">
        <f t="shared" si="84"/>
        <v>21089.7027705</v>
      </c>
      <c r="CM87" s="18">
        <f t="shared" si="99"/>
        <v>21089702.770499997</v>
      </c>
      <c r="CN87" s="18">
        <f t="shared" si="100"/>
        <v>20505523.3572</v>
      </c>
      <c r="CO87" s="18">
        <f t="shared" si="101"/>
        <v>20505523.3572</v>
      </c>
      <c r="CP87" s="18">
        <f t="shared" si="102"/>
        <v>11462378.705399999</v>
      </c>
      <c r="CQ87" s="18">
        <f t="shared" si="103"/>
        <v>21830162.635399997</v>
      </c>
      <c r="CR87" s="18">
        <f t="shared" si="104"/>
        <v>21830162.635399997</v>
      </c>
      <c r="CS87" s="18">
        <f t="shared" si="105"/>
        <v>9627324.0651000012</v>
      </c>
      <c r="CT87" s="18">
        <f t="shared" si="126"/>
        <v>42335685.992599994</v>
      </c>
      <c r="CU87" s="29">
        <f t="shared" si="127"/>
        <v>3313310</v>
      </c>
      <c r="CV87" s="18">
        <f t="shared" si="106"/>
        <v>17453877.8862</v>
      </c>
      <c r="CW87" s="18">
        <f t="shared" si="107"/>
        <v>18581383.475900002</v>
      </c>
      <c r="CX87" s="18">
        <f t="shared" si="128"/>
        <v>36035261.362100005</v>
      </c>
      <c r="CY87" s="18">
        <f t="shared" si="108"/>
        <v>20505523.3572</v>
      </c>
      <c r="CZ87" s="18">
        <f t="shared" si="109"/>
        <v>21830162.635399997</v>
      </c>
      <c r="DB87" s="653">
        <f t="shared" si="129"/>
        <v>106.45991450754602</v>
      </c>
      <c r="DG87" s="701">
        <f t="shared" si="110"/>
        <v>0</v>
      </c>
      <c r="DH87" s="701">
        <f t="shared" si="111"/>
        <v>0</v>
      </c>
      <c r="DI87" s="701">
        <f t="shared" si="112"/>
        <v>0</v>
      </c>
    </row>
    <row r="88" spans="1:116" s="153" customFormat="1" ht="70.5" customHeight="1">
      <c r="A88" s="20">
        <f t="shared" si="130"/>
        <v>75</v>
      </c>
      <c r="B88" s="1979"/>
      <c r="C88" s="1980"/>
      <c r="D88" s="749" t="s">
        <v>141</v>
      </c>
      <c r="E88" s="617">
        <v>4632024035</v>
      </c>
      <c r="F88" s="672" t="s">
        <v>8</v>
      </c>
      <c r="G88" s="752" t="s">
        <v>890</v>
      </c>
      <c r="H88" s="819">
        <f>2653.36*1.2</f>
        <v>3184.0320000000002</v>
      </c>
      <c r="I88" s="819">
        <f>2653.36*1.2</f>
        <v>3184.0320000000002</v>
      </c>
      <c r="J88" s="38">
        <v>2732.57</v>
      </c>
      <c r="K88" s="38"/>
      <c r="L88" s="819">
        <f>2653.36*1.2</f>
        <v>3184.0320000000002</v>
      </c>
      <c r="M88" s="622"/>
      <c r="N88" s="622">
        <f>2749.3*1.2</f>
        <v>3299.1600000000003</v>
      </c>
      <c r="O88" s="622">
        <f>2749.3*1.2</f>
        <v>3299.1600000000003</v>
      </c>
      <c r="P88" s="38">
        <v>2896.52</v>
      </c>
      <c r="Q88" s="622"/>
      <c r="R88" s="622">
        <f>2749.3*1.2</f>
        <v>3299.1600000000003</v>
      </c>
      <c r="S88" s="622"/>
      <c r="T88" s="178">
        <v>896.84</v>
      </c>
      <c r="U88" s="16">
        <v>63.660000000000004</v>
      </c>
      <c r="V88" s="227"/>
      <c r="W88" s="16"/>
      <c r="X88" s="16"/>
      <c r="Y88" s="16"/>
      <c r="Z88" s="178">
        <f t="shared" si="131"/>
        <v>960.5</v>
      </c>
      <c r="AA88" s="178">
        <v>572.14499999999998</v>
      </c>
      <c r="AB88" s="16">
        <v>47.76</v>
      </c>
      <c r="AC88" s="227"/>
      <c r="AD88" s="16"/>
      <c r="AE88" s="16"/>
      <c r="AF88" s="16"/>
      <c r="AG88" s="178">
        <f t="shared" si="132"/>
        <v>619.90499999999997</v>
      </c>
      <c r="AH88" s="178">
        <f t="shared" si="113"/>
        <v>1580.405</v>
      </c>
      <c r="AI88" s="16">
        <f t="shared" si="134"/>
        <v>1468.9850000000001</v>
      </c>
      <c r="AJ88" s="16">
        <f t="shared" si="134"/>
        <v>111.42</v>
      </c>
      <c r="AK88" s="16">
        <f t="shared" si="134"/>
        <v>0</v>
      </c>
      <c r="AL88" s="16">
        <f t="shared" si="134"/>
        <v>0</v>
      </c>
      <c r="AM88" s="16">
        <f t="shared" si="133"/>
        <v>0</v>
      </c>
      <c r="AN88" s="16"/>
      <c r="AO88" s="16">
        <f t="shared" si="85"/>
        <v>1580.4050000000002</v>
      </c>
      <c r="AP88" s="16">
        <f t="shared" si="86"/>
        <v>1580.4050000000002</v>
      </c>
      <c r="AQ88" s="16">
        <f t="shared" si="81"/>
        <v>1580.4050000000002</v>
      </c>
      <c r="AR88" s="127">
        <f t="shared" si="114"/>
        <v>0</v>
      </c>
      <c r="AS88" s="112">
        <f t="shared" si="87"/>
        <v>4677295.2475200007</v>
      </c>
      <c r="AT88" s="112">
        <f t="shared" si="87"/>
        <v>304462.94940000004</v>
      </c>
      <c r="AU88" s="112">
        <f t="shared" si="87"/>
        <v>0</v>
      </c>
      <c r="AV88" s="112">
        <f t="shared" si="87"/>
        <v>0</v>
      </c>
      <c r="AW88" s="112">
        <f t="shared" si="87"/>
        <v>0</v>
      </c>
      <c r="AX88" s="112">
        <f t="shared" si="115"/>
        <v>4981758.1969200009</v>
      </c>
      <c r="AY88" s="112">
        <f t="shared" si="116"/>
        <v>4981758.1969200009</v>
      </c>
      <c r="AZ88" s="112">
        <f t="shared" si="88"/>
        <v>4846416.552600001</v>
      </c>
      <c r="BA88" s="112">
        <f t="shared" si="88"/>
        <v>322730.25839999999</v>
      </c>
      <c r="BB88" s="112">
        <f t="shared" si="88"/>
        <v>0</v>
      </c>
      <c r="BC88" s="112">
        <f t="shared" si="88"/>
        <v>0</v>
      </c>
      <c r="BD88" s="112">
        <f t="shared" si="88"/>
        <v>0</v>
      </c>
      <c r="BE88" s="112">
        <f t="shared" si="117"/>
        <v>5169146.8110000007</v>
      </c>
      <c r="BF88" s="112">
        <f t="shared" si="118"/>
        <v>5169146.8110000007</v>
      </c>
      <c r="BG88" s="632">
        <f>(I88-J88)/1.2*U88/1000</f>
        <v>23.950059100000001</v>
      </c>
      <c r="BH88" s="673">
        <f>(O88-P88)/1.2*AB88/1000</f>
        <v>16.025072000000016</v>
      </c>
      <c r="BI88" s="632">
        <f t="shared" si="80"/>
        <v>39.975131100000013</v>
      </c>
      <c r="BJ88" s="674"/>
      <c r="BK88" s="674"/>
      <c r="BL88" s="126">
        <f t="shared" si="89"/>
        <v>2855567.2588800001</v>
      </c>
      <c r="BM88" s="126">
        <f t="shared" si="89"/>
        <v>173955.40620000003</v>
      </c>
      <c r="BN88" s="126">
        <f t="shared" si="89"/>
        <v>0</v>
      </c>
      <c r="BO88" s="126">
        <f t="shared" si="89"/>
        <v>0</v>
      </c>
      <c r="BP88" s="126">
        <f t="shared" si="89"/>
        <v>0</v>
      </c>
      <c r="BQ88" s="126">
        <f t="shared" si="119"/>
        <v>3029522.6650800002</v>
      </c>
      <c r="BR88" s="126">
        <f t="shared" si="120"/>
        <v>3029522.6650800002</v>
      </c>
      <c r="BS88" s="126">
        <f t="shared" si="90"/>
        <v>1887597.8982000002</v>
      </c>
      <c r="BT88" s="126">
        <f t="shared" si="90"/>
        <v>138337.79519999999</v>
      </c>
      <c r="BU88" s="126">
        <f t="shared" si="90"/>
        <v>0</v>
      </c>
      <c r="BV88" s="126">
        <f t="shared" si="93"/>
        <v>0</v>
      </c>
      <c r="BW88" s="126">
        <f t="shared" si="94"/>
        <v>0</v>
      </c>
      <c r="BX88" s="126">
        <f t="shared" si="121"/>
        <v>2025935.6934000002</v>
      </c>
      <c r="BY88" s="126">
        <f t="shared" si="122"/>
        <v>2025935.6934000002</v>
      </c>
      <c r="BZ88" s="675">
        <f t="shared" si="91"/>
        <v>312293.20140000002</v>
      </c>
      <c r="CA88" s="675">
        <f t="shared" si="91"/>
        <v>0</v>
      </c>
      <c r="CB88" s="675">
        <f t="shared" si="123"/>
        <v>312293.20140000002</v>
      </c>
      <c r="CC88" s="676">
        <f t="shared" si="92"/>
        <v>2802.8468982229406</v>
      </c>
      <c r="CD88" s="676" t="e">
        <f t="shared" si="92"/>
        <v>#DIV/0!</v>
      </c>
      <c r="CE88" s="676">
        <f t="shared" si="124"/>
        <v>2802.8468982229406</v>
      </c>
      <c r="CF88" s="676">
        <f t="shared" si="95"/>
        <v>2802.8468982229406</v>
      </c>
      <c r="CG88" s="677">
        <f t="shared" si="96"/>
        <v>360263.35872000002</v>
      </c>
      <c r="CH88" s="678">
        <f t="shared" si="125"/>
        <v>3233.3814281098548</v>
      </c>
      <c r="CI88" s="625"/>
      <c r="CJ88" s="208">
        <f t="shared" si="97"/>
        <v>3058.2627360000001</v>
      </c>
      <c r="CK88" s="208">
        <f t="shared" si="98"/>
        <v>2045.1657798000001</v>
      </c>
      <c r="CL88" s="208">
        <f>CJ88+CK88</f>
        <v>5103.4285158000002</v>
      </c>
      <c r="CM88" s="126">
        <f t="shared" si="99"/>
        <v>5103428.5158000002</v>
      </c>
      <c r="CN88" s="126">
        <f t="shared" si="100"/>
        <v>4981758.1969200009</v>
      </c>
      <c r="CO88" s="126">
        <f t="shared" si="101"/>
        <v>4981758.1969200009</v>
      </c>
      <c r="CP88" s="126">
        <f t="shared" si="102"/>
        <v>3029522.6650800002</v>
      </c>
      <c r="CQ88" s="126">
        <f t="shared" si="103"/>
        <v>5169146.8110000007</v>
      </c>
      <c r="CR88" s="126">
        <f t="shared" si="104"/>
        <v>5169146.8110000007</v>
      </c>
      <c r="CS88" s="126">
        <f t="shared" si="105"/>
        <v>2025935.6934000002</v>
      </c>
      <c r="CT88" s="126">
        <f t="shared" si="126"/>
        <v>10150905.007920001</v>
      </c>
      <c r="CU88" s="679">
        <f t="shared" si="127"/>
        <v>6422977.0267241625</v>
      </c>
      <c r="CV88" s="126">
        <f t="shared" si="106"/>
        <v>304462.94940000004</v>
      </c>
      <c r="CW88" s="126">
        <f t="shared" si="107"/>
        <v>322730.25839999999</v>
      </c>
      <c r="CX88" s="126">
        <f t="shared" si="128"/>
        <v>627193.20779999997</v>
      </c>
      <c r="CY88" s="126">
        <f t="shared" si="108"/>
        <v>5032060.092960001</v>
      </c>
      <c r="CZ88" s="126">
        <f t="shared" si="109"/>
        <v>5214008.9598000012</v>
      </c>
      <c r="DA88" s="625"/>
      <c r="DB88" s="680">
        <f t="shared" si="129"/>
        <v>120.73469298133259</v>
      </c>
      <c r="DC88" s="625"/>
      <c r="DD88" s="625"/>
      <c r="DE88" s="625"/>
      <c r="DF88" s="625"/>
      <c r="DG88" s="618">
        <f t="shared" si="110"/>
        <v>0</v>
      </c>
      <c r="DH88" s="618">
        <f t="shared" si="111"/>
        <v>0</v>
      </c>
      <c r="DI88" s="618">
        <f t="shared" si="112"/>
        <v>0</v>
      </c>
      <c r="DJ88" s="152"/>
    </row>
    <row r="89" spans="1:116" s="168" customFormat="1" ht="63.75" hidden="1" customHeight="1">
      <c r="A89" s="695">
        <f t="shared" si="130"/>
        <v>76</v>
      </c>
      <c r="B89" s="1897"/>
      <c r="C89" s="713" t="s">
        <v>59</v>
      </c>
      <c r="D89" s="696" t="s">
        <v>187</v>
      </c>
      <c r="E89" s="706">
        <v>4620014875</v>
      </c>
      <c r="F89" s="696" t="s">
        <v>8</v>
      </c>
      <c r="G89" s="808" t="s">
        <v>886</v>
      </c>
      <c r="H89" s="697">
        <v>3959.58</v>
      </c>
      <c r="I89" s="697">
        <v>3959.58</v>
      </c>
      <c r="J89" s="697">
        <v>3222.73</v>
      </c>
      <c r="K89" s="697">
        <v>0</v>
      </c>
      <c r="L89" s="697">
        <v>3959.58</v>
      </c>
      <c r="M89" s="698">
        <v>0</v>
      </c>
      <c r="N89" s="698">
        <v>4033.01</v>
      </c>
      <c r="O89" s="698">
        <v>4033.01</v>
      </c>
      <c r="P89" s="698">
        <v>3367.75</v>
      </c>
      <c r="Q89" s="698">
        <v>0</v>
      </c>
      <c r="R89" s="698">
        <v>4033.01</v>
      </c>
      <c r="S89" s="698">
        <v>0</v>
      </c>
      <c r="T89" s="44">
        <v>280.97000000000003</v>
      </c>
      <c r="U89" s="703">
        <v>196</v>
      </c>
      <c r="V89" s="12">
        <v>0</v>
      </c>
      <c r="W89" s="745">
        <v>7.35</v>
      </c>
      <c r="X89" s="12">
        <v>0</v>
      </c>
      <c r="Y89" s="12">
        <v>0</v>
      </c>
      <c r="Z89" s="99">
        <f>SUM(T89:W89)</f>
        <v>484.32000000000005</v>
      </c>
      <c r="AA89" s="44">
        <v>212.75</v>
      </c>
      <c r="AB89" s="703">
        <v>147</v>
      </c>
      <c r="AC89" s="12">
        <v>0</v>
      </c>
      <c r="AD89" s="12">
        <v>5.88</v>
      </c>
      <c r="AE89" s="12">
        <v>0</v>
      </c>
      <c r="AF89" s="12">
        <v>0</v>
      </c>
      <c r="AG89" s="99">
        <f>SUM(AA89:AD89)</f>
        <v>365.63</v>
      </c>
      <c r="AH89" s="99">
        <f>Z89+AG89</f>
        <v>849.95</v>
      </c>
      <c r="AI89" s="99">
        <f>T89+AA89</f>
        <v>493.72</v>
      </c>
      <c r="AJ89" s="702">
        <f t="shared" si="134"/>
        <v>343</v>
      </c>
      <c r="AK89" s="18">
        <f t="shared" si="134"/>
        <v>0</v>
      </c>
      <c r="AL89" s="18">
        <f t="shared" si="134"/>
        <v>13.23</v>
      </c>
      <c r="AM89" s="18">
        <f t="shared" si="133"/>
        <v>0</v>
      </c>
      <c r="AN89" s="18">
        <v>0</v>
      </c>
      <c r="AO89" s="99">
        <f>SUM(AI89:AN89)</f>
        <v>849.95</v>
      </c>
      <c r="AP89" s="99">
        <f>SUM(AI89:AM89)</f>
        <v>849.95</v>
      </c>
      <c r="AQ89" s="18">
        <f t="shared" si="81"/>
        <v>849.95</v>
      </c>
      <c r="AR89" s="99">
        <f t="shared" si="114"/>
        <v>0</v>
      </c>
      <c r="AS89" s="18"/>
      <c r="AT89" s="18">
        <f t="shared" si="87"/>
        <v>1105396.3899999999</v>
      </c>
      <c r="AU89" s="18">
        <f t="shared" si="87"/>
        <v>0</v>
      </c>
      <c r="AV89" s="18"/>
      <c r="AW89" s="18"/>
      <c r="AX89" s="18"/>
      <c r="AY89" s="18"/>
      <c r="AZ89" s="18">
        <f t="shared" si="88"/>
        <v>1991177.6972000003</v>
      </c>
      <c r="BA89" s="18">
        <f t="shared" si="88"/>
        <v>1155138.25</v>
      </c>
      <c r="BB89" s="18">
        <f t="shared" si="88"/>
        <v>0</v>
      </c>
      <c r="BC89" s="18"/>
      <c r="BD89" s="18"/>
      <c r="BE89" s="18"/>
      <c r="BF89" s="18"/>
      <c r="BG89" s="166">
        <v>144.422</v>
      </c>
      <c r="BH89" s="167">
        <v>97.792000000000002</v>
      </c>
      <c r="BI89" s="12">
        <f t="shared" si="80"/>
        <v>242.214</v>
      </c>
      <c r="BJ89" s="745">
        <v>3392.2905801294901</v>
      </c>
      <c r="BK89" s="745">
        <v>4167.9199599999993</v>
      </c>
      <c r="BL89" s="18">
        <f>I89*T89</f>
        <v>1112523.1926000002</v>
      </c>
      <c r="BM89" s="18">
        <f>J89*U89</f>
        <v>631655.07999999996</v>
      </c>
      <c r="BN89" s="18">
        <f t="shared" si="89"/>
        <v>0</v>
      </c>
      <c r="BO89" s="18">
        <f>L89*W89</f>
        <v>29102.912999999997</v>
      </c>
      <c r="BP89" s="18">
        <f t="shared" si="89"/>
        <v>0</v>
      </c>
      <c r="BQ89" s="18">
        <f>BL89+BM89+BN89+BO89+BP89</f>
        <v>1773281.1856000002</v>
      </c>
      <c r="BR89" s="18">
        <f>BQ89-BP89</f>
        <v>1773281.1856000002</v>
      </c>
      <c r="BS89" s="18">
        <f>O89*AA89</f>
        <v>858022.87750000006</v>
      </c>
      <c r="BT89" s="18">
        <f>P89*AB89</f>
        <v>495059.25</v>
      </c>
      <c r="BU89" s="18">
        <f t="shared" si="90"/>
        <v>0</v>
      </c>
      <c r="BV89" s="18">
        <f>R89*W89</f>
        <v>29642.623500000002</v>
      </c>
      <c r="BW89" s="18">
        <f t="shared" si="94"/>
        <v>0</v>
      </c>
      <c r="BX89" s="18">
        <f>BS89+BT89+BU89+BV89+BW89</f>
        <v>1382724.7509999999</v>
      </c>
      <c r="BY89" s="18">
        <f>BX89-BW89</f>
        <v>1382724.7509999999</v>
      </c>
      <c r="BZ89" s="161">
        <f t="shared" si="91"/>
        <v>1126714.33</v>
      </c>
      <c r="CA89" s="161">
        <f t="shared" si="91"/>
        <v>0</v>
      </c>
      <c r="CB89" s="161">
        <f t="shared" si="123"/>
        <v>1126714.33</v>
      </c>
      <c r="CC89" s="162">
        <f t="shared" si="92"/>
        <v>3284.8814285714288</v>
      </c>
      <c r="CD89" s="162" t="e">
        <f t="shared" si="92"/>
        <v>#DIV/0!</v>
      </c>
      <c r="CE89" s="162">
        <f t="shared" si="124"/>
        <v>3284.8814285714288</v>
      </c>
      <c r="CF89" s="162">
        <f t="shared" si="95"/>
        <v>3284.8814285714288</v>
      </c>
      <c r="CG89" s="651">
        <f t="shared" si="96"/>
        <v>1368930.15</v>
      </c>
      <c r="CH89" s="652">
        <f t="shared" si="125"/>
        <v>3991.0499999999997</v>
      </c>
      <c r="CI89" s="681"/>
      <c r="CJ89" s="18">
        <f t="shared" si="97"/>
        <v>1917.7037856000002</v>
      </c>
      <c r="CK89" s="18">
        <f t="shared" si="98"/>
        <v>1474.5894463</v>
      </c>
      <c r="CL89" s="18">
        <f t="shared" si="84"/>
        <v>3392.2932319000001</v>
      </c>
      <c r="CM89" s="18">
        <f t="shared" si="99"/>
        <v>3392293.2319</v>
      </c>
      <c r="CN89" s="18">
        <f t="shared" si="100"/>
        <v>3112705.4709999999</v>
      </c>
      <c r="CO89" s="18">
        <f t="shared" si="101"/>
        <v>3112705.4709999999</v>
      </c>
      <c r="CP89" s="18">
        <f t="shared" si="102"/>
        <v>1773281.1856000002</v>
      </c>
      <c r="CQ89" s="18">
        <f t="shared" si="103"/>
        <v>3199672.6695000003</v>
      </c>
      <c r="CR89" s="18">
        <f t="shared" si="104"/>
        <v>3199672.6695000003</v>
      </c>
      <c r="CS89" s="18">
        <f t="shared" si="105"/>
        <v>1376796.2263</v>
      </c>
      <c r="CT89" s="18">
        <f t="shared" si="126"/>
        <v>6312378.1404999997</v>
      </c>
      <c r="CU89" s="29">
        <f t="shared" si="127"/>
        <v>7426764.0925936811</v>
      </c>
      <c r="CV89" s="18">
        <f t="shared" si="106"/>
        <v>1105396.3899999999</v>
      </c>
      <c r="CW89" s="18">
        <f t="shared" si="107"/>
        <v>1155138.25</v>
      </c>
      <c r="CX89" s="18">
        <f t="shared" si="128"/>
        <v>2260534.6399999997</v>
      </c>
      <c r="CY89" s="18">
        <f t="shared" si="108"/>
        <v>3365445.0209999997</v>
      </c>
      <c r="CZ89" s="18">
        <f t="shared" si="109"/>
        <v>3427856.8495000005</v>
      </c>
      <c r="DA89" s="681"/>
      <c r="DB89" s="653">
        <f t="shared" si="129"/>
        <v>125.14265855346245</v>
      </c>
      <c r="DC89" s="681"/>
      <c r="DD89" s="681"/>
      <c r="DE89" s="681"/>
      <c r="DF89" s="681"/>
      <c r="DG89" s="701">
        <f t="shared" si="110"/>
        <v>0</v>
      </c>
      <c r="DH89" s="701">
        <f t="shared" si="111"/>
        <v>0</v>
      </c>
      <c r="DI89" s="701">
        <f t="shared" si="112"/>
        <v>0</v>
      </c>
    </row>
    <row r="90" spans="1:116" s="32" customFormat="1" ht="69" customHeight="1">
      <c r="A90" s="20">
        <f t="shared" si="130"/>
        <v>77</v>
      </c>
      <c r="B90" s="1905"/>
      <c r="C90" s="806" t="s">
        <v>182</v>
      </c>
      <c r="D90" s="749" t="s">
        <v>141</v>
      </c>
      <c r="E90" s="617">
        <v>4632024035</v>
      </c>
      <c r="F90" s="806" t="s">
        <v>8</v>
      </c>
      <c r="G90" s="752" t="s">
        <v>890</v>
      </c>
      <c r="H90" s="819">
        <f>2653.36*1.2</f>
        <v>3184.0320000000002</v>
      </c>
      <c r="I90" s="819">
        <f>2653.36*1.2</f>
        <v>3184.0320000000002</v>
      </c>
      <c r="J90" s="38"/>
      <c r="K90" s="38"/>
      <c r="L90" s="819">
        <f>2653.36*1.2</f>
        <v>3184.0320000000002</v>
      </c>
      <c r="M90" s="10"/>
      <c r="N90" s="622">
        <f>2749.3*1.2</f>
        <v>3299.1600000000003</v>
      </c>
      <c r="O90" s="622">
        <f>2749.3*1.2</f>
        <v>3299.1600000000003</v>
      </c>
      <c r="P90" s="10"/>
      <c r="Q90" s="10"/>
      <c r="R90" s="622">
        <f>2749.3*1.2</f>
        <v>3299.1600000000003</v>
      </c>
      <c r="S90" s="10"/>
      <c r="T90" s="178">
        <v>191.774</v>
      </c>
      <c r="U90" s="16"/>
      <c r="V90" s="227"/>
      <c r="W90" s="16"/>
      <c r="X90" s="16"/>
      <c r="Y90" s="16"/>
      <c r="Z90" s="35">
        <f t="shared" si="131"/>
        <v>191.774</v>
      </c>
      <c r="AA90" s="178">
        <v>111.36</v>
      </c>
      <c r="AB90" s="16"/>
      <c r="AC90" s="227"/>
      <c r="AD90" s="16"/>
      <c r="AE90" s="16"/>
      <c r="AF90" s="16"/>
      <c r="AG90" s="35">
        <f t="shared" si="132"/>
        <v>111.36</v>
      </c>
      <c r="AH90" s="35">
        <f t="shared" si="113"/>
        <v>303.13400000000001</v>
      </c>
      <c r="AI90" s="15">
        <f t="shared" si="134"/>
        <v>303.13400000000001</v>
      </c>
      <c r="AJ90" s="15">
        <f t="shared" si="134"/>
        <v>0</v>
      </c>
      <c r="AK90" s="15">
        <f t="shared" si="134"/>
        <v>0</v>
      </c>
      <c r="AL90" s="15">
        <f t="shared" si="134"/>
        <v>0</v>
      </c>
      <c r="AM90" s="15">
        <f t="shared" si="133"/>
        <v>0</v>
      </c>
      <c r="AN90" s="15"/>
      <c r="AO90" s="15">
        <f t="shared" si="85"/>
        <v>303.13400000000001</v>
      </c>
      <c r="AP90" s="15">
        <f t="shared" si="86"/>
        <v>303.13400000000001</v>
      </c>
      <c r="AQ90" s="15">
        <f t="shared" si="81"/>
        <v>303.13400000000001</v>
      </c>
      <c r="AR90" s="127">
        <f t="shared" si="114"/>
        <v>0</v>
      </c>
      <c r="AS90" s="112">
        <f t="shared" ref="AS90:AW121" si="135">I90*AI90</f>
        <v>965188.35628800013</v>
      </c>
      <c r="AT90" s="112">
        <f t="shared" si="87"/>
        <v>0</v>
      </c>
      <c r="AU90" s="112">
        <f t="shared" si="87"/>
        <v>0</v>
      </c>
      <c r="AV90" s="112">
        <f t="shared" si="87"/>
        <v>0</v>
      </c>
      <c r="AW90" s="112">
        <f t="shared" si="87"/>
        <v>0</v>
      </c>
      <c r="AX90" s="112">
        <f t="shared" si="115"/>
        <v>965188.35628800013</v>
      </c>
      <c r="AY90" s="112">
        <f t="shared" si="116"/>
        <v>965188.35628800013</v>
      </c>
      <c r="AZ90" s="112">
        <f t="shared" si="88"/>
        <v>1000087.5674400001</v>
      </c>
      <c r="BA90" s="112">
        <f t="shared" si="88"/>
        <v>0</v>
      </c>
      <c r="BB90" s="112">
        <f t="shared" si="88"/>
        <v>0</v>
      </c>
      <c r="BC90" s="112">
        <f t="shared" si="88"/>
        <v>0</v>
      </c>
      <c r="BD90" s="112">
        <f t="shared" si="88"/>
        <v>0</v>
      </c>
      <c r="BE90" s="112">
        <f t="shared" si="117"/>
        <v>1000087.5674400001</v>
      </c>
      <c r="BF90" s="112">
        <f t="shared" si="118"/>
        <v>1000087.5674400001</v>
      </c>
      <c r="BG90" s="169">
        <f>(I90-J90)/1.2*U90/1000</f>
        <v>0</v>
      </c>
      <c r="BH90" s="170">
        <f>(O90-P90)/1.2*AB90/1000</f>
        <v>0</v>
      </c>
      <c r="BI90" s="169">
        <f t="shared" si="80"/>
        <v>0</v>
      </c>
      <c r="BJ90" s="169"/>
      <c r="BK90" s="169"/>
      <c r="BL90" s="112">
        <f t="shared" si="89"/>
        <v>610614.55276800005</v>
      </c>
      <c r="BM90" s="112">
        <f t="shared" si="89"/>
        <v>0</v>
      </c>
      <c r="BN90" s="112">
        <f t="shared" si="89"/>
        <v>0</v>
      </c>
      <c r="BO90" s="112">
        <f t="shared" si="89"/>
        <v>0</v>
      </c>
      <c r="BP90" s="112">
        <f t="shared" si="89"/>
        <v>0</v>
      </c>
      <c r="BQ90" s="112">
        <f t="shared" si="119"/>
        <v>610614.55276800005</v>
      </c>
      <c r="BR90" s="112">
        <f t="shared" si="120"/>
        <v>610614.55276800005</v>
      </c>
      <c r="BS90" s="112">
        <f t="shared" si="90"/>
        <v>367394.45760000002</v>
      </c>
      <c r="BT90" s="112">
        <f t="shared" si="90"/>
        <v>0</v>
      </c>
      <c r="BU90" s="112">
        <f t="shared" si="90"/>
        <v>0</v>
      </c>
      <c r="BV90" s="112">
        <f t="shared" si="93"/>
        <v>0</v>
      </c>
      <c r="BW90" s="112">
        <f t="shared" si="94"/>
        <v>0</v>
      </c>
      <c r="BX90" s="112">
        <f t="shared" si="121"/>
        <v>367394.45760000002</v>
      </c>
      <c r="BY90" s="112">
        <f t="shared" si="122"/>
        <v>367394.45760000002</v>
      </c>
      <c r="BZ90" s="113">
        <f t="shared" si="91"/>
        <v>0</v>
      </c>
      <c r="CA90" s="113">
        <f t="shared" si="91"/>
        <v>0</v>
      </c>
      <c r="CB90" s="113">
        <f t="shared" si="123"/>
        <v>0</v>
      </c>
      <c r="CC90" s="119" t="e">
        <f t="shared" si="92"/>
        <v>#DIV/0!</v>
      </c>
      <c r="CD90" s="119" t="e">
        <f t="shared" si="92"/>
        <v>#DIV/0!</v>
      </c>
      <c r="CE90" s="119" t="e">
        <f t="shared" si="124"/>
        <v>#DIV/0!</v>
      </c>
      <c r="CF90" s="113" t="e">
        <f t="shared" si="95"/>
        <v>#DIV/0!</v>
      </c>
      <c r="CG90" s="619">
        <f t="shared" si="96"/>
        <v>0</v>
      </c>
      <c r="CH90" s="132" t="e">
        <f t="shared" si="125"/>
        <v>#DIV/0!</v>
      </c>
      <c r="CI90" s="625"/>
      <c r="CJ90" s="208">
        <f t="shared" si="97"/>
        <v>610.61455276800007</v>
      </c>
      <c r="CK90" s="208">
        <f t="shared" si="98"/>
        <v>367.39445760000001</v>
      </c>
      <c r="CL90" s="208">
        <f>CJ90+CK90</f>
        <v>978.00901036800008</v>
      </c>
      <c r="CM90" s="112">
        <f t="shared" si="99"/>
        <v>978009.01036800002</v>
      </c>
      <c r="CN90" s="112">
        <f t="shared" si="100"/>
        <v>965188.35628800013</v>
      </c>
      <c r="CO90" s="112">
        <f t="shared" si="101"/>
        <v>965188.35628800013</v>
      </c>
      <c r="CP90" s="112">
        <f t="shared" si="102"/>
        <v>610614.55276800005</v>
      </c>
      <c r="CQ90" s="112">
        <f t="shared" si="103"/>
        <v>1000087.5674400001</v>
      </c>
      <c r="CR90" s="112">
        <f t="shared" si="104"/>
        <v>1000087.5674400001</v>
      </c>
      <c r="CS90" s="112">
        <f t="shared" si="105"/>
        <v>367394.45760000002</v>
      </c>
      <c r="CT90" s="112">
        <f t="shared" si="126"/>
        <v>1965275.9237280004</v>
      </c>
      <c r="CU90" s="124">
        <f t="shared" si="127"/>
        <v>6483192.0000000009</v>
      </c>
      <c r="CV90" s="112">
        <f t="shared" si="106"/>
        <v>0</v>
      </c>
      <c r="CW90" s="112">
        <f t="shared" si="107"/>
        <v>0</v>
      </c>
      <c r="CX90" s="112">
        <f t="shared" si="128"/>
        <v>0</v>
      </c>
      <c r="CY90" s="112">
        <f t="shared" si="108"/>
        <v>965188.35628800013</v>
      </c>
      <c r="CZ90" s="112">
        <f t="shared" si="109"/>
        <v>1000087.5674400001</v>
      </c>
      <c r="DA90" s="625"/>
      <c r="DB90" s="128" t="e">
        <f t="shared" si="129"/>
        <v>#DIV/0!</v>
      </c>
      <c r="DC90" s="625"/>
      <c r="DD90" s="625"/>
      <c r="DE90" s="625"/>
      <c r="DF90" s="625"/>
      <c r="DG90" s="618">
        <f t="shared" si="110"/>
        <v>0</v>
      </c>
      <c r="DH90" s="618">
        <f t="shared" si="111"/>
        <v>0</v>
      </c>
      <c r="DI90" s="618">
        <f t="shared" si="112"/>
        <v>0</v>
      </c>
      <c r="DJ90" s="123"/>
    </row>
    <row r="91" spans="1:116" s="13" customFormat="1" ht="63.75" hidden="1" customHeight="1">
      <c r="A91" s="695">
        <f t="shared" si="130"/>
        <v>78</v>
      </c>
      <c r="B91" s="1896" t="s">
        <v>32</v>
      </c>
      <c r="C91" s="1896" t="s">
        <v>65</v>
      </c>
      <c r="D91" s="696" t="s">
        <v>33</v>
      </c>
      <c r="E91" s="696">
        <v>4621009099</v>
      </c>
      <c r="F91" s="696" t="s">
        <v>8</v>
      </c>
      <c r="G91" s="808" t="s">
        <v>872</v>
      </c>
      <c r="H91" s="697">
        <v>2732.42</v>
      </c>
      <c r="I91" s="697">
        <v>0</v>
      </c>
      <c r="J91" s="697">
        <v>2732.42</v>
      </c>
      <c r="K91" s="697">
        <v>0</v>
      </c>
      <c r="L91" s="697">
        <v>0</v>
      </c>
      <c r="M91" s="698">
        <v>0</v>
      </c>
      <c r="N91" s="698">
        <v>2841.96</v>
      </c>
      <c r="O91" s="698">
        <v>0</v>
      </c>
      <c r="P91" s="698">
        <v>2841.96</v>
      </c>
      <c r="Q91" s="698">
        <v>0</v>
      </c>
      <c r="R91" s="698">
        <v>0</v>
      </c>
      <c r="S91" s="698">
        <v>0</v>
      </c>
      <c r="T91" s="18">
        <v>0</v>
      </c>
      <c r="U91" s="18">
        <v>32.64</v>
      </c>
      <c r="V91" s="18">
        <v>0</v>
      </c>
      <c r="W91" s="18">
        <v>0</v>
      </c>
      <c r="X91" s="18">
        <v>0</v>
      </c>
      <c r="Y91" s="18">
        <v>0</v>
      </c>
      <c r="Z91" s="99">
        <f t="shared" si="131"/>
        <v>32.64</v>
      </c>
      <c r="AA91" s="18">
        <v>0</v>
      </c>
      <c r="AB91" s="18">
        <v>24.48</v>
      </c>
      <c r="AC91" s="18">
        <v>0</v>
      </c>
      <c r="AD91" s="18">
        <v>0</v>
      </c>
      <c r="AE91" s="18">
        <v>0</v>
      </c>
      <c r="AF91" s="18">
        <v>0</v>
      </c>
      <c r="AG91" s="99">
        <f t="shared" si="132"/>
        <v>24.48</v>
      </c>
      <c r="AH91" s="99">
        <f t="shared" si="113"/>
        <v>57.120000000000005</v>
      </c>
      <c r="AI91" s="18">
        <f t="shared" si="134"/>
        <v>0</v>
      </c>
      <c r="AJ91" s="18">
        <f t="shared" si="134"/>
        <v>57.120000000000005</v>
      </c>
      <c r="AK91" s="18">
        <f t="shared" si="134"/>
        <v>0</v>
      </c>
      <c r="AL91" s="18">
        <f t="shared" si="134"/>
        <v>0</v>
      </c>
      <c r="AM91" s="18">
        <f t="shared" si="133"/>
        <v>0</v>
      </c>
      <c r="AN91" s="18"/>
      <c r="AO91" s="18">
        <f t="shared" si="85"/>
        <v>57.120000000000005</v>
      </c>
      <c r="AP91" s="18">
        <f t="shared" si="86"/>
        <v>57.120000000000005</v>
      </c>
      <c r="AQ91" s="18">
        <f t="shared" si="81"/>
        <v>57.120000000000005</v>
      </c>
      <c r="AR91" s="99">
        <f t="shared" si="114"/>
        <v>0</v>
      </c>
      <c r="AS91" s="18">
        <f t="shared" si="135"/>
        <v>0</v>
      </c>
      <c r="AT91" s="18">
        <f t="shared" si="87"/>
        <v>156075.83040000001</v>
      </c>
      <c r="AU91" s="18">
        <f t="shared" si="87"/>
        <v>0</v>
      </c>
      <c r="AV91" s="18">
        <f t="shared" si="87"/>
        <v>0</v>
      </c>
      <c r="AW91" s="18">
        <f t="shared" si="87"/>
        <v>0</v>
      </c>
      <c r="AX91" s="18">
        <f t="shared" si="115"/>
        <v>156075.83040000001</v>
      </c>
      <c r="AY91" s="18">
        <f t="shared" si="116"/>
        <v>156075.83040000001</v>
      </c>
      <c r="AZ91" s="18">
        <f t="shared" si="88"/>
        <v>0</v>
      </c>
      <c r="BA91" s="18">
        <f t="shared" si="88"/>
        <v>162332.75520000001</v>
      </c>
      <c r="BB91" s="18">
        <f t="shared" si="88"/>
        <v>0</v>
      </c>
      <c r="BC91" s="18">
        <f t="shared" si="88"/>
        <v>0</v>
      </c>
      <c r="BD91" s="18">
        <f t="shared" si="88"/>
        <v>0</v>
      </c>
      <c r="BE91" s="18">
        <f t="shared" si="117"/>
        <v>162332.75520000001</v>
      </c>
      <c r="BF91" s="18">
        <f t="shared" si="118"/>
        <v>162332.75520000001</v>
      </c>
      <c r="BG91" s="18"/>
      <c r="BH91" s="18">
        <v>0</v>
      </c>
      <c r="BI91" s="18">
        <f t="shared" si="80"/>
        <v>0</v>
      </c>
      <c r="BJ91" s="18">
        <v>158.75</v>
      </c>
      <c r="BK91" s="18">
        <v>298.18</v>
      </c>
      <c r="BL91" s="18">
        <f t="shared" si="89"/>
        <v>0</v>
      </c>
      <c r="BM91" s="18">
        <f t="shared" si="89"/>
        <v>89186.188800000004</v>
      </c>
      <c r="BN91" s="18">
        <f t="shared" si="89"/>
        <v>0</v>
      </c>
      <c r="BO91" s="18">
        <f t="shared" si="89"/>
        <v>0</v>
      </c>
      <c r="BP91" s="18">
        <f t="shared" si="89"/>
        <v>0</v>
      </c>
      <c r="BQ91" s="18">
        <f t="shared" si="119"/>
        <v>89186.188800000004</v>
      </c>
      <c r="BR91" s="18">
        <f t="shared" si="120"/>
        <v>89186.188800000004</v>
      </c>
      <c r="BS91" s="18">
        <f t="shared" si="90"/>
        <v>0</v>
      </c>
      <c r="BT91" s="18">
        <f t="shared" si="90"/>
        <v>69571.180800000002</v>
      </c>
      <c r="BU91" s="18">
        <f t="shared" si="90"/>
        <v>0</v>
      </c>
      <c r="BV91" s="18">
        <f t="shared" si="93"/>
        <v>0</v>
      </c>
      <c r="BW91" s="18">
        <f t="shared" si="94"/>
        <v>0</v>
      </c>
      <c r="BX91" s="18">
        <f t="shared" si="121"/>
        <v>69571.180800000002</v>
      </c>
      <c r="BY91" s="18">
        <f t="shared" si="122"/>
        <v>69571.180800000002</v>
      </c>
      <c r="BZ91" s="161">
        <f t="shared" si="91"/>
        <v>158757.36960000001</v>
      </c>
      <c r="CA91" s="161">
        <f t="shared" si="91"/>
        <v>0</v>
      </c>
      <c r="CB91" s="161">
        <f t="shared" si="123"/>
        <v>158757.36960000001</v>
      </c>
      <c r="CC91" s="162">
        <f t="shared" si="92"/>
        <v>2779.3657142857141</v>
      </c>
      <c r="CD91" s="162" t="e">
        <f t="shared" si="92"/>
        <v>#DIV/0!</v>
      </c>
      <c r="CE91" s="162">
        <f t="shared" si="124"/>
        <v>2779.3657142857141</v>
      </c>
      <c r="CF91" s="162">
        <f t="shared" si="95"/>
        <v>2779.3657142857141</v>
      </c>
      <c r="CG91" s="651">
        <f t="shared" si="96"/>
        <v>0</v>
      </c>
      <c r="CH91" s="652">
        <f t="shared" si="125"/>
        <v>0</v>
      </c>
      <c r="CJ91" s="18">
        <f t="shared" si="97"/>
        <v>89.186188799999996</v>
      </c>
      <c r="CK91" s="18">
        <f t="shared" si="98"/>
        <v>69.571180800000008</v>
      </c>
      <c r="CL91" s="18">
        <f t="shared" si="84"/>
        <v>158.7573696</v>
      </c>
      <c r="CM91" s="18">
        <f t="shared" si="99"/>
        <v>158757.36960000001</v>
      </c>
      <c r="CN91" s="18">
        <f t="shared" si="100"/>
        <v>156075.83040000001</v>
      </c>
      <c r="CO91" s="18">
        <f t="shared" si="101"/>
        <v>156075.83040000001</v>
      </c>
      <c r="CP91" s="18">
        <f t="shared" si="102"/>
        <v>89186.188800000004</v>
      </c>
      <c r="CQ91" s="18">
        <f t="shared" si="103"/>
        <v>162332.75520000001</v>
      </c>
      <c r="CR91" s="18">
        <f t="shared" si="104"/>
        <v>162332.75520000001</v>
      </c>
      <c r="CS91" s="18">
        <f t="shared" si="105"/>
        <v>69571.180800000002</v>
      </c>
      <c r="CT91" s="18">
        <f t="shared" si="126"/>
        <v>318408.58559999999</v>
      </c>
      <c r="CU91" s="29">
        <f t="shared" si="127"/>
        <v>5574379.9999999991</v>
      </c>
      <c r="CV91" s="18">
        <f t="shared" si="106"/>
        <v>156075.83040000001</v>
      </c>
      <c r="CW91" s="18">
        <f t="shared" si="107"/>
        <v>162332.75520000001</v>
      </c>
      <c r="CX91" s="18">
        <f t="shared" si="128"/>
        <v>318408.58559999999</v>
      </c>
      <c r="CY91" s="18">
        <f t="shared" si="108"/>
        <v>156075.83040000001</v>
      </c>
      <c r="CZ91" s="18">
        <f t="shared" si="109"/>
        <v>162332.75520000001</v>
      </c>
      <c r="DB91" s="653">
        <f t="shared" si="129"/>
        <v>104.00890053505682</v>
      </c>
      <c r="DG91" s="701">
        <f t="shared" si="110"/>
        <v>0</v>
      </c>
      <c r="DH91" s="701">
        <f t="shared" si="111"/>
        <v>0</v>
      </c>
      <c r="DI91" s="701">
        <f t="shared" si="112"/>
        <v>0</v>
      </c>
    </row>
    <row r="92" spans="1:116" s="32" customFormat="1" ht="63.75" customHeight="1">
      <c r="A92" s="20">
        <f t="shared" si="130"/>
        <v>79</v>
      </c>
      <c r="B92" s="1897"/>
      <c r="C92" s="1905"/>
      <c r="D92" s="749" t="s">
        <v>141</v>
      </c>
      <c r="E92" s="617">
        <v>4632024035</v>
      </c>
      <c r="F92" s="806" t="s">
        <v>8</v>
      </c>
      <c r="G92" s="752" t="s">
        <v>890</v>
      </c>
      <c r="H92" s="819">
        <f t="shared" ref="H92:I96" si="136">2653.36*1.2</f>
        <v>3184.0320000000002</v>
      </c>
      <c r="I92" s="819">
        <f t="shared" si="136"/>
        <v>3184.0320000000002</v>
      </c>
      <c r="J92" s="38">
        <v>2732.57</v>
      </c>
      <c r="K92" s="38"/>
      <c r="L92" s="819">
        <f>2653.36*1.2</f>
        <v>3184.0320000000002</v>
      </c>
      <c r="M92" s="10"/>
      <c r="N92" s="622">
        <f>2749.3*1.2</f>
        <v>3299.1600000000003</v>
      </c>
      <c r="O92" s="622">
        <f>2749.3*1.2</f>
        <v>3299.1600000000003</v>
      </c>
      <c r="P92" s="38">
        <v>2896.52</v>
      </c>
      <c r="Q92" s="10"/>
      <c r="R92" s="622">
        <f>2749.3*1.2</f>
        <v>3299.1600000000003</v>
      </c>
      <c r="S92" s="10"/>
      <c r="T92" s="178">
        <v>2002.1370000000002</v>
      </c>
      <c r="U92" s="16">
        <v>321.40000000000003</v>
      </c>
      <c r="V92" s="227"/>
      <c r="W92" s="16"/>
      <c r="X92" s="16"/>
      <c r="Y92" s="16"/>
      <c r="Z92" s="35">
        <f t="shared" si="131"/>
        <v>2323.5370000000003</v>
      </c>
      <c r="AA92" s="178">
        <v>1209.489</v>
      </c>
      <c r="AB92" s="16">
        <v>241</v>
      </c>
      <c r="AC92" s="227"/>
      <c r="AD92" s="16"/>
      <c r="AE92" s="16"/>
      <c r="AF92" s="16"/>
      <c r="AG92" s="35">
        <f t="shared" si="132"/>
        <v>1450.489</v>
      </c>
      <c r="AH92" s="35">
        <f t="shared" si="113"/>
        <v>3774.0260000000003</v>
      </c>
      <c r="AI92" s="15">
        <f t="shared" si="134"/>
        <v>3211.6260000000002</v>
      </c>
      <c r="AJ92" s="15">
        <f t="shared" si="134"/>
        <v>562.40000000000009</v>
      </c>
      <c r="AK92" s="15">
        <f t="shared" si="134"/>
        <v>0</v>
      </c>
      <c r="AL92" s="15">
        <f t="shared" si="134"/>
        <v>0</v>
      </c>
      <c r="AM92" s="15">
        <f t="shared" si="133"/>
        <v>0</v>
      </c>
      <c r="AN92" s="15"/>
      <c r="AO92" s="15">
        <f t="shared" si="85"/>
        <v>3774.0260000000003</v>
      </c>
      <c r="AP92" s="15">
        <f t="shared" si="86"/>
        <v>3774.0260000000003</v>
      </c>
      <c r="AQ92" s="15">
        <f t="shared" si="81"/>
        <v>3774.0260000000003</v>
      </c>
      <c r="AR92" s="127">
        <f t="shared" si="114"/>
        <v>0</v>
      </c>
      <c r="AS92" s="112">
        <f t="shared" si="135"/>
        <v>10225919.956032</v>
      </c>
      <c r="AT92" s="112">
        <f t="shared" si="135"/>
        <v>1536797.3680000002</v>
      </c>
      <c r="AU92" s="112">
        <f t="shared" si="135"/>
        <v>0</v>
      </c>
      <c r="AV92" s="112">
        <f t="shared" si="135"/>
        <v>0</v>
      </c>
      <c r="AW92" s="112">
        <f t="shared" si="135"/>
        <v>0</v>
      </c>
      <c r="AX92" s="112">
        <f t="shared" si="115"/>
        <v>11762717.324032001</v>
      </c>
      <c r="AY92" s="112">
        <f t="shared" si="116"/>
        <v>11762717.324032001</v>
      </c>
      <c r="AZ92" s="112">
        <f t="shared" ref="AZ92:BD123" si="137">O92*AI92</f>
        <v>10595668.034160001</v>
      </c>
      <c r="BA92" s="112">
        <f t="shared" si="137"/>
        <v>1629002.8480000002</v>
      </c>
      <c r="BB92" s="112">
        <f t="shared" si="137"/>
        <v>0</v>
      </c>
      <c r="BC92" s="112">
        <f t="shared" si="137"/>
        <v>0</v>
      </c>
      <c r="BD92" s="112">
        <f t="shared" si="137"/>
        <v>0</v>
      </c>
      <c r="BE92" s="112">
        <f t="shared" si="117"/>
        <v>12224670.882160001</v>
      </c>
      <c r="BF92" s="112">
        <f t="shared" si="118"/>
        <v>12224670.882160001</v>
      </c>
      <c r="BG92" s="623">
        <f>(I92-J92)/1.2*U92/1000</f>
        <v>120.91657233333336</v>
      </c>
      <c r="BH92" s="624">
        <f>(O92-P92)/1.2*AB92/1000</f>
        <v>80.863533333333407</v>
      </c>
      <c r="BI92" s="623">
        <f t="shared" si="80"/>
        <v>201.78010566666677</v>
      </c>
      <c r="BJ92" s="169"/>
      <c r="BK92" s="169"/>
      <c r="BL92" s="112">
        <f t="shared" si="89"/>
        <v>6374868.2763840007</v>
      </c>
      <c r="BM92" s="112">
        <f t="shared" si="89"/>
        <v>878247.99800000014</v>
      </c>
      <c r="BN92" s="112">
        <f t="shared" si="89"/>
        <v>0</v>
      </c>
      <c r="BO92" s="112">
        <f t="shared" si="89"/>
        <v>0</v>
      </c>
      <c r="BP92" s="112">
        <f t="shared" si="89"/>
        <v>0</v>
      </c>
      <c r="BQ92" s="112">
        <f t="shared" si="119"/>
        <v>7253116.2743840013</v>
      </c>
      <c r="BR92" s="112">
        <f t="shared" si="120"/>
        <v>7253116.2743840013</v>
      </c>
      <c r="BS92" s="112">
        <f t="shared" si="90"/>
        <v>3990297.7292400007</v>
      </c>
      <c r="BT92" s="112">
        <f t="shared" si="90"/>
        <v>698061.32</v>
      </c>
      <c r="BU92" s="112">
        <f t="shared" si="90"/>
        <v>0</v>
      </c>
      <c r="BV92" s="112">
        <f t="shared" si="93"/>
        <v>0</v>
      </c>
      <c r="BW92" s="112">
        <f t="shared" si="94"/>
        <v>0</v>
      </c>
      <c r="BX92" s="112">
        <f t="shared" si="121"/>
        <v>4688359.0492400005</v>
      </c>
      <c r="BY92" s="112">
        <f t="shared" si="122"/>
        <v>4688359.0492400005</v>
      </c>
      <c r="BZ92" s="113">
        <f t="shared" si="91"/>
        <v>1576309.318</v>
      </c>
      <c r="CA92" s="113">
        <f t="shared" si="91"/>
        <v>0</v>
      </c>
      <c r="CB92" s="113">
        <f t="shared" si="123"/>
        <v>1576309.318</v>
      </c>
      <c r="CC92" s="119">
        <f t="shared" si="92"/>
        <v>2802.8259566145089</v>
      </c>
      <c r="CD92" s="119" t="e">
        <f t="shared" si="92"/>
        <v>#DIV/0!</v>
      </c>
      <c r="CE92" s="119">
        <f t="shared" si="124"/>
        <v>2802.8259566145089</v>
      </c>
      <c r="CF92" s="119">
        <f t="shared" si="95"/>
        <v>2802.8259566145089</v>
      </c>
      <c r="CG92" s="619">
        <f t="shared" si="96"/>
        <v>1818445.4448000002</v>
      </c>
      <c r="CH92" s="132">
        <f t="shared" si="125"/>
        <v>3233.3667226173538</v>
      </c>
      <c r="CI92" s="625"/>
      <c r="CJ92" s="208">
        <f t="shared" si="97"/>
        <v>7398.2161611840011</v>
      </c>
      <c r="CK92" s="208">
        <f t="shared" si="98"/>
        <v>4785.3952892400011</v>
      </c>
      <c r="CL92" s="208">
        <f t="shared" si="84"/>
        <v>12183.611450424003</v>
      </c>
      <c r="CM92" s="112">
        <f t="shared" si="99"/>
        <v>12183611.450424001</v>
      </c>
      <c r="CN92" s="112">
        <f t="shared" si="100"/>
        <v>11762717.324032001</v>
      </c>
      <c r="CO92" s="112">
        <f t="shared" si="101"/>
        <v>11762717.324032001</v>
      </c>
      <c r="CP92" s="112">
        <f t="shared" si="102"/>
        <v>7253116.2743840013</v>
      </c>
      <c r="CQ92" s="112">
        <f t="shared" si="103"/>
        <v>12224670.882160001</v>
      </c>
      <c r="CR92" s="112">
        <f t="shared" si="104"/>
        <v>12224670.882160001</v>
      </c>
      <c r="CS92" s="112">
        <f t="shared" si="105"/>
        <v>4688359.0492400005</v>
      </c>
      <c r="CT92" s="112">
        <f t="shared" si="126"/>
        <v>23987388.206192002</v>
      </c>
      <c r="CU92" s="124">
        <f t="shared" si="127"/>
        <v>6355914.9317445084</v>
      </c>
      <c r="CV92" s="112">
        <f t="shared" si="106"/>
        <v>1536797.3680000002</v>
      </c>
      <c r="CW92" s="112">
        <f t="shared" si="107"/>
        <v>1629002.8480000002</v>
      </c>
      <c r="CX92" s="112">
        <f t="shared" si="128"/>
        <v>3165800.2160000005</v>
      </c>
      <c r="CY92" s="112">
        <f t="shared" si="108"/>
        <v>12016619.552832</v>
      </c>
      <c r="CZ92" s="112">
        <f t="shared" si="109"/>
        <v>12451115.618160002</v>
      </c>
      <c r="DA92" s="625"/>
      <c r="DB92" s="128">
        <f t="shared" si="129"/>
        <v>120.73469298133259</v>
      </c>
      <c r="DC92" s="625"/>
      <c r="DD92" s="625"/>
      <c r="DE92" s="625"/>
      <c r="DF92" s="625"/>
      <c r="DG92" s="618">
        <f t="shared" si="110"/>
        <v>0</v>
      </c>
      <c r="DH92" s="618">
        <f t="shared" si="111"/>
        <v>0</v>
      </c>
      <c r="DI92" s="618">
        <f t="shared" si="112"/>
        <v>0</v>
      </c>
      <c r="DJ92" s="123"/>
    </row>
    <row r="93" spans="1:116" s="32" customFormat="1" ht="64.5" customHeight="1">
      <c r="A93" s="20">
        <f t="shared" si="130"/>
        <v>80</v>
      </c>
      <c r="B93" s="1897"/>
      <c r="C93" s="806" t="s">
        <v>115</v>
      </c>
      <c r="D93" s="749" t="s">
        <v>142</v>
      </c>
      <c r="E93" s="617">
        <v>4632024035</v>
      </c>
      <c r="F93" s="806" t="s">
        <v>8</v>
      </c>
      <c r="G93" s="752" t="s">
        <v>890</v>
      </c>
      <c r="H93" s="819">
        <f t="shared" si="136"/>
        <v>3184.0320000000002</v>
      </c>
      <c r="I93" s="819">
        <f t="shared" si="136"/>
        <v>3184.0320000000002</v>
      </c>
      <c r="J93" s="38"/>
      <c r="K93" s="38"/>
      <c r="L93" s="819">
        <f>2653.36*1.2</f>
        <v>3184.0320000000002</v>
      </c>
      <c r="M93" s="10"/>
      <c r="N93" s="622">
        <f t="shared" ref="N93:O96" si="138">2749.3*1.2</f>
        <v>3299.1600000000003</v>
      </c>
      <c r="O93" s="622">
        <f t="shared" si="138"/>
        <v>3299.1600000000003</v>
      </c>
      <c r="P93" s="10"/>
      <c r="Q93" s="10"/>
      <c r="R93" s="622">
        <f>2749.3*1.2</f>
        <v>3299.1600000000003</v>
      </c>
      <c r="S93" s="10"/>
      <c r="T93" s="178">
        <v>251.702</v>
      </c>
      <c r="U93" s="16"/>
      <c r="V93" s="227"/>
      <c r="W93" s="16"/>
      <c r="X93" s="16"/>
      <c r="Y93" s="16"/>
      <c r="Z93" s="35">
        <f t="shared" si="131"/>
        <v>251.702</v>
      </c>
      <c r="AA93" s="178">
        <v>146.16</v>
      </c>
      <c r="AB93" s="16"/>
      <c r="AC93" s="227"/>
      <c r="AD93" s="16"/>
      <c r="AE93" s="16"/>
      <c r="AF93" s="16"/>
      <c r="AG93" s="35">
        <f t="shared" si="132"/>
        <v>146.16</v>
      </c>
      <c r="AH93" s="35">
        <f t="shared" si="113"/>
        <v>397.86199999999997</v>
      </c>
      <c r="AI93" s="15">
        <f t="shared" si="134"/>
        <v>397.86199999999997</v>
      </c>
      <c r="AJ93" s="15">
        <f t="shared" si="134"/>
        <v>0</v>
      </c>
      <c r="AK93" s="15">
        <f t="shared" si="134"/>
        <v>0</v>
      </c>
      <c r="AL93" s="15">
        <f t="shared" si="134"/>
        <v>0</v>
      </c>
      <c r="AM93" s="15">
        <f t="shared" si="133"/>
        <v>0</v>
      </c>
      <c r="AN93" s="15"/>
      <c r="AO93" s="15">
        <f t="shared" si="85"/>
        <v>397.86199999999997</v>
      </c>
      <c r="AP93" s="15">
        <f t="shared" si="86"/>
        <v>397.86199999999997</v>
      </c>
      <c r="AQ93" s="15">
        <f t="shared" si="81"/>
        <v>397.86199999999997</v>
      </c>
      <c r="AR93" s="127">
        <f t="shared" si="114"/>
        <v>0</v>
      </c>
      <c r="AS93" s="112">
        <f t="shared" si="135"/>
        <v>1266805.3395839999</v>
      </c>
      <c r="AT93" s="112">
        <f t="shared" si="135"/>
        <v>0</v>
      </c>
      <c r="AU93" s="112">
        <f t="shared" si="135"/>
        <v>0</v>
      </c>
      <c r="AV93" s="112">
        <f t="shared" si="135"/>
        <v>0</v>
      </c>
      <c r="AW93" s="112">
        <f t="shared" si="135"/>
        <v>0</v>
      </c>
      <c r="AX93" s="112">
        <f t="shared" si="115"/>
        <v>1266805.3395839999</v>
      </c>
      <c r="AY93" s="112">
        <f t="shared" si="116"/>
        <v>1266805.3395839999</v>
      </c>
      <c r="AZ93" s="112">
        <f t="shared" si="137"/>
        <v>1312610.39592</v>
      </c>
      <c r="BA93" s="112">
        <f t="shared" si="137"/>
        <v>0</v>
      </c>
      <c r="BB93" s="112">
        <f t="shared" si="137"/>
        <v>0</v>
      </c>
      <c r="BC93" s="112">
        <f t="shared" si="137"/>
        <v>0</v>
      </c>
      <c r="BD93" s="112">
        <f t="shared" si="137"/>
        <v>0</v>
      </c>
      <c r="BE93" s="112">
        <f t="shared" si="117"/>
        <v>1312610.39592</v>
      </c>
      <c r="BF93" s="112">
        <f t="shared" si="118"/>
        <v>1312610.39592</v>
      </c>
      <c r="BG93" s="126"/>
      <c r="BH93" s="126"/>
      <c r="BI93" s="112">
        <f t="shared" si="80"/>
        <v>0</v>
      </c>
      <c r="BJ93" s="112"/>
      <c r="BK93" s="112"/>
      <c r="BL93" s="112">
        <f t="shared" si="89"/>
        <v>801427.22246399999</v>
      </c>
      <c r="BM93" s="112">
        <f t="shared" si="89"/>
        <v>0</v>
      </c>
      <c r="BN93" s="112">
        <f t="shared" si="89"/>
        <v>0</v>
      </c>
      <c r="BO93" s="112">
        <f t="shared" si="89"/>
        <v>0</v>
      </c>
      <c r="BP93" s="112">
        <f t="shared" si="89"/>
        <v>0</v>
      </c>
      <c r="BQ93" s="112">
        <f t="shared" si="119"/>
        <v>801427.22246399999</v>
      </c>
      <c r="BR93" s="112">
        <f t="shared" si="120"/>
        <v>801427.22246399999</v>
      </c>
      <c r="BS93" s="112">
        <f t="shared" si="90"/>
        <v>482205.22560000001</v>
      </c>
      <c r="BT93" s="112">
        <f t="shared" si="90"/>
        <v>0</v>
      </c>
      <c r="BU93" s="112">
        <f t="shared" si="90"/>
        <v>0</v>
      </c>
      <c r="BV93" s="112">
        <f t="shared" si="93"/>
        <v>0</v>
      </c>
      <c r="BW93" s="112">
        <f t="shared" si="94"/>
        <v>0</v>
      </c>
      <c r="BX93" s="112">
        <f t="shared" si="121"/>
        <v>482205.22560000001</v>
      </c>
      <c r="BY93" s="112">
        <f t="shared" si="122"/>
        <v>482205.22560000001</v>
      </c>
      <c r="BZ93" s="113">
        <f t="shared" si="91"/>
        <v>0</v>
      </c>
      <c r="CA93" s="113">
        <f t="shared" si="91"/>
        <v>0</v>
      </c>
      <c r="CB93" s="113">
        <f t="shared" si="123"/>
        <v>0</v>
      </c>
      <c r="CC93" s="119" t="e">
        <f t="shared" si="92"/>
        <v>#DIV/0!</v>
      </c>
      <c r="CD93" s="119" t="e">
        <f t="shared" si="92"/>
        <v>#DIV/0!</v>
      </c>
      <c r="CE93" s="119" t="e">
        <f t="shared" si="124"/>
        <v>#DIV/0!</v>
      </c>
      <c r="CF93" s="113" t="e">
        <f t="shared" si="95"/>
        <v>#DIV/0!</v>
      </c>
      <c r="CG93" s="619">
        <f t="shared" si="96"/>
        <v>0</v>
      </c>
      <c r="CH93" s="132" t="e">
        <f t="shared" si="125"/>
        <v>#DIV/0!</v>
      </c>
      <c r="CI93" s="625"/>
      <c r="CJ93" s="208">
        <f t="shared" si="97"/>
        <v>801.42722246400001</v>
      </c>
      <c r="CK93" s="208">
        <f t="shared" si="98"/>
        <v>482.20522560000001</v>
      </c>
      <c r="CL93" s="208">
        <f t="shared" si="84"/>
        <v>1283.6324480640001</v>
      </c>
      <c r="CM93" s="112">
        <f t="shared" si="99"/>
        <v>1283632.4480639999</v>
      </c>
      <c r="CN93" s="112">
        <f t="shared" si="100"/>
        <v>1266805.3395839999</v>
      </c>
      <c r="CO93" s="112">
        <f t="shared" si="101"/>
        <v>1266805.3395839999</v>
      </c>
      <c r="CP93" s="112">
        <f t="shared" si="102"/>
        <v>801427.22246399999</v>
      </c>
      <c r="CQ93" s="112">
        <f t="shared" si="103"/>
        <v>1312610.39592</v>
      </c>
      <c r="CR93" s="112">
        <f t="shared" si="104"/>
        <v>1312610.39592</v>
      </c>
      <c r="CS93" s="112">
        <f t="shared" si="105"/>
        <v>482205.22560000001</v>
      </c>
      <c r="CT93" s="112">
        <f t="shared" si="126"/>
        <v>2579415.735504</v>
      </c>
      <c r="CU93" s="124">
        <f t="shared" si="127"/>
        <v>6483192.0000000009</v>
      </c>
      <c r="CV93" s="112">
        <f t="shared" si="106"/>
        <v>0</v>
      </c>
      <c r="CW93" s="112">
        <f t="shared" si="107"/>
        <v>0</v>
      </c>
      <c r="CX93" s="112">
        <f t="shared" si="128"/>
        <v>0</v>
      </c>
      <c r="CY93" s="112">
        <f t="shared" si="108"/>
        <v>1266805.3395839999</v>
      </c>
      <c r="CZ93" s="112">
        <f t="shared" si="109"/>
        <v>1312610.39592</v>
      </c>
      <c r="DA93" s="625"/>
      <c r="DB93" s="128" t="e">
        <f t="shared" si="129"/>
        <v>#DIV/0!</v>
      </c>
      <c r="DC93" s="625"/>
      <c r="DD93" s="625"/>
      <c r="DE93" s="625"/>
      <c r="DF93" s="625"/>
      <c r="DG93" s="618">
        <f t="shared" si="110"/>
        <v>0</v>
      </c>
      <c r="DH93" s="618">
        <f t="shared" si="111"/>
        <v>0</v>
      </c>
      <c r="DI93" s="618">
        <f t="shared" si="112"/>
        <v>0</v>
      </c>
      <c r="DJ93" s="123"/>
    </row>
    <row r="94" spans="1:116" s="32" customFormat="1" ht="62.25" customHeight="1">
      <c r="A94" s="20">
        <f t="shared" si="130"/>
        <v>81</v>
      </c>
      <c r="B94" s="1897"/>
      <c r="C94" s="806" t="s">
        <v>116</v>
      </c>
      <c r="D94" s="749" t="s">
        <v>141</v>
      </c>
      <c r="E94" s="617">
        <v>4632024035</v>
      </c>
      <c r="F94" s="806" t="s">
        <v>8</v>
      </c>
      <c r="G94" s="752" t="s">
        <v>890</v>
      </c>
      <c r="H94" s="819">
        <f t="shared" si="136"/>
        <v>3184.0320000000002</v>
      </c>
      <c r="I94" s="819">
        <f t="shared" si="136"/>
        <v>3184.0320000000002</v>
      </c>
      <c r="J94" s="38"/>
      <c r="K94" s="38"/>
      <c r="L94" s="819">
        <f>2653.36*1.2</f>
        <v>3184.0320000000002</v>
      </c>
      <c r="M94" s="10"/>
      <c r="N94" s="622">
        <f t="shared" si="138"/>
        <v>3299.1600000000003</v>
      </c>
      <c r="O94" s="622">
        <f t="shared" si="138"/>
        <v>3299.1600000000003</v>
      </c>
      <c r="P94" s="10"/>
      <c r="Q94" s="10"/>
      <c r="R94" s="622">
        <f>2749.3*1.2</f>
        <v>3299.1600000000003</v>
      </c>
      <c r="S94" s="10"/>
      <c r="T94" s="178">
        <v>1074.4080000000001</v>
      </c>
      <c r="U94" s="16"/>
      <c r="V94" s="227"/>
      <c r="W94" s="16"/>
      <c r="X94" s="16"/>
      <c r="Y94" s="16"/>
      <c r="Z94" s="35">
        <f t="shared" si="131"/>
        <v>1074.4080000000001</v>
      </c>
      <c r="AA94" s="178">
        <v>654.87199999999996</v>
      </c>
      <c r="AB94" s="16"/>
      <c r="AC94" s="227"/>
      <c r="AD94" s="16"/>
      <c r="AE94" s="16"/>
      <c r="AF94" s="16"/>
      <c r="AG94" s="35">
        <f t="shared" si="132"/>
        <v>654.87199999999996</v>
      </c>
      <c r="AH94" s="35">
        <f t="shared" si="113"/>
        <v>1729.2800000000002</v>
      </c>
      <c r="AI94" s="15">
        <f t="shared" si="134"/>
        <v>1729.2800000000002</v>
      </c>
      <c r="AJ94" s="15">
        <f t="shared" si="134"/>
        <v>0</v>
      </c>
      <c r="AK94" s="15">
        <f t="shared" si="134"/>
        <v>0</v>
      </c>
      <c r="AL94" s="15">
        <f t="shared" si="134"/>
        <v>0</v>
      </c>
      <c r="AM94" s="15">
        <f t="shared" si="133"/>
        <v>0</v>
      </c>
      <c r="AN94" s="15"/>
      <c r="AO94" s="15">
        <f t="shared" si="85"/>
        <v>1729.2800000000002</v>
      </c>
      <c r="AP94" s="15">
        <f t="shared" si="86"/>
        <v>1729.2800000000002</v>
      </c>
      <c r="AQ94" s="15">
        <f t="shared" si="81"/>
        <v>1729.2800000000002</v>
      </c>
      <c r="AR94" s="127">
        <f t="shared" si="114"/>
        <v>0</v>
      </c>
      <c r="AS94" s="112">
        <f t="shared" si="135"/>
        <v>5506082.8569600005</v>
      </c>
      <c r="AT94" s="112">
        <f t="shared" si="135"/>
        <v>0</v>
      </c>
      <c r="AU94" s="112">
        <f t="shared" si="135"/>
        <v>0</v>
      </c>
      <c r="AV94" s="112">
        <f t="shared" si="135"/>
        <v>0</v>
      </c>
      <c r="AW94" s="112">
        <f t="shared" si="135"/>
        <v>0</v>
      </c>
      <c r="AX94" s="112">
        <f t="shared" si="115"/>
        <v>5506082.8569600005</v>
      </c>
      <c r="AY94" s="112">
        <f t="shared" si="116"/>
        <v>5506082.8569600005</v>
      </c>
      <c r="AZ94" s="112">
        <f t="shared" si="137"/>
        <v>5705171.4048000015</v>
      </c>
      <c r="BA94" s="112">
        <f t="shared" si="137"/>
        <v>0</v>
      </c>
      <c r="BB94" s="112">
        <f t="shared" si="137"/>
        <v>0</v>
      </c>
      <c r="BC94" s="112">
        <f t="shared" si="137"/>
        <v>0</v>
      </c>
      <c r="BD94" s="112">
        <f t="shared" si="137"/>
        <v>0</v>
      </c>
      <c r="BE94" s="112">
        <f t="shared" si="117"/>
        <v>5705171.4048000015</v>
      </c>
      <c r="BF94" s="112">
        <f t="shared" si="118"/>
        <v>5705171.4048000015</v>
      </c>
      <c r="BG94" s="126"/>
      <c r="BH94" s="126"/>
      <c r="BI94" s="112">
        <f t="shared" si="80"/>
        <v>0</v>
      </c>
      <c r="BJ94" s="112"/>
      <c r="BK94" s="112"/>
      <c r="BL94" s="112">
        <f t="shared" si="89"/>
        <v>3420949.4530560006</v>
      </c>
      <c r="BM94" s="112">
        <f t="shared" si="89"/>
        <v>0</v>
      </c>
      <c r="BN94" s="112">
        <f t="shared" si="89"/>
        <v>0</v>
      </c>
      <c r="BO94" s="112">
        <f t="shared" si="89"/>
        <v>0</v>
      </c>
      <c r="BP94" s="112">
        <f t="shared" si="89"/>
        <v>0</v>
      </c>
      <c r="BQ94" s="112">
        <f t="shared" si="119"/>
        <v>3420949.4530560006</v>
      </c>
      <c r="BR94" s="112">
        <f t="shared" si="120"/>
        <v>3420949.4530560006</v>
      </c>
      <c r="BS94" s="112">
        <f t="shared" si="90"/>
        <v>2160527.50752</v>
      </c>
      <c r="BT94" s="112">
        <f t="shared" si="90"/>
        <v>0</v>
      </c>
      <c r="BU94" s="112">
        <f t="shared" si="90"/>
        <v>0</v>
      </c>
      <c r="BV94" s="112">
        <f t="shared" si="93"/>
        <v>0</v>
      </c>
      <c r="BW94" s="112">
        <f t="shared" si="94"/>
        <v>0</v>
      </c>
      <c r="BX94" s="112">
        <f t="shared" si="121"/>
        <v>2160527.50752</v>
      </c>
      <c r="BY94" s="112">
        <f t="shared" si="122"/>
        <v>2160527.50752</v>
      </c>
      <c r="BZ94" s="113">
        <f t="shared" si="91"/>
        <v>0</v>
      </c>
      <c r="CA94" s="113">
        <f t="shared" si="91"/>
        <v>0</v>
      </c>
      <c r="CB94" s="113">
        <f t="shared" si="123"/>
        <v>0</v>
      </c>
      <c r="CC94" s="119" t="e">
        <f t="shared" si="92"/>
        <v>#DIV/0!</v>
      </c>
      <c r="CD94" s="119" t="e">
        <f t="shared" si="92"/>
        <v>#DIV/0!</v>
      </c>
      <c r="CE94" s="119" t="e">
        <f t="shared" si="124"/>
        <v>#DIV/0!</v>
      </c>
      <c r="CF94" s="113" t="e">
        <f t="shared" si="95"/>
        <v>#DIV/0!</v>
      </c>
      <c r="CG94" s="619">
        <f t="shared" si="96"/>
        <v>0</v>
      </c>
      <c r="CH94" s="132" t="e">
        <f t="shared" si="125"/>
        <v>#DIV/0!</v>
      </c>
      <c r="CI94" s="625"/>
      <c r="CJ94" s="208">
        <f t="shared" si="97"/>
        <v>3420.9494530560005</v>
      </c>
      <c r="CK94" s="208">
        <f t="shared" si="98"/>
        <v>2160.5275075200002</v>
      </c>
      <c r="CL94" s="208">
        <f t="shared" si="84"/>
        <v>5581.4769605760011</v>
      </c>
      <c r="CM94" s="112">
        <f t="shared" si="99"/>
        <v>5581476.9605760006</v>
      </c>
      <c r="CN94" s="112">
        <f t="shared" si="100"/>
        <v>5506082.8569600005</v>
      </c>
      <c r="CO94" s="112">
        <f t="shared" si="101"/>
        <v>5506082.8569600005</v>
      </c>
      <c r="CP94" s="112">
        <f t="shared" si="102"/>
        <v>3420949.4530560006</v>
      </c>
      <c r="CQ94" s="112">
        <f t="shared" si="103"/>
        <v>5705171.4048000015</v>
      </c>
      <c r="CR94" s="112">
        <f t="shared" si="104"/>
        <v>5705171.4048000015</v>
      </c>
      <c r="CS94" s="112">
        <f t="shared" si="105"/>
        <v>2160527.50752</v>
      </c>
      <c r="CT94" s="112">
        <f t="shared" si="126"/>
        <v>11211254.261760002</v>
      </c>
      <c r="CU94" s="124">
        <f t="shared" si="127"/>
        <v>6483192</v>
      </c>
      <c r="CV94" s="112">
        <f t="shared" si="106"/>
        <v>0</v>
      </c>
      <c r="CW94" s="112">
        <f t="shared" si="107"/>
        <v>0</v>
      </c>
      <c r="CX94" s="112">
        <f t="shared" si="128"/>
        <v>0</v>
      </c>
      <c r="CY94" s="112">
        <f t="shared" si="108"/>
        <v>5506082.8569600005</v>
      </c>
      <c r="CZ94" s="112">
        <f t="shared" si="109"/>
        <v>5705171.4048000015</v>
      </c>
      <c r="DA94" s="625"/>
      <c r="DB94" s="128" t="e">
        <f t="shared" si="129"/>
        <v>#DIV/0!</v>
      </c>
      <c r="DC94" s="625"/>
      <c r="DD94" s="625"/>
      <c r="DE94" s="625"/>
      <c r="DF94" s="625"/>
      <c r="DG94" s="618">
        <f t="shared" si="110"/>
        <v>0</v>
      </c>
      <c r="DH94" s="618">
        <f t="shared" si="111"/>
        <v>0</v>
      </c>
      <c r="DI94" s="618">
        <f t="shared" si="112"/>
        <v>0</v>
      </c>
      <c r="DJ94" s="123"/>
    </row>
    <row r="95" spans="1:116" s="32" customFormat="1" ht="60.75" customHeight="1">
      <c r="A95" s="20">
        <f t="shared" si="130"/>
        <v>82</v>
      </c>
      <c r="B95" s="1905"/>
      <c r="C95" s="806" t="s">
        <v>117</v>
      </c>
      <c r="D95" s="749" t="s">
        <v>141</v>
      </c>
      <c r="E95" s="617">
        <v>4632024035</v>
      </c>
      <c r="F95" s="806" t="s">
        <v>8</v>
      </c>
      <c r="G95" s="752" t="s">
        <v>890</v>
      </c>
      <c r="H95" s="819">
        <f t="shared" si="136"/>
        <v>3184.0320000000002</v>
      </c>
      <c r="I95" s="819">
        <f t="shared" si="136"/>
        <v>3184.0320000000002</v>
      </c>
      <c r="J95" s="38"/>
      <c r="K95" s="38"/>
      <c r="L95" s="819">
        <f>2653.36*1.2</f>
        <v>3184.0320000000002</v>
      </c>
      <c r="M95" s="10"/>
      <c r="N95" s="622">
        <f t="shared" si="138"/>
        <v>3299.1600000000003</v>
      </c>
      <c r="O95" s="622">
        <f t="shared" si="138"/>
        <v>3299.1600000000003</v>
      </c>
      <c r="P95" s="10"/>
      <c r="Q95" s="10"/>
      <c r="R95" s="622">
        <f>2749.3*1.2</f>
        <v>3299.1600000000003</v>
      </c>
      <c r="S95" s="10"/>
      <c r="T95" s="178">
        <v>119.858</v>
      </c>
      <c r="U95" s="16"/>
      <c r="V95" s="227"/>
      <c r="W95" s="16"/>
      <c r="X95" s="16"/>
      <c r="Y95" s="16"/>
      <c r="Z95" s="35">
        <f t="shared" si="131"/>
        <v>119.858</v>
      </c>
      <c r="AA95" s="178">
        <v>69.600000000000009</v>
      </c>
      <c r="AB95" s="16"/>
      <c r="AC95" s="227"/>
      <c r="AD95" s="16"/>
      <c r="AE95" s="16"/>
      <c r="AF95" s="16"/>
      <c r="AG95" s="35">
        <f t="shared" si="132"/>
        <v>69.600000000000009</v>
      </c>
      <c r="AH95" s="35">
        <f t="shared" si="113"/>
        <v>189.45800000000003</v>
      </c>
      <c r="AI95" s="15">
        <f t="shared" si="134"/>
        <v>189.45800000000003</v>
      </c>
      <c r="AJ95" s="15">
        <f t="shared" si="134"/>
        <v>0</v>
      </c>
      <c r="AK95" s="15">
        <f t="shared" si="134"/>
        <v>0</v>
      </c>
      <c r="AL95" s="15">
        <f t="shared" si="134"/>
        <v>0</v>
      </c>
      <c r="AM95" s="15">
        <f t="shared" si="133"/>
        <v>0</v>
      </c>
      <c r="AN95" s="15"/>
      <c r="AO95" s="15">
        <f t="shared" si="85"/>
        <v>189.45800000000003</v>
      </c>
      <c r="AP95" s="15">
        <f t="shared" si="86"/>
        <v>189.45800000000003</v>
      </c>
      <c r="AQ95" s="15">
        <f t="shared" si="81"/>
        <v>189.45800000000003</v>
      </c>
      <c r="AR95" s="127">
        <f t="shared" si="114"/>
        <v>0</v>
      </c>
      <c r="AS95" s="112">
        <f t="shared" si="135"/>
        <v>603240.33465600014</v>
      </c>
      <c r="AT95" s="112">
        <f t="shared" si="135"/>
        <v>0</v>
      </c>
      <c r="AU95" s="112">
        <f t="shared" si="135"/>
        <v>0</v>
      </c>
      <c r="AV95" s="112">
        <f t="shared" si="135"/>
        <v>0</v>
      </c>
      <c r="AW95" s="112">
        <f t="shared" si="135"/>
        <v>0</v>
      </c>
      <c r="AX95" s="112">
        <f t="shared" si="115"/>
        <v>603240.33465600014</v>
      </c>
      <c r="AY95" s="112">
        <f t="shared" si="116"/>
        <v>603240.33465600014</v>
      </c>
      <c r="AZ95" s="112">
        <f t="shared" si="137"/>
        <v>625052.25528000016</v>
      </c>
      <c r="BA95" s="112">
        <f t="shared" si="137"/>
        <v>0</v>
      </c>
      <c r="BB95" s="112">
        <f t="shared" si="137"/>
        <v>0</v>
      </c>
      <c r="BC95" s="112">
        <f t="shared" si="137"/>
        <v>0</v>
      </c>
      <c r="BD95" s="112">
        <f t="shared" si="137"/>
        <v>0</v>
      </c>
      <c r="BE95" s="112">
        <f t="shared" si="117"/>
        <v>625052.25528000016</v>
      </c>
      <c r="BF95" s="112">
        <f t="shared" si="118"/>
        <v>625052.25528000016</v>
      </c>
      <c r="BG95" s="126"/>
      <c r="BH95" s="126"/>
      <c r="BI95" s="112">
        <f t="shared" si="80"/>
        <v>0</v>
      </c>
      <c r="BJ95" s="112"/>
      <c r="BK95" s="112"/>
      <c r="BL95" s="112">
        <f t="shared" si="89"/>
        <v>381631.70745600003</v>
      </c>
      <c r="BM95" s="112">
        <f t="shared" si="89"/>
        <v>0</v>
      </c>
      <c r="BN95" s="112">
        <f t="shared" si="89"/>
        <v>0</v>
      </c>
      <c r="BO95" s="112">
        <f t="shared" si="89"/>
        <v>0</v>
      </c>
      <c r="BP95" s="112">
        <f t="shared" si="89"/>
        <v>0</v>
      </c>
      <c r="BQ95" s="112">
        <f t="shared" si="119"/>
        <v>381631.70745600003</v>
      </c>
      <c r="BR95" s="112">
        <f t="shared" si="120"/>
        <v>381631.70745600003</v>
      </c>
      <c r="BS95" s="112">
        <f t="shared" si="90"/>
        <v>229621.53600000005</v>
      </c>
      <c r="BT95" s="112">
        <f t="shared" si="90"/>
        <v>0</v>
      </c>
      <c r="BU95" s="112">
        <f t="shared" si="90"/>
        <v>0</v>
      </c>
      <c r="BV95" s="112">
        <f t="shared" si="93"/>
        <v>0</v>
      </c>
      <c r="BW95" s="112">
        <f t="shared" si="94"/>
        <v>0</v>
      </c>
      <c r="BX95" s="112">
        <f t="shared" si="121"/>
        <v>229621.53600000005</v>
      </c>
      <c r="BY95" s="112">
        <f t="shared" si="122"/>
        <v>229621.53600000005</v>
      </c>
      <c r="BZ95" s="113">
        <f t="shared" si="91"/>
        <v>0</v>
      </c>
      <c r="CA95" s="113">
        <f t="shared" si="91"/>
        <v>0</v>
      </c>
      <c r="CB95" s="113">
        <f t="shared" si="123"/>
        <v>0</v>
      </c>
      <c r="CC95" s="119" t="e">
        <f t="shared" si="92"/>
        <v>#DIV/0!</v>
      </c>
      <c r="CD95" s="119" t="e">
        <f t="shared" si="92"/>
        <v>#DIV/0!</v>
      </c>
      <c r="CE95" s="119" t="e">
        <f t="shared" si="124"/>
        <v>#DIV/0!</v>
      </c>
      <c r="CF95" s="113" t="e">
        <f t="shared" si="95"/>
        <v>#DIV/0!</v>
      </c>
      <c r="CG95" s="619">
        <f t="shared" si="96"/>
        <v>0</v>
      </c>
      <c r="CH95" s="132" t="e">
        <f t="shared" si="125"/>
        <v>#DIV/0!</v>
      </c>
      <c r="CI95" s="625"/>
      <c r="CJ95" s="208">
        <f t="shared" si="97"/>
        <v>381.63170745600002</v>
      </c>
      <c r="CK95" s="208">
        <f t="shared" si="98"/>
        <v>229.62153600000005</v>
      </c>
      <c r="CL95" s="208">
        <f t="shared" si="84"/>
        <v>611.25324345600006</v>
      </c>
      <c r="CM95" s="112">
        <f t="shared" si="99"/>
        <v>611253.24345600011</v>
      </c>
      <c r="CN95" s="112">
        <f t="shared" si="100"/>
        <v>603240.33465600014</v>
      </c>
      <c r="CO95" s="112">
        <f t="shared" si="101"/>
        <v>603240.33465600014</v>
      </c>
      <c r="CP95" s="112">
        <f t="shared" si="102"/>
        <v>381631.70745600003</v>
      </c>
      <c r="CQ95" s="112">
        <f t="shared" si="103"/>
        <v>625052.25528000016</v>
      </c>
      <c r="CR95" s="112">
        <f t="shared" si="104"/>
        <v>625052.25528000016</v>
      </c>
      <c r="CS95" s="112">
        <f t="shared" si="105"/>
        <v>229621.53600000005</v>
      </c>
      <c r="CT95" s="112">
        <f t="shared" si="126"/>
        <v>1228292.5899360003</v>
      </c>
      <c r="CU95" s="124">
        <f t="shared" si="127"/>
        <v>6483192.0000000009</v>
      </c>
      <c r="CV95" s="112">
        <f t="shared" si="106"/>
        <v>0</v>
      </c>
      <c r="CW95" s="112">
        <f t="shared" si="107"/>
        <v>0</v>
      </c>
      <c r="CX95" s="112">
        <f t="shared" si="128"/>
        <v>0</v>
      </c>
      <c r="CY95" s="112">
        <f t="shared" si="108"/>
        <v>603240.33465600014</v>
      </c>
      <c r="CZ95" s="112">
        <f t="shared" si="109"/>
        <v>625052.25528000016</v>
      </c>
      <c r="DA95" s="625"/>
      <c r="DB95" s="128" t="e">
        <f t="shared" si="129"/>
        <v>#DIV/0!</v>
      </c>
      <c r="DC95" s="625"/>
      <c r="DD95" s="625"/>
      <c r="DE95" s="625"/>
      <c r="DF95" s="625"/>
      <c r="DG95" s="618">
        <f t="shared" si="110"/>
        <v>0</v>
      </c>
      <c r="DH95" s="618">
        <f t="shared" si="111"/>
        <v>0</v>
      </c>
      <c r="DI95" s="618">
        <f t="shared" si="112"/>
        <v>0</v>
      </c>
      <c r="DJ95" s="123"/>
    </row>
    <row r="96" spans="1:116" s="32" customFormat="1" ht="63.75" customHeight="1">
      <c r="A96" s="20">
        <f t="shared" si="130"/>
        <v>83</v>
      </c>
      <c r="B96" s="1964" t="s">
        <v>169</v>
      </c>
      <c r="C96" s="1896" t="s">
        <v>118</v>
      </c>
      <c r="D96" s="749" t="s">
        <v>141</v>
      </c>
      <c r="E96" s="617">
        <v>4632024035</v>
      </c>
      <c r="F96" s="806" t="s">
        <v>8</v>
      </c>
      <c r="G96" s="752" t="s">
        <v>890</v>
      </c>
      <c r="H96" s="819">
        <f t="shared" si="136"/>
        <v>3184.0320000000002</v>
      </c>
      <c r="I96" s="819">
        <f t="shared" si="136"/>
        <v>3184.0320000000002</v>
      </c>
      <c r="J96" s="38"/>
      <c r="K96" s="38"/>
      <c r="L96" s="819">
        <f>2653.36*1.2</f>
        <v>3184.0320000000002</v>
      </c>
      <c r="M96" s="10"/>
      <c r="N96" s="622">
        <f t="shared" si="138"/>
        <v>3299.1600000000003</v>
      </c>
      <c r="O96" s="622">
        <f t="shared" si="138"/>
        <v>3299.1600000000003</v>
      </c>
      <c r="P96" s="10"/>
      <c r="Q96" s="10"/>
      <c r="R96" s="622">
        <f>2749.3*1.2</f>
        <v>3299.1600000000003</v>
      </c>
      <c r="S96" s="10"/>
      <c r="T96" s="178">
        <v>659.21999999999991</v>
      </c>
      <c r="U96" s="16"/>
      <c r="V96" s="227"/>
      <c r="W96" s="16"/>
      <c r="X96" s="16"/>
      <c r="Y96" s="16"/>
      <c r="Z96" s="35">
        <f t="shared" si="131"/>
        <v>659.21999999999991</v>
      </c>
      <c r="AA96" s="178">
        <v>382.8</v>
      </c>
      <c r="AB96" s="16"/>
      <c r="AC96" s="227"/>
      <c r="AD96" s="16"/>
      <c r="AE96" s="16"/>
      <c r="AF96" s="16"/>
      <c r="AG96" s="35">
        <f t="shared" si="132"/>
        <v>382.8</v>
      </c>
      <c r="AH96" s="35">
        <f t="shared" si="113"/>
        <v>1042.02</v>
      </c>
      <c r="AI96" s="15">
        <f t="shared" si="134"/>
        <v>1042.02</v>
      </c>
      <c r="AJ96" s="15">
        <f t="shared" si="134"/>
        <v>0</v>
      </c>
      <c r="AK96" s="15">
        <f t="shared" si="134"/>
        <v>0</v>
      </c>
      <c r="AL96" s="15">
        <f t="shared" si="134"/>
        <v>0</v>
      </c>
      <c r="AM96" s="15">
        <f t="shared" si="133"/>
        <v>0</v>
      </c>
      <c r="AN96" s="15"/>
      <c r="AO96" s="15">
        <f t="shared" si="85"/>
        <v>1042.02</v>
      </c>
      <c r="AP96" s="15">
        <f t="shared" si="86"/>
        <v>1042.02</v>
      </c>
      <c r="AQ96" s="15">
        <f t="shared" si="81"/>
        <v>1042.02</v>
      </c>
      <c r="AR96" s="127">
        <f t="shared" si="114"/>
        <v>0</v>
      </c>
      <c r="AS96" s="112">
        <f t="shared" si="135"/>
        <v>3317825.02464</v>
      </c>
      <c r="AT96" s="112">
        <f t="shared" si="135"/>
        <v>0</v>
      </c>
      <c r="AU96" s="112">
        <f t="shared" si="135"/>
        <v>0</v>
      </c>
      <c r="AV96" s="112">
        <f t="shared" si="135"/>
        <v>0</v>
      </c>
      <c r="AW96" s="112">
        <f t="shared" si="135"/>
        <v>0</v>
      </c>
      <c r="AX96" s="112">
        <f t="shared" si="115"/>
        <v>3317825.02464</v>
      </c>
      <c r="AY96" s="112">
        <f t="shared" si="116"/>
        <v>3317825.02464</v>
      </c>
      <c r="AZ96" s="112">
        <f t="shared" si="137"/>
        <v>3437790.7032000003</v>
      </c>
      <c r="BA96" s="112">
        <f t="shared" si="137"/>
        <v>0</v>
      </c>
      <c r="BB96" s="112">
        <f t="shared" si="137"/>
        <v>0</v>
      </c>
      <c r="BC96" s="112">
        <f t="shared" si="137"/>
        <v>0</v>
      </c>
      <c r="BD96" s="112">
        <f t="shared" si="137"/>
        <v>0</v>
      </c>
      <c r="BE96" s="112">
        <f t="shared" si="117"/>
        <v>3437790.7032000003</v>
      </c>
      <c r="BF96" s="112">
        <f t="shared" si="118"/>
        <v>3437790.7032000003</v>
      </c>
      <c r="BG96" s="126"/>
      <c r="BH96" s="126"/>
      <c r="BI96" s="112">
        <f t="shared" si="80"/>
        <v>0</v>
      </c>
      <c r="BJ96" s="112"/>
      <c r="BK96" s="112"/>
      <c r="BL96" s="112">
        <f t="shared" si="89"/>
        <v>2098977.57504</v>
      </c>
      <c r="BM96" s="112">
        <f t="shared" si="89"/>
        <v>0</v>
      </c>
      <c r="BN96" s="112">
        <f t="shared" si="89"/>
        <v>0</v>
      </c>
      <c r="BO96" s="112">
        <f t="shared" si="89"/>
        <v>0</v>
      </c>
      <c r="BP96" s="112">
        <f t="shared" si="89"/>
        <v>0</v>
      </c>
      <c r="BQ96" s="112">
        <f t="shared" si="119"/>
        <v>2098977.57504</v>
      </c>
      <c r="BR96" s="112">
        <f t="shared" si="120"/>
        <v>2098977.57504</v>
      </c>
      <c r="BS96" s="112">
        <f t="shared" si="90"/>
        <v>1262918.4480000001</v>
      </c>
      <c r="BT96" s="112">
        <f t="shared" si="90"/>
        <v>0</v>
      </c>
      <c r="BU96" s="112">
        <f t="shared" si="90"/>
        <v>0</v>
      </c>
      <c r="BV96" s="112">
        <f t="shared" si="93"/>
        <v>0</v>
      </c>
      <c r="BW96" s="112">
        <f t="shared" si="94"/>
        <v>0</v>
      </c>
      <c r="BX96" s="112">
        <f t="shared" si="121"/>
        <v>1262918.4480000001</v>
      </c>
      <c r="BY96" s="112">
        <f t="shared" si="122"/>
        <v>1262918.4480000001</v>
      </c>
      <c r="BZ96" s="113">
        <f t="shared" si="91"/>
        <v>0</v>
      </c>
      <c r="CA96" s="113">
        <f t="shared" si="91"/>
        <v>0</v>
      </c>
      <c r="CB96" s="113">
        <f t="shared" si="123"/>
        <v>0</v>
      </c>
      <c r="CC96" s="119" t="e">
        <f t="shared" si="92"/>
        <v>#DIV/0!</v>
      </c>
      <c r="CD96" s="119" t="e">
        <f t="shared" si="92"/>
        <v>#DIV/0!</v>
      </c>
      <c r="CE96" s="119" t="e">
        <f t="shared" si="124"/>
        <v>#DIV/0!</v>
      </c>
      <c r="CF96" s="113" t="e">
        <f t="shared" si="95"/>
        <v>#DIV/0!</v>
      </c>
      <c r="CG96" s="619">
        <f t="shared" si="96"/>
        <v>0</v>
      </c>
      <c r="CH96" s="132" t="e">
        <f t="shared" si="125"/>
        <v>#DIV/0!</v>
      </c>
      <c r="CI96" s="625"/>
      <c r="CJ96" s="208">
        <f t="shared" si="97"/>
        <v>2098.9775750399999</v>
      </c>
      <c r="CK96" s="208">
        <f t="shared" si="98"/>
        <v>1262.9184480000001</v>
      </c>
      <c r="CL96" s="208">
        <f t="shared" si="84"/>
        <v>3361.8960230399998</v>
      </c>
      <c r="CM96" s="112">
        <f t="shared" si="99"/>
        <v>3361896.0230400003</v>
      </c>
      <c r="CN96" s="112">
        <f t="shared" si="100"/>
        <v>3317825.02464</v>
      </c>
      <c r="CO96" s="112">
        <f t="shared" si="101"/>
        <v>3317825.02464</v>
      </c>
      <c r="CP96" s="112">
        <f t="shared" si="102"/>
        <v>2098977.57504</v>
      </c>
      <c r="CQ96" s="112">
        <f t="shared" si="103"/>
        <v>3437790.7032000003</v>
      </c>
      <c r="CR96" s="112">
        <f t="shared" si="104"/>
        <v>3437790.7032000003</v>
      </c>
      <c r="CS96" s="112">
        <f t="shared" si="105"/>
        <v>1262918.4480000001</v>
      </c>
      <c r="CT96" s="112">
        <f t="shared" si="126"/>
        <v>6755615.7278400008</v>
      </c>
      <c r="CU96" s="124">
        <f t="shared" si="127"/>
        <v>6483192.0000000009</v>
      </c>
      <c r="CV96" s="112">
        <f t="shared" si="106"/>
        <v>0</v>
      </c>
      <c r="CW96" s="112">
        <f t="shared" si="107"/>
        <v>0</v>
      </c>
      <c r="CX96" s="112">
        <f t="shared" si="128"/>
        <v>0</v>
      </c>
      <c r="CY96" s="112">
        <f t="shared" si="108"/>
        <v>3317825.02464</v>
      </c>
      <c r="CZ96" s="112">
        <f t="shared" si="109"/>
        <v>3437790.7032000003</v>
      </c>
      <c r="DA96" s="625"/>
      <c r="DB96" s="128" t="e">
        <f t="shared" si="129"/>
        <v>#DIV/0!</v>
      </c>
      <c r="DC96" s="625"/>
      <c r="DD96" s="625"/>
      <c r="DE96" s="625"/>
      <c r="DF96" s="625"/>
      <c r="DG96" s="618">
        <f t="shared" si="110"/>
        <v>0</v>
      </c>
      <c r="DH96" s="618">
        <f t="shared" si="111"/>
        <v>0</v>
      </c>
      <c r="DI96" s="618">
        <f t="shared" si="112"/>
        <v>0</v>
      </c>
      <c r="DJ96" s="123"/>
    </row>
    <row r="97" spans="1:114" ht="72" hidden="1" customHeight="1">
      <c r="A97" s="20">
        <f t="shared" si="130"/>
        <v>84</v>
      </c>
      <c r="B97" s="1964"/>
      <c r="C97" s="1905"/>
      <c r="D97" s="696" t="s">
        <v>140</v>
      </c>
      <c r="E97" s="696">
        <v>4622005001</v>
      </c>
      <c r="F97" s="696" t="s">
        <v>8</v>
      </c>
      <c r="G97" s="760" t="s">
        <v>899</v>
      </c>
      <c r="H97" s="38">
        <v>3231.87</v>
      </c>
      <c r="I97" s="38">
        <v>3231.87</v>
      </c>
      <c r="J97" s="38">
        <v>3199.41</v>
      </c>
      <c r="K97" s="38">
        <v>0</v>
      </c>
      <c r="L97" s="38">
        <v>0</v>
      </c>
      <c r="M97" s="10">
        <v>0</v>
      </c>
      <c r="N97" s="10">
        <v>3596.04</v>
      </c>
      <c r="O97" s="10">
        <v>3596.04</v>
      </c>
      <c r="P97" s="10">
        <v>3407.05</v>
      </c>
      <c r="Q97" s="10">
        <v>0</v>
      </c>
      <c r="R97" s="10">
        <v>0</v>
      </c>
      <c r="S97" s="10">
        <v>0</v>
      </c>
      <c r="T97" s="15">
        <v>726</v>
      </c>
      <c r="U97" s="15">
        <v>82.8</v>
      </c>
      <c r="V97" s="208">
        <v>0</v>
      </c>
      <c r="W97" s="15">
        <v>0</v>
      </c>
      <c r="X97" s="15">
        <v>0</v>
      </c>
      <c r="Y97" s="15">
        <v>0</v>
      </c>
      <c r="Z97" s="35">
        <f>SUM(T97:W97)</f>
        <v>808.8</v>
      </c>
      <c r="AA97" s="15">
        <v>484</v>
      </c>
      <c r="AB97" s="15">
        <v>55.2</v>
      </c>
      <c r="AC97" s="208">
        <v>0</v>
      </c>
      <c r="AD97" s="15">
        <v>0</v>
      </c>
      <c r="AE97" s="15">
        <v>0</v>
      </c>
      <c r="AF97" s="15">
        <v>0</v>
      </c>
      <c r="AG97" s="35">
        <f t="shared" si="132"/>
        <v>539.20000000000005</v>
      </c>
      <c r="AH97" s="35">
        <f t="shared" si="113"/>
        <v>1348</v>
      </c>
      <c r="AI97" s="15">
        <f t="shared" si="134"/>
        <v>1210</v>
      </c>
      <c r="AJ97" s="15">
        <f t="shared" si="134"/>
        <v>138</v>
      </c>
      <c r="AK97" s="15">
        <f t="shared" si="134"/>
        <v>0</v>
      </c>
      <c r="AL97" s="15">
        <f t="shared" si="134"/>
        <v>0</v>
      </c>
      <c r="AM97" s="15">
        <f t="shared" si="133"/>
        <v>0</v>
      </c>
      <c r="AN97" s="15"/>
      <c r="AO97" s="15">
        <f t="shared" si="85"/>
        <v>1348</v>
      </c>
      <c r="AP97" s="15">
        <f t="shared" si="86"/>
        <v>1348</v>
      </c>
      <c r="AQ97" s="15">
        <f t="shared" si="81"/>
        <v>1348</v>
      </c>
      <c r="AR97" s="127">
        <f t="shared" si="114"/>
        <v>0</v>
      </c>
      <c r="AS97" s="112">
        <f t="shared" si="135"/>
        <v>3910562.6999999997</v>
      </c>
      <c r="AT97" s="112">
        <f t="shared" si="135"/>
        <v>441518.57999999996</v>
      </c>
      <c r="AU97" s="112">
        <f t="shared" si="135"/>
        <v>0</v>
      </c>
      <c r="AV97" s="112">
        <f t="shared" si="135"/>
        <v>0</v>
      </c>
      <c r="AW97" s="112">
        <f t="shared" si="135"/>
        <v>0</v>
      </c>
      <c r="AX97" s="112">
        <f t="shared" si="115"/>
        <v>4352081.2799999993</v>
      </c>
      <c r="AY97" s="112">
        <f t="shared" si="116"/>
        <v>4352081.2799999993</v>
      </c>
      <c r="AZ97" s="112">
        <f t="shared" si="137"/>
        <v>4351208.4000000004</v>
      </c>
      <c r="BA97" s="112">
        <f t="shared" si="137"/>
        <v>470172.9</v>
      </c>
      <c r="BB97" s="112">
        <f t="shared" si="137"/>
        <v>0</v>
      </c>
      <c r="BC97" s="112">
        <f t="shared" si="137"/>
        <v>0</v>
      </c>
      <c r="BD97" s="112">
        <f t="shared" si="137"/>
        <v>0</v>
      </c>
      <c r="BE97" s="112">
        <f t="shared" si="117"/>
        <v>4821381.3000000007</v>
      </c>
      <c r="BF97" s="112">
        <f t="shared" si="118"/>
        <v>4821381.3000000007</v>
      </c>
      <c r="BG97" s="112">
        <v>0</v>
      </c>
      <c r="BH97" s="112">
        <v>0</v>
      </c>
      <c r="BI97" s="112">
        <f t="shared" si="80"/>
        <v>0</v>
      </c>
      <c r="BJ97" s="112">
        <v>4539.8</v>
      </c>
      <c r="BK97" s="112">
        <v>6569.21</v>
      </c>
      <c r="BL97" s="112">
        <f t="shared" si="89"/>
        <v>2346337.62</v>
      </c>
      <c r="BM97" s="112">
        <f t="shared" si="89"/>
        <v>264911.14799999999</v>
      </c>
      <c r="BN97" s="112">
        <f t="shared" si="89"/>
        <v>0</v>
      </c>
      <c r="BO97" s="112">
        <f t="shared" si="89"/>
        <v>0</v>
      </c>
      <c r="BP97" s="112">
        <f t="shared" si="89"/>
        <v>0</v>
      </c>
      <c r="BQ97" s="112">
        <f t="shared" si="119"/>
        <v>2611248.7680000002</v>
      </c>
      <c r="BR97" s="112">
        <f t="shared" si="120"/>
        <v>2611248.7680000002</v>
      </c>
      <c r="BS97" s="112">
        <f t="shared" si="90"/>
        <v>1740483.3599999999</v>
      </c>
      <c r="BT97" s="112">
        <f t="shared" si="90"/>
        <v>188069.16000000003</v>
      </c>
      <c r="BU97" s="112">
        <f t="shared" si="90"/>
        <v>0</v>
      </c>
      <c r="BV97" s="112">
        <f t="shared" si="93"/>
        <v>0</v>
      </c>
      <c r="BW97" s="112">
        <f t="shared" si="94"/>
        <v>0</v>
      </c>
      <c r="BX97" s="112">
        <f t="shared" si="121"/>
        <v>1928552.52</v>
      </c>
      <c r="BY97" s="112">
        <f t="shared" si="122"/>
        <v>1928552.52</v>
      </c>
      <c r="BZ97" s="113">
        <f t="shared" si="91"/>
        <v>452980.30800000002</v>
      </c>
      <c r="CA97" s="113">
        <f t="shared" si="91"/>
        <v>0</v>
      </c>
      <c r="CB97" s="113">
        <f t="shared" si="123"/>
        <v>452980.30800000002</v>
      </c>
      <c r="CC97" s="119">
        <f t="shared" si="92"/>
        <v>3282.4660000000003</v>
      </c>
      <c r="CD97" s="119" t="e">
        <f t="shared" si="92"/>
        <v>#DIV/0!</v>
      </c>
      <c r="CE97" s="119">
        <f t="shared" si="124"/>
        <v>3282.4660000000003</v>
      </c>
      <c r="CF97" s="113">
        <f t="shared" si="95"/>
        <v>3282.4660000000003</v>
      </c>
      <c r="CG97" s="619">
        <f t="shared" si="96"/>
        <v>466100.24400000001</v>
      </c>
      <c r="CH97" s="132">
        <f t="shared" si="125"/>
        <v>3377.538</v>
      </c>
      <c r="CI97" s="106"/>
      <c r="CJ97" s="112">
        <f t="shared" si="97"/>
        <v>2613.9364559999999</v>
      </c>
      <c r="CK97" s="112">
        <f t="shared" si="98"/>
        <v>1938.9847680000003</v>
      </c>
      <c r="CL97" s="112">
        <f t="shared" si="84"/>
        <v>4552.9212239999997</v>
      </c>
      <c r="CM97" s="112">
        <f t="shared" si="99"/>
        <v>4552921.2239999995</v>
      </c>
      <c r="CN97" s="112">
        <f t="shared" si="100"/>
        <v>4352081.2799999993</v>
      </c>
      <c r="CO97" s="112">
        <f t="shared" si="101"/>
        <v>4352081.2799999993</v>
      </c>
      <c r="CP97" s="112">
        <f t="shared" si="102"/>
        <v>2611248.7680000002</v>
      </c>
      <c r="CQ97" s="112">
        <f t="shared" si="103"/>
        <v>4821381.3000000007</v>
      </c>
      <c r="CR97" s="112">
        <f t="shared" si="104"/>
        <v>4821381.3000000007</v>
      </c>
      <c r="CS97" s="112">
        <f t="shared" si="105"/>
        <v>1928552.52</v>
      </c>
      <c r="CT97" s="112">
        <f t="shared" si="126"/>
        <v>9173462.5800000001</v>
      </c>
      <c r="CU97" s="124">
        <f t="shared" si="127"/>
        <v>6805239.3026706232</v>
      </c>
      <c r="CV97" s="112">
        <f t="shared" si="106"/>
        <v>441518.57999999996</v>
      </c>
      <c r="CW97" s="112">
        <f t="shared" si="107"/>
        <v>470172.9</v>
      </c>
      <c r="CX97" s="112">
        <f t="shared" si="128"/>
        <v>911691.48</v>
      </c>
      <c r="CY97" s="112">
        <f t="shared" si="108"/>
        <v>4356560.76</v>
      </c>
      <c r="CZ97" s="112">
        <f t="shared" si="109"/>
        <v>4847461.92</v>
      </c>
      <c r="DA97" s="106"/>
      <c r="DB97" s="128">
        <f t="shared" si="129"/>
        <v>112.39697319193228</v>
      </c>
      <c r="DC97" s="106"/>
      <c r="DD97" s="106"/>
      <c r="DE97" s="106"/>
      <c r="DF97" s="106"/>
      <c r="DG97" s="618">
        <f t="shared" si="110"/>
        <v>0</v>
      </c>
      <c r="DH97" s="618">
        <f t="shared" si="111"/>
        <v>0</v>
      </c>
      <c r="DI97" s="618">
        <f t="shared" si="112"/>
        <v>0</v>
      </c>
      <c r="DJ97" s="106"/>
    </row>
    <row r="98" spans="1:114" s="792" customFormat="1" ht="75" hidden="1" customHeight="1">
      <c r="A98" s="781">
        <f t="shared" si="130"/>
        <v>85</v>
      </c>
      <c r="B98" s="782" t="s">
        <v>34</v>
      </c>
      <c r="C98" s="782" t="s">
        <v>66</v>
      </c>
      <c r="D98" s="783" t="s">
        <v>35</v>
      </c>
      <c r="E98" s="783">
        <v>4623002116</v>
      </c>
      <c r="F98" s="783" t="s">
        <v>8</v>
      </c>
      <c r="G98" s="784" t="s">
        <v>884</v>
      </c>
      <c r="H98" s="785">
        <v>3082.65</v>
      </c>
      <c r="I98" s="785">
        <v>3082.65</v>
      </c>
      <c r="J98" s="785">
        <v>3082.65</v>
      </c>
      <c r="K98" s="785"/>
      <c r="L98" s="785">
        <v>3082.65</v>
      </c>
      <c r="M98" s="785"/>
      <c r="N98" s="785">
        <v>3193.85</v>
      </c>
      <c r="O98" s="785">
        <v>3193.85</v>
      </c>
      <c r="P98" s="785">
        <v>3193.85</v>
      </c>
      <c r="Q98" s="785"/>
      <c r="R98" s="785">
        <v>3193.85</v>
      </c>
      <c r="S98" s="785"/>
      <c r="T98" s="797">
        <f>4855.8-T99-T100</f>
        <v>2547.7000000000003</v>
      </c>
      <c r="U98" s="797">
        <v>24.8</v>
      </c>
      <c r="V98" s="797">
        <v>0</v>
      </c>
      <c r="W98" s="797">
        <v>30.2</v>
      </c>
      <c r="X98" s="797"/>
      <c r="Y98" s="797"/>
      <c r="Z98" s="798">
        <f t="shared" si="131"/>
        <v>2602.7000000000003</v>
      </c>
      <c r="AA98" s="797">
        <f>3511-AA99-AA100</f>
        <v>1638.8000000000002</v>
      </c>
      <c r="AB98" s="797">
        <v>18.7</v>
      </c>
      <c r="AC98" s="797">
        <v>0</v>
      </c>
      <c r="AD98" s="797">
        <v>26.8</v>
      </c>
      <c r="AE98" s="797"/>
      <c r="AF98" s="797">
        <v>0</v>
      </c>
      <c r="AG98" s="798">
        <f t="shared" si="132"/>
        <v>1684.3000000000002</v>
      </c>
      <c r="AH98" s="798">
        <f t="shared" si="113"/>
        <v>4287</v>
      </c>
      <c r="AI98" s="797">
        <f t="shared" si="134"/>
        <v>4186.5</v>
      </c>
      <c r="AJ98" s="797">
        <f t="shared" si="134"/>
        <v>43.5</v>
      </c>
      <c r="AK98" s="797">
        <f t="shared" si="134"/>
        <v>0</v>
      </c>
      <c r="AL98" s="797">
        <f t="shared" si="134"/>
        <v>57</v>
      </c>
      <c r="AM98" s="797">
        <f t="shared" si="133"/>
        <v>0</v>
      </c>
      <c r="AN98" s="797"/>
      <c r="AO98" s="797">
        <f t="shared" si="85"/>
        <v>4287</v>
      </c>
      <c r="AP98" s="797">
        <f t="shared" si="86"/>
        <v>4287</v>
      </c>
      <c r="AQ98" s="799">
        <f t="shared" si="81"/>
        <v>4287</v>
      </c>
      <c r="AR98" s="787">
        <f t="shared" si="114"/>
        <v>0</v>
      </c>
      <c r="AS98" s="786">
        <f t="shared" si="135"/>
        <v>12905514.225</v>
      </c>
      <c r="AT98" s="786">
        <f t="shared" si="135"/>
        <v>134095.27499999999</v>
      </c>
      <c r="AU98" s="786">
        <f t="shared" si="135"/>
        <v>0</v>
      </c>
      <c r="AV98" s="786">
        <f t="shared" si="135"/>
        <v>175711.05000000002</v>
      </c>
      <c r="AW98" s="786">
        <f t="shared" si="135"/>
        <v>0</v>
      </c>
      <c r="AX98" s="786">
        <f t="shared" si="115"/>
        <v>13215320.550000001</v>
      </c>
      <c r="AY98" s="786">
        <f t="shared" si="116"/>
        <v>13215320.550000001</v>
      </c>
      <c r="AZ98" s="786">
        <f t="shared" si="137"/>
        <v>13371053.025</v>
      </c>
      <c r="BA98" s="786">
        <f t="shared" si="137"/>
        <v>138932.47500000001</v>
      </c>
      <c r="BB98" s="786">
        <f t="shared" si="137"/>
        <v>0</v>
      </c>
      <c r="BC98" s="786">
        <f t="shared" si="137"/>
        <v>182049.44999999998</v>
      </c>
      <c r="BD98" s="786">
        <f t="shared" si="137"/>
        <v>0</v>
      </c>
      <c r="BE98" s="786">
        <f t="shared" si="117"/>
        <v>13692034.949999999</v>
      </c>
      <c r="BF98" s="786">
        <f t="shared" si="118"/>
        <v>13692034.949999999</v>
      </c>
      <c r="BG98" s="786">
        <v>0</v>
      </c>
      <c r="BH98" s="786">
        <v>0</v>
      </c>
      <c r="BI98" s="786">
        <f t="shared" si="80"/>
        <v>0</v>
      </c>
      <c r="BJ98" s="786">
        <v>26497.19</v>
      </c>
      <c r="BK98" s="786">
        <v>27529.4</v>
      </c>
      <c r="BL98" s="786">
        <f t="shared" si="89"/>
        <v>7853667.4050000012</v>
      </c>
      <c r="BM98" s="786">
        <f t="shared" si="89"/>
        <v>76449.72</v>
      </c>
      <c r="BN98" s="786">
        <f t="shared" si="89"/>
        <v>0</v>
      </c>
      <c r="BO98" s="786">
        <f t="shared" si="89"/>
        <v>93096.03</v>
      </c>
      <c r="BP98" s="786">
        <f t="shared" si="89"/>
        <v>0</v>
      </c>
      <c r="BQ98" s="786">
        <f t="shared" si="119"/>
        <v>8023213.1550000012</v>
      </c>
      <c r="BR98" s="786">
        <f t="shared" si="120"/>
        <v>8023213.1550000012</v>
      </c>
      <c r="BS98" s="786">
        <f t="shared" si="90"/>
        <v>5234081.3800000008</v>
      </c>
      <c r="BT98" s="786">
        <f t="shared" si="90"/>
        <v>59724.994999999995</v>
      </c>
      <c r="BU98" s="786">
        <f t="shared" si="90"/>
        <v>0</v>
      </c>
      <c r="BV98" s="786">
        <f t="shared" si="93"/>
        <v>96454.26999999999</v>
      </c>
      <c r="BW98" s="786">
        <f t="shared" si="94"/>
        <v>0</v>
      </c>
      <c r="BX98" s="786">
        <f t="shared" si="121"/>
        <v>5390260.6450000005</v>
      </c>
      <c r="BY98" s="786">
        <f t="shared" si="122"/>
        <v>5390260.6450000005</v>
      </c>
      <c r="BZ98" s="788">
        <f t="shared" si="91"/>
        <v>136174.715</v>
      </c>
      <c r="CA98" s="788">
        <f t="shared" si="91"/>
        <v>0</v>
      </c>
      <c r="CB98" s="788">
        <f t="shared" si="123"/>
        <v>136174.715</v>
      </c>
      <c r="CC98" s="789">
        <f t="shared" si="92"/>
        <v>3130.4532183908045</v>
      </c>
      <c r="CD98" s="789" t="e">
        <f t="shared" si="92"/>
        <v>#DIV/0!</v>
      </c>
      <c r="CE98" s="789">
        <f t="shared" si="124"/>
        <v>3130.4532183908045</v>
      </c>
      <c r="CF98" s="789">
        <f t="shared" si="95"/>
        <v>3130.4532183908045</v>
      </c>
      <c r="CG98" s="790">
        <f t="shared" si="96"/>
        <v>136174.715</v>
      </c>
      <c r="CH98" s="791">
        <f t="shared" si="125"/>
        <v>3130.4532183908045</v>
      </c>
      <c r="CJ98" s="786">
        <f t="shared" si="97"/>
        <v>8023.2131550000013</v>
      </c>
      <c r="CK98" s="786">
        <f t="shared" si="98"/>
        <v>5379.4015550000004</v>
      </c>
      <c r="CL98" s="786">
        <f t="shared" si="84"/>
        <v>13402.614710000002</v>
      </c>
      <c r="CM98" s="786">
        <f t="shared" si="99"/>
        <v>13402614.710000001</v>
      </c>
      <c r="CN98" s="786">
        <f t="shared" si="100"/>
        <v>13215320.550000001</v>
      </c>
      <c r="CO98" s="786">
        <f t="shared" si="101"/>
        <v>13215320.550000001</v>
      </c>
      <c r="CP98" s="786">
        <f t="shared" si="102"/>
        <v>8023213.1550000012</v>
      </c>
      <c r="CQ98" s="786">
        <f t="shared" si="103"/>
        <v>13692034.949999999</v>
      </c>
      <c r="CR98" s="786">
        <f t="shared" si="104"/>
        <v>13692034.949999999</v>
      </c>
      <c r="CS98" s="786">
        <f t="shared" si="105"/>
        <v>5379401.5550000006</v>
      </c>
      <c r="CT98" s="786">
        <f t="shared" si="126"/>
        <v>26907355.5</v>
      </c>
      <c r="CU98" s="793">
        <f t="shared" si="127"/>
        <v>6276500</v>
      </c>
      <c r="CV98" s="786">
        <f t="shared" si="106"/>
        <v>134095.27499999999</v>
      </c>
      <c r="CW98" s="786">
        <f t="shared" si="107"/>
        <v>138932.47500000001</v>
      </c>
      <c r="CX98" s="786">
        <f t="shared" si="128"/>
        <v>273027.75</v>
      </c>
      <c r="CY98" s="786">
        <f t="shared" si="108"/>
        <v>13215320.550000001</v>
      </c>
      <c r="CZ98" s="786">
        <f t="shared" si="109"/>
        <v>13692034.949999999</v>
      </c>
      <c r="DB98" s="794">
        <f t="shared" si="129"/>
        <v>103.60728593904594</v>
      </c>
      <c r="DG98" s="795">
        <f t="shared" si="110"/>
        <v>0</v>
      </c>
      <c r="DH98" s="795">
        <f t="shared" si="111"/>
        <v>0</v>
      </c>
      <c r="DI98" s="795">
        <f t="shared" si="112"/>
        <v>0</v>
      </c>
    </row>
    <row r="99" spans="1:114" s="792" customFormat="1" ht="75" hidden="1" customHeight="1">
      <c r="A99" s="781"/>
      <c r="B99" s="782" t="s">
        <v>34</v>
      </c>
      <c r="C99" s="782" t="s">
        <v>913</v>
      </c>
      <c r="D99" s="783" t="s">
        <v>35</v>
      </c>
      <c r="E99" s="783">
        <v>4623002116</v>
      </c>
      <c r="F99" s="783" t="s">
        <v>8</v>
      </c>
      <c r="G99" s="784" t="s">
        <v>884</v>
      </c>
      <c r="H99" s="796">
        <v>3082.65</v>
      </c>
      <c r="I99" s="796">
        <v>3082.65</v>
      </c>
      <c r="J99" s="796">
        <v>3082.65</v>
      </c>
      <c r="K99" s="796"/>
      <c r="L99" s="796">
        <v>3082.65</v>
      </c>
      <c r="M99" s="796"/>
      <c r="N99" s="796">
        <v>3193.85</v>
      </c>
      <c r="O99" s="796">
        <v>3193.85</v>
      </c>
      <c r="P99" s="796">
        <v>3193.85</v>
      </c>
      <c r="Q99" s="796"/>
      <c r="R99" s="796">
        <v>3193.85</v>
      </c>
      <c r="S99" s="796"/>
      <c r="T99" s="797">
        <v>1669.1</v>
      </c>
      <c r="U99" s="797">
        <v>0</v>
      </c>
      <c r="V99" s="797">
        <v>0</v>
      </c>
      <c r="W99" s="797">
        <v>0</v>
      </c>
      <c r="X99" s="797"/>
      <c r="Y99" s="797"/>
      <c r="Z99" s="798">
        <f t="shared" si="131"/>
        <v>1669.1</v>
      </c>
      <c r="AA99" s="797">
        <v>1232.5999999999999</v>
      </c>
      <c r="AB99" s="797">
        <v>0</v>
      </c>
      <c r="AC99" s="797">
        <v>0</v>
      </c>
      <c r="AD99" s="797">
        <v>0</v>
      </c>
      <c r="AE99" s="797">
        <v>0</v>
      </c>
      <c r="AF99" s="797"/>
      <c r="AG99" s="798">
        <f t="shared" si="132"/>
        <v>1232.5999999999999</v>
      </c>
      <c r="AH99" s="798">
        <f t="shared" si="113"/>
        <v>2901.7</v>
      </c>
      <c r="AI99" s="797">
        <f t="shared" si="134"/>
        <v>2901.7</v>
      </c>
      <c r="AJ99" s="797">
        <f t="shared" si="134"/>
        <v>0</v>
      </c>
      <c r="AK99" s="797">
        <f t="shared" si="134"/>
        <v>0</v>
      </c>
      <c r="AL99" s="797">
        <f t="shared" si="134"/>
        <v>0</v>
      </c>
      <c r="AM99" s="797">
        <f t="shared" si="133"/>
        <v>0</v>
      </c>
      <c r="AN99" s="797"/>
      <c r="AO99" s="797">
        <f>SUM(AI99:AN99)</f>
        <v>2901.7</v>
      </c>
      <c r="AP99" s="797">
        <f>SUM(AI99:AM99)</f>
        <v>2901.7</v>
      </c>
      <c r="AQ99" s="799">
        <f>SUM(AI99:AL99)</f>
        <v>2901.7</v>
      </c>
      <c r="AR99" s="787"/>
      <c r="AS99" s="786">
        <f t="shared" si="135"/>
        <v>8944925.504999999</v>
      </c>
      <c r="AT99" s="786"/>
      <c r="AU99" s="786"/>
      <c r="AV99" s="786"/>
      <c r="AW99" s="786"/>
      <c r="AX99" s="786"/>
      <c r="AY99" s="786"/>
      <c r="AZ99" s="786">
        <f t="shared" si="137"/>
        <v>9267594.5449999999</v>
      </c>
      <c r="BA99" s="786"/>
      <c r="BB99" s="786"/>
      <c r="BC99" s="786"/>
      <c r="BD99" s="786"/>
      <c r="BE99" s="786"/>
      <c r="BF99" s="786"/>
      <c r="BG99" s="786"/>
      <c r="BH99" s="786"/>
      <c r="BI99" s="786"/>
      <c r="BJ99" s="786"/>
      <c r="BK99" s="786"/>
      <c r="BL99" s="786">
        <f t="shared" si="89"/>
        <v>5145251.1150000002</v>
      </c>
      <c r="BM99" s="786"/>
      <c r="BN99" s="786"/>
      <c r="BO99" s="786"/>
      <c r="BP99" s="786"/>
      <c r="BQ99" s="786"/>
      <c r="BR99" s="786"/>
      <c r="BS99" s="786">
        <f t="shared" si="90"/>
        <v>3936739.51</v>
      </c>
      <c r="BT99" s="786"/>
      <c r="BU99" s="786"/>
      <c r="BV99" s="786"/>
      <c r="BW99" s="786"/>
      <c r="BX99" s="786"/>
      <c r="BY99" s="786"/>
      <c r="BZ99" s="788"/>
      <c r="CA99" s="788"/>
      <c r="CB99" s="788"/>
      <c r="CC99" s="789"/>
      <c r="CD99" s="789"/>
      <c r="CE99" s="789"/>
      <c r="CF99" s="789"/>
      <c r="CG99" s="790"/>
      <c r="CH99" s="791"/>
      <c r="CJ99" s="786"/>
      <c r="CK99" s="786"/>
      <c r="CL99" s="786"/>
      <c r="CM99" s="786"/>
      <c r="CN99" s="786"/>
      <c r="CO99" s="786"/>
      <c r="CP99" s="786"/>
      <c r="CQ99" s="786"/>
      <c r="CR99" s="786"/>
      <c r="CS99" s="786"/>
      <c r="CT99" s="786"/>
      <c r="CU99" s="793"/>
      <c r="CV99" s="786"/>
      <c r="CW99" s="786"/>
      <c r="CX99" s="786"/>
      <c r="CY99" s="786"/>
      <c r="CZ99" s="786"/>
      <c r="DB99" s="794"/>
      <c r="DG99" s="795"/>
      <c r="DH99" s="795"/>
      <c r="DI99" s="795"/>
    </row>
    <row r="100" spans="1:114" s="792" customFormat="1" ht="75" hidden="1" customHeight="1">
      <c r="A100" s="781"/>
      <c r="B100" s="782" t="s">
        <v>34</v>
      </c>
      <c r="C100" s="782" t="s">
        <v>912</v>
      </c>
      <c r="D100" s="783" t="s">
        <v>35</v>
      </c>
      <c r="E100" s="783">
        <v>4623002116</v>
      </c>
      <c r="F100" s="783" t="s">
        <v>8</v>
      </c>
      <c r="G100" s="784" t="s">
        <v>884</v>
      </c>
      <c r="H100" s="796">
        <v>3082.65</v>
      </c>
      <c r="I100" s="796">
        <v>3082.65</v>
      </c>
      <c r="J100" s="796">
        <v>3082.65</v>
      </c>
      <c r="K100" s="796"/>
      <c r="L100" s="796">
        <v>3082.65</v>
      </c>
      <c r="M100" s="796"/>
      <c r="N100" s="796">
        <v>3193.85</v>
      </c>
      <c r="O100" s="796">
        <v>3193.85</v>
      </c>
      <c r="P100" s="796">
        <v>3193.85</v>
      </c>
      <c r="Q100" s="796"/>
      <c r="R100" s="796">
        <v>3193.85</v>
      </c>
      <c r="S100" s="796"/>
      <c r="T100" s="797">
        <v>639</v>
      </c>
      <c r="U100" s="797">
        <v>0</v>
      </c>
      <c r="V100" s="797">
        <v>0</v>
      </c>
      <c r="W100" s="797">
        <v>0</v>
      </c>
      <c r="X100" s="797"/>
      <c r="Y100" s="797"/>
      <c r="Z100" s="798">
        <f t="shared" si="131"/>
        <v>639</v>
      </c>
      <c r="AA100" s="797">
        <v>639.6</v>
      </c>
      <c r="AB100" s="797">
        <v>0</v>
      </c>
      <c r="AC100" s="797">
        <v>0</v>
      </c>
      <c r="AD100" s="797">
        <v>0</v>
      </c>
      <c r="AE100" s="797"/>
      <c r="AF100" s="797"/>
      <c r="AG100" s="798">
        <f t="shared" si="132"/>
        <v>639.6</v>
      </c>
      <c r="AH100" s="798">
        <f t="shared" si="113"/>
        <v>1278.5999999999999</v>
      </c>
      <c r="AI100" s="797">
        <f t="shared" si="134"/>
        <v>1278.5999999999999</v>
      </c>
      <c r="AJ100" s="797">
        <f t="shared" si="134"/>
        <v>0</v>
      </c>
      <c r="AK100" s="797">
        <f t="shared" si="134"/>
        <v>0</v>
      </c>
      <c r="AL100" s="797">
        <f t="shared" si="134"/>
        <v>0</v>
      </c>
      <c r="AM100" s="797">
        <f t="shared" si="133"/>
        <v>0</v>
      </c>
      <c r="AN100" s="797"/>
      <c r="AO100" s="797">
        <f>SUM(AI100:AN100)</f>
        <v>1278.5999999999999</v>
      </c>
      <c r="AP100" s="797">
        <f>SUM(AI100:AM100)</f>
        <v>1278.5999999999999</v>
      </c>
      <c r="AQ100" s="799">
        <f>SUM(AI100:AL100)</f>
        <v>1278.5999999999999</v>
      </c>
      <c r="AR100" s="787"/>
      <c r="AS100" s="786"/>
      <c r="AT100" s="786"/>
      <c r="AU100" s="786"/>
      <c r="AV100" s="786"/>
      <c r="AW100" s="786"/>
      <c r="AX100" s="786"/>
      <c r="AY100" s="786"/>
      <c r="AZ100" s="786"/>
      <c r="BA100" s="786"/>
      <c r="BB100" s="786"/>
      <c r="BC100" s="786"/>
      <c r="BD100" s="786"/>
      <c r="BE100" s="786"/>
      <c r="BF100" s="786"/>
      <c r="BG100" s="786"/>
      <c r="BH100" s="786"/>
      <c r="BI100" s="786"/>
      <c r="BJ100" s="786"/>
      <c r="BK100" s="786"/>
      <c r="BL100" s="786"/>
      <c r="BM100" s="786"/>
      <c r="BN100" s="786"/>
      <c r="BO100" s="786"/>
      <c r="BP100" s="786"/>
      <c r="BQ100" s="786"/>
      <c r="BR100" s="786"/>
      <c r="BS100" s="786"/>
      <c r="BT100" s="786"/>
      <c r="BU100" s="786"/>
      <c r="BV100" s="786"/>
      <c r="BW100" s="786"/>
      <c r="BX100" s="786"/>
      <c r="BY100" s="786"/>
      <c r="BZ100" s="788"/>
      <c r="CA100" s="788"/>
      <c r="CB100" s="788"/>
      <c r="CC100" s="789"/>
      <c r="CD100" s="789"/>
      <c r="CE100" s="789"/>
      <c r="CF100" s="789"/>
      <c r="CG100" s="790"/>
      <c r="CH100" s="791"/>
      <c r="CJ100" s="786"/>
      <c r="CK100" s="786"/>
      <c r="CL100" s="786"/>
      <c r="CM100" s="786"/>
      <c r="CN100" s="786"/>
      <c r="CO100" s="786"/>
      <c r="CP100" s="786"/>
      <c r="CQ100" s="786"/>
      <c r="CR100" s="786"/>
      <c r="CS100" s="786"/>
      <c r="CT100" s="786"/>
      <c r="CU100" s="793"/>
      <c r="CV100" s="786"/>
      <c r="CW100" s="786"/>
      <c r="CX100" s="786"/>
      <c r="CY100" s="786"/>
      <c r="CZ100" s="786"/>
      <c r="DB100" s="794"/>
      <c r="DG100" s="795"/>
      <c r="DH100" s="795"/>
      <c r="DI100" s="795"/>
    </row>
    <row r="101" spans="1:114" s="32" customFormat="1" ht="67.5" customHeight="1">
      <c r="A101" s="20">
        <f>A98+1</f>
        <v>86</v>
      </c>
      <c r="B101" s="22" t="s">
        <v>36</v>
      </c>
      <c r="C101" s="22" t="s">
        <v>119</v>
      </c>
      <c r="D101" s="749" t="s">
        <v>146</v>
      </c>
      <c r="E101" s="617">
        <v>4632024035</v>
      </c>
      <c r="F101" s="806" t="s">
        <v>8</v>
      </c>
      <c r="G101" s="752" t="s">
        <v>890</v>
      </c>
      <c r="H101" s="819">
        <f>2653.36*1.2</f>
        <v>3184.0320000000002</v>
      </c>
      <c r="I101" s="819">
        <f>2653.36*1.2</f>
        <v>3184.0320000000002</v>
      </c>
      <c r="J101" s="38">
        <v>2103.35</v>
      </c>
      <c r="K101" s="38"/>
      <c r="L101" s="819">
        <f>2653.36*1.2</f>
        <v>3184.0320000000002</v>
      </c>
      <c r="M101" s="38"/>
      <c r="N101" s="622">
        <f>2749.3*1.2</f>
        <v>3299.1600000000003</v>
      </c>
      <c r="O101" s="622">
        <f>2749.3*1.2</f>
        <v>3299.1600000000003</v>
      </c>
      <c r="P101" s="38">
        <v>2239.86</v>
      </c>
      <c r="Q101" s="38"/>
      <c r="R101" s="622">
        <f>2749.3*1.2</f>
        <v>3299.1600000000003</v>
      </c>
      <c r="S101" s="38"/>
      <c r="T101" s="648">
        <v>2289.1999999999998</v>
      </c>
      <c r="U101" s="650">
        <v>62.4</v>
      </c>
      <c r="V101" s="227"/>
      <c r="W101" s="16"/>
      <c r="X101" s="16"/>
      <c r="Y101" s="16"/>
      <c r="Z101" s="178">
        <f t="shared" si="131"/>
        <v>2351.6</v>
      </c>
      <c r="AA101" s="178">
        <v>1329.3000000000002</v>
      </c>
      <c r="AB101" s="16">
        <v>46.8</v>
      </c>
      <c r="AC101" s="227"/>
      <c r="AD101" s="16"/>
      <c r="AE101" s="16"/>
      <c r="AF101" s="16"/>
      <c r="AG101" s="178">
        <f t="shared" si="132"/>
        <v>1376.1000000000001</v>
      </c>
      <c r="AH101" s="178">
        <f t="shared" si="113"/>
        <v>3727.7</v>
      </c>
      <c r="AI101" s="16">
        <f t="shared" si="134"/>
        <v>3618.5</v>
      </c>
      <c r="AJ101" s="16">
        <f t="shared" si="134"/>
        <v>109.19999999999999</v>
      </c>
      <c r="AK101" s="16">
        <f t="shared" si="134"/>
        <v>0</v>
      </c>
      <c r="AL101" s="16">
        <f t="shared" si="134"/>
        <v>0</v>
      </c>
      <c r="AM101" s="16">
        <f t="shared" si="133"/>
        <v>0</v>
      </c>
      <c r="AN101" s="16"/>
      <c r="AO101" s="16">
        <f t="shared" si="85"/>
        <v>3727.7</v>
      </c>
      <c r="AP101" s="16">
        <f t="shared" si="86"/>
        <v>3727.7</v>
      </c>
      <c r="AQ101" s="16">
        <f t="shared" si="81"/>
        <v>3727.7</v>
      </c>
      <c r="AR101" s="127">
        <f t="shared" si="114"/>
        <v>0</v>
      </c>
      <c r="AS101" s="112">
        <f t="shared" si="135"/>
        <v>11521419.792000001</v>
      </c>
      <c r="AT101" s="112">
        <f t="shared" si="135"/>
        <v>229685.81999999998</v>
      </c>
      <c r="AU101" s="112">
        <f t="shared" si="135"/>
        <v>0</v>
      </c>
      <c r="AV101" s="112">
        <f t="shared" si="135"/>
        <v>0</v>
      </c>
      <c r="AW101" s="112">
        <f t="shared" si="135"/>
        <v>0</v>
      </c>
      <c r="AX101" s="112">
        <f t="shared" si="115"/>
        <v>11751105.612000002</v>
      </c>
      <c r="AY101" s="112">
        <f t="shared" si="116"/>
        <v>11751105.612000002</v>
      </c>
      <c r="AZ101" s="112">
        <f t="shared" si="137"/>
        <v>11938010.460000001</v>
      </c>
      <c r="BA101" s="112">
        <f t="shared" si="137"/>
        <v>244592.712</v>
      </c>
      <c r="BB101" s="112">
        <f t="shared" si="137"/>
        <v>0</v>
      </c>
      <c r="BC101" s="112">
        <f t="shared" si="137"/>
        <v>0</v>
      </c>
      <c r="BD101" s="112">
        <f t="shared" si="137"/>
        <v>0</v>
      </c>
      <c r="BE101" s="112">
        <f t="shared" si="117"/>
        <v>12182603.172</v>
      </c>
      <c r="BF101" s="112">
        <f t="shared" si="118"/>
        <v>12182603.172</v>
      </c>
      <c r="BG101" s="623">
        <f>(I101-J101)/1.2*U101/1000</f>
        <v>56.195464000000015</v>
      </c>
      <c r="BH101" s="624">
        <f>(O101-P101)/1.2*AB101/1000</f>
        <v>41.312700000000014</v>
      </c>
      <c r="BI101" s="623">
        <f t="shared" si="80"/>
        <v>97.508164000000022</v>
      </c>
      <c r="BJ101" s="169"/>
      <c r="BK101" s="169"/>
      <c r="BL101" s="112">
        <f t="shared" si="89"/>
        <v>7288886.0543999998</v>
      </c>
      <c r="BM101" s="112">
        <f t="shared" si="89"/>
        <v>131249.03999999998</v>
      </c>
      <c r="BN101" s="112">
        <f t="shared" si="89"/>
        <v>0</v>
      </c>
      <c r="BO101" s="112">
        <f t="shared" si="89"/>
        <v>0</v>
      </c>
      <c r="BP101" s="112">
        <f t="shared" si="89"/>
        <v>0</v>
      </c>
      <c r="BQ101" s="112">
        <f t="shared" si="119"/>
        <v>7420135.0943999998</v>
      </c>
      <c r="BR101" s="112">
        <f t="shared" si="120"/>
        <v>7420135.0943999998</v>
      </c>
      <c r="BS101" s="112">
        <f t="shared" si="90"/>
        <v>4385573.3880000012</v>
      </c>
      <c r="BT101" s="112">
        <f t="shared" si="90"/>
        <v>104825.448</v>
      </c>
      <c r="BU101" s="112">
        <f t="shared" si="90"/>
        <v>0</v>
      </c>
      <c r="BV101" s="112">
        <f t="shared" si="93"/>
        <v>0</v>
      </c>
      <c r="BW101" s="112">
        <f t="shared" si="94"/>
        <v>0</v>
      </c>
      <c r="BX101" s="112">
        <f t="shared" si="121"/>
        <v>4490398.8360000011</v>
      </c>
      <c r="BY101" s="112">
        <f t="shared" si="122"/>
        <v>4490398.8360000011</v>
      </c>
      <c r="BZ101" s="113">
        <f t="shared" si="91"/>
        <v>236074.48799999998</v>
      </c>
      <c r="CA101" s="113">
        <f t="shared" si="91"/>
        <v>0</v>
      </c>
      <c r="CB101" s="113">
        <f t="shared" si="123"/>
        <v>236074.48799999998</v>
      </c>
      <c r="CC101" s="119">
        <f t="shared" si="92"/>
        <v>2161.8542857142857</v>
      </c>
      <c r="CD101" s="119" t="e">
        <f t="shared" si="92"/>
        <v>#DIV/0!</v>
      </c>
      <c r="CE101" s="119">
        <f t="shared" si="124"/>
        <v>2161.8542857142857</v>
      </c>
      <c r="CF101" s="119">
        <f t="shared" si="95"/>
        <v>2161.8542857142857</v>
      </c>
      <c r="CG101" s="619">
        <f t="shared" si="96"/>
        <v>353084.28480000002</v>
      </c>
      <c r="CH101" s="132">
        <f t="shared" si="125"/>
        <v>3233.372571428572</v>
      </c>
      <c r="CI101" s="625"/>
      <c r="CJ101" s="208">
        <f t="shared" si="97"/>
        <v>7487.5696512000004</v>
      </c>
      <c r="CK101" s="208">
        <f t="shared" si="98"/>
        <v>4539.9740760000013</v>
      </c>
      <c r="CL101" s="208">
        <f t="shared" si="84"/>
        <v>12027.543727200002</v>
      </c>
      <c r="CM101" s="112">
        <f t="shared" si="99"/>
        <v>12027543.727200001</v>
      </c>
      <c r="CN101" s="112">
        <f t="shared" si="100"/>
        <v>11751105.612000002</v>
      </c>
      <c r="CO101" s="112">
        <f t="shared" si="101"/>
        <v>11751105.612000002</v>
      </c>
      <c r="CP101" s="112">
        <f t="shared" si="102"/>
        <v>7420135.0943999998</v>
      </c>
      <c r="CQ101" s="112">
        <f t="shared" si="103"/>
        <v>12182603.172</v>
      </c>
      <c r="CR101" s="112">
        <f t="shared" si="104"/>
        <v>12182603.172</v>
      </c>
      <c r="CS101" s="112">
        <f t="shared" si="105"/>
        <v>4490398.8360000011</v>
      </c>
      <c r="CT101" s="112">
        <f t="shared" si="126"/>
        <v>23933708.784000002</v>
      </c>
      <c r="CU101" s="124">
        <f t="shared" si="127"/>
        <v>6420502.933175954</v>
      </c>
      <c r="CV101" s="112">
        <f t="shared" si="106"/>
        <v>229685.81999999998</v>
      </c>
      <c r="CW101" s="112">
        <f t="shared" si="107"/>
        <v>244592.712</v>
      </c>
      <c r="CX101" s="112">
        <f t="shared" si="128"/>
        <v>474278.53200000001</v>
      </c>
      <c r="CY101" s="112">
        <f t="shared" si="108"/>
        <v>11869116.0864</v>
      </c>
      <c r="CZ101" s="112">
        <f t="shared" si="109"/>
        <v>12298278.732000001</v>
      </c>
      <c r="DA101" s="625"/>
      <c r="DB101" s="128">
        <f t="shared" si="129"/>
        <v>156.8526398364514</v>
      </c>
      <c r="DC101" s="625"/>
      <c r="DD101" s="625"/>
      <c r="DE101" s="625"/>
      <c r="DF101" s="625"/>
      <c r="DG101" s="618">
        <f t="shared" si="110"/>
        <v>0</v>
      </c>
      <c r="DH101" s="618">
        <f t="shared" si="111"/>
        <v>0</v>
      </c>
      <c r="DI101" s="618">
        <f t="shared" si="112"/>
        <v>0</v>
      </c>
      <c r="DJ101" s="123"/>
    </row>
    <row r="102" spans="1:114" s="32" customFormat="1" ht="67.5" customHeight="1">
      <c r="A102" s="20">
        <f t="shared" si="130"/>
        <v>87</v>
      </c>
      <c r="B102" s="1896" t="s">
        <v>37</v>
      </c>
      <c r="C102" s="1896" t="s">
        <v>61</v>
      </c>
      <c r="D102" s="749" t="s">
        <v>146</v>
      </c>
      <c r="E102" s="617">
        <v>4632024035</v>
      </c>
      <c r="F102" s="806" t="s">
        <v>8</v>
      </c>
      <c r="G102" s="752" t="s">
        <v>890</v>
      </c>
      <c r="H102" s="819">
        <f>2653.36*1.2</f>
        <v>3184.0320000000002</v>
      </c>
      <c r="I102" s="819">
        <f>2653.36*1.2</f>
        <v>3184.0320000000002</v>
      </c>
      <c r="J102" s="38"/>
      <c r="K102" s="38"/>
      <c r="L102" s="819">
        <f>2653.36*1.2</f>
        <v>3184.0320000000002</v>
      </c>
      <c r="M102" s="10"/>
      <c r="N102" s="622">
        <f>2749.3*1.2</f>
        <v>3299.1600000000003</v>
      </c>
      <c r="O102" s="622">
        <f>2749.3*1.2</f>
        <v>3299.1600000000003</v>
      </c>
      <c r="P102" s="10"/>
      <c r="Q102" s="10"/>
      <c r="R102" s="622">
        <f>2749.3*1.2</f>
        <v>3299.1600000000003</v>
      </c>
      <c r="S102" s="10"/>
      <c r="T102" s="648">
        <v>686.37800000000004</v>
      </c>
      <c r="U102" s="650"/>
      <c r="V102" s="227"/>
      <c r="W102" s="16"/>
      <c r="X102" s="16"/>
      <c r="Y102" s="16"/>
      <c r="Z102" s="35">
        <f t="shared" si="131"/>
        <v>686.37800000000004</v>
      </c>
      <c r="AA102" s="178">
        <v>449.803</v>
      </c>
      <c r="AB102" s="16"/>
      <c r="AC102" s="227"/>
      <c r="AD102" s="16"/>
      <c r="AE102" s="16"/>
      <c r="AF102" s="16"/>
      <c r="AG102" s="35">
        <f t="shared" si="132"/>
        <v>449.803</v>
      </c>
      <c r="AH102" s="35">
        <f t="shared" si="113"/>
        <v>1136.181</v>
      </c>
      <c r="AI102" s="15">
        <f t="shared" si="134"/>
        <v>1136.181</v>
      </c>
      <c r="AJ102" s="15">
        <f t="shared" si="134"/>
        <v>0</v>
      </c>
      <c r="AK102" s="15">
        <f t="shared" si="134"/>
        <v>0</v>
      </c>
      <c r="AL102" s="15">
        <f t="shared" si="134"/>
        <v>0</v>
      </c>
      <c r="AM102" s="15">
        <f t="shared" si="133"/>
        <v>0</v>
      </c>
      <c r="AN102" s="15"/>
      <c r="AO102" s="15">
        <f t="shared" si="85"/>
        <v>1136.181</v>
      </c>
      <c r="AP102" s="15">
        <f t="shared" si="86"/>
        <v>1136.181</v>
      </c>
      <c r="AQ102" s="15">
        <f t="shared" si="81"/>
        <v>1136.181</v>
      </c>
      <c r="AR102" s="127">
        <f t="shared" si="114"/>
        <v>0</v>
      </c>
      <c r="AS102" s="112">
        <f t="shared" si="135"/>
        <v>3617636.6617920003</v>
      </c>
      <c r="AT102" s="112">
        <f t="shared" si="135"/>
        <v>0</v>
      </c>
      <c r="AU102" s="112">
        <f t="shared" si="135"/>
        <v>0</v>
      </c>
      <c r="AV102" s="112">
        <f t="shared" si="135"/>
        <v>0</v>
      </c>
      <c r="AW102" s="112">
        <f t="shared" si="135"/>
        <v>0</v>
      </c>
      <c r="AX102" s="112">
        <f t="shared" si="115"/>
        <v>3617636.6617920003</v>
      </c>
      <c r="AY102" s="112">
        <f t="shared" si="116"/>
        <v>3617636.6617920003</v>
      </c>
      <c r="AZ102" s="112">
        <f t="shared" si="137"/>
        <v>3748442.9079600004</v>
      </c>
      <c r="BA102" s="112">
        <f t="shared" si="137"/>
        <v>0</v>
      </c>
      <c r="BB102" s="112">
        <f t="shared" si="137"/>
        <v>0</v>
      </c>
      <c r="BC102" s="112">
        <f t="shared" si="137"/>
        <v>0</v>
      </c>
      <c r="BD102" s="112">
        <f t="shared" si="137"/>
        <v>0</v>
      </c>
      <c r="BE102" s="112">
        <f t="shared" si="117"/>
        <v>3748442.9079600004</v>
      </c>
      <c r="BF102" s="112">
        <f t="shared" si="118"/>
        <v>3748442.9079600004</v>
      </c>
      <c r="BG102" s="169"/>
      <c r="BH102" s="170"/>
      <c r="BI102" s="169"/>
      <c r="BJ102" s="169"/>
      <c r="BK102" s="169"/>
      <c r="BL102" s="112">
        <f t="shared" si="89"/>
        <v>2185449.5160960001</v>
      </c>
      <c r="BM102" s="112">
        <f t="shared" si="89"/>
        <v>0</v>
      </c>
      <c r="BN102" s="112">
        <f t="shared" si="89"/>
        <v>0</v>
      </c>
      <c r="BO102" s="112">
        <f t="shared" si="89"/>
        <v>0</v>
      </c>
      <c r="BP102" s="112">
        <f t="shared" si="89"/>
        <v>0</v>
      </c>
      <c r="BQ102" s="112">
        <f t="shared" si="119"/>
        <v>2185449.5160960001</v>
      </c>
      <c r="BR102" s="112">
        <f t="shared" si="120"/>
        <v>2185449.5160960001</v>
      </c>
      <c r="BS102" s="112">
        <f t="shared" si="90"/>
        <v>1483972.0654800001</v>
      </c>
      <c r="BT102" s="112">
        <f t="shared" si="90"/>
        <v>0</v>
      </c>
      <c r="BU102" s="112">
        <f t="shared" si="90"/>
        <v>0</v>
      </c>
      <c r="BV102" s="112">
        <f t="shared" si="93"/>
        <v>0</v>
      </c>
      <c r="BW102" s="112">
        <f t="shared" si="94"/>
        <v>0</v>
      </c>
      <c r="BX102" s="112">
        <f t="shared" si="121"/>
        <v>1483972.0654800001</v>
      </c>
      <c r="BY102" s="112">
        <f t="shared" si="122"/>
        <v>1483972.0654800001</v>
      </c>
      <c r="BZ102" s="113">
        <f t="shared" si="91"/>
        <v>0</v>
      </c>
      <c r="CA102" s="113">
        <f t="shared" si="91"/>
        <v>0</v>
      </c>
      <c r="CB102" s="113">
        <f t="shared" si="123"/>
        <v>0</v>
      </c>
      <c r="CC102" s="119" t="e">
        <f t="shared" si="92"/>
        <v>#DIV/0!</v>
      </c>
      <c r="CD102" s="119" t="e">
        <f t="shared" si="92"/>
        <v>#DIV/0!</v>
      </c>
      <c r="CE102" s="119" t="e">
        <f t="shared" si="124"/>
        <v>#DIV/0!</v>
      </c>
      <c r="CF102" s="113" t="e">
        <f t="shared" si="95"/>
        <v>#DIV/0!</v>
      </c>
      <c r="CG102" s="619">
        <f t="shared" si="96"/>
        <v>0</v>
      </c>
      <c r="CH102" s="132" t="e">
        <f t="shared" si="125"/>
        <v>#DIV/0!</v>
      </c>
      <c r="CI102" s="625"/>
      <c r="CJ102" s="208">
        <f t="shared" si="97"/>
        <v>2185.449516096</v>
      </c>
      <c r="CK102" s="208">
        <f t="shared" si="98"/>
        <v>1483.9720654800001</v>
      </c>
      <c r="CL102" s="208">
        <f t="shared" si="84"/>
        <v>3669.4215815759999</v>
      </c>
      <c r="CM102" s="112">
        <f t="shared" si="99"/>
        <v>3669421.581576</v>
      </c>
      <c r="CN102" s="112">
        <f t="shared" si="100"/>
        <v>3617636.6617920003</v>
      </c>
      <c r="CO102" s="112">
        <f t="shared" si="101"/>
        <v>3617636.6617920003</v>
      </c>
      <c r="CP102" s="112">
        <f t="shared" si="102"/>
        <v>2185449.5160960001</v>
      </c>
      <c r="CQ102" s="112">
        <f t="shared" si="103"/>
        <v>3748442.9079600004</v>
      </c>
      <c r="CR102" s="112">
        <f t="shared" si="104"/>
        <v>3748442.9079600004</v>
      </c>
      <c r="CS102" s="112">
        <f t="shared" si="105"/>
        <v>1483972.0654800001</v>
      </c>
      <c r="CT102" s="112">
        <f t="shared" si="126"/>
        <v>7366079.5697520003</v>
      </c>
      <c r="CU102" s="124">
        <f t="shared" si="127"/>
        <v>6483192</v>
      </c>
      <c r="CV102" s="112">
        <f t="shared" si="106"/>
        <v>0</v>
      </c>
      <c r="CW102" s="112">
        <f t="shared" si="107"/>
        <v>0</v>
      </c>
      <c r="CX102" s="112">
        <f t="shared" si="128"/>
        <v>0</v>
      </c>
      <c r="CY102" s="112">
        <f t="shared" si="108"/>
        <v>3617636.6617920003</v>
      </c>
      <c r="CZ102" s="112">
        <f t="shared" si="109"/>
        <v>3748442.9079600004</v>
      </c>
      <c r="DA102" s="625"/>
      <c r="DB102" s="128" t="e">
        <f t="shared" si="129"/>
        <v>#DIV/0!</v>
      </c>
      <c r="DC102" s="625"/>
      <c r="DD102" s="625"/>
      <c r="DE102" s="625"/>
      <c r="DF102" s="625"/>
      <c r="DG102" s="618">
        <f t="shared" si="110"/>
        <v>0</v>
      </c>
      <c r="DH102" s="618">
        <f t="shared" si="111"/>
        <v>0</v>
      </c>
      <c r="DI102" s="618">
        <f t="shared" si="112"/>
        <v>0</v>
      </c>
      <c r="DJ102" s="123"/>
    </row>
    <row r="103" spans="1:114" s="13" customFormat="1" ht="72" hidden="1" customHeight="1">
      <c r="A103" s="695">
        <f t="shared" si="130"/>
        <v>88</v>
      </c>
      <c r="B103" s="1905"/>
      <c r="C103" s="1905"/>
      <c r="D103" s="696" t="s">
        <v>38</v>
      </c>
      <c r="E103" s="696">
        <v>4625004944</v>
      </c>
      <c r="F103" s="696" t="s">
        <v>8</v>
      </c>
      <c r="G103" s="808" t="s">
        <v>862</v>
      </c>
      <c r="H103" s="697">
        <v>2617.15</v>
      </c>
      <c r="I103" s="697">
        <v>2617.15</v>
      </c>
      <c r="J103" s="697">
        <v>2617.15</v>
      </c>
      <c r="K103" s="697">
        <v>0</v>
      </c>
      <c r="L103" s="697">
        <v>2617.15</v>
      </c>
      <c r="M103" s="698">
        <v>0</v>
      </c>
      <c r="N103" s="698">
        <v>2772.37</v>
      </c>
      <c r="O103" s="698">
        <v>2772.37</v>
      </c>
      <c r="P103" s="698">
        <v>2772.37</v>
      </c>
      <c r="Q103" s="698">
        <v>0</v>
      </c>
      <c r="R103" s="698">
        <v>2772.37</v>
      </c>
      <c r="S103" s="698">
        <v>0</v>
      </c>
      <c r="T103" s="699">
        <v>2497.0700000000002</v>
      </c>
      <c r="U103" s="699">
        <v>2299.1</v>
      </c>
      <c r="V103" s="699">
        <v>0</v>
      </c>
      <c r="W103" s="699">
        <v>1508.7</v>
      </c>
      <c r="X103" s="699">
        <v>0</v>
      </c>
      <c r="Y103" s="699">
        <v>0</v>
      </c>
      <c r="Z103" s="99">
        <f t="shared" si="131"/>
        <v>6304.87</v>
      </c>
      <c r="AA103" s="700">
        <v>1941.11</v>
      </c>
      <c r="AB103" s="699">
        <v>1668.15</v>
      </c>
      <c r="AC103" s="699">
        <v>0</v>
      </c>
      <c r="AD103" s="699">
        <v>936.5</v>
      </c>
      <c r="AE103" s="699">
        <v>0</v>
      </c>
      <c r="AF103" s="699">
        <v>0</v>
      </c>
      <c r="AG103" s="99">
        <f t="shared" si="132"/>
        <v>4545.76</v>
      </c>
      <c r="AH103" s="99">
        <f t="shared" si="113"/>
        <v>10850.630000000001</v>
      </c>
      <c r="AI103" s="18">
        <f t="shared" si="134"/>
        <v>4438.18</v>
      </c>
      <c r="AJ103" s="18">
        <f t="shared" si="134"/>
        <v>3967.25</v>
      </c>
      <c r="AK103" s="18">
        <f t="shared" si="134"/>
        <v>0</v>
      </c>
      <c r="AL103" s="29">
        <f t="shared" si="134"/>
        <v>2445.1999999999998</v>
      </c>
      <c r="AM103" s="18">
        <f t="shared" si="133"/>
        <v>0</v>
      </c>
      <c r="AN103" s="18"/>
      <c r="AO103" s="18">
        <f t="shared" si="85"/>
        <v>10850.630000000001</v>
      </c>
      <c r="AP103" s="18">
        <f t="shared" si="86"/>
        <v>10850.630000000001</v>
      </c>
      <c r="AQ103" s="12">
        <f t="shared" si="81"/>
        <v>10850.630000000001</v>
      </c>
      <c r="AR103" s="99">
        <f t="shared" si="114"/>
        <v>0</v>
      </c>
      <c r="AS103" s="18">
        <f t="shared" si="135"/>
        <v>11615382.787</v>
      </c>
      <c r="AT103" s="18">
        <f t="shared" si="135"/>
        <v>10382888.3375</v>
      </c>
      <c r="AU103" s="18">
        <f t="shared" si="135"/>
        <v>0</v>
      </c>
      <c r="AV103" s="12">
        <f t="shared" si="135"/>
        <v>6399455.1799999997</v>
      </c>
      <c r="AW103" s="12">
        <f t="shared" si="135"/>
        <v>0</v>
      </c>
      <c r="AX103" s="18">
        <f t="shared" si="115"/>
        <v>28397726.304499999</v>
      </c>
      <c r="AY103" s="18">
        <f t="shared" si="116"/>
        <v>28397726.304499999</v>
      </c>
      <c r="AZ103" s="18">
        <f t="shared" si="137"/>
        <v>12304277.0866</v>
      </c>
      <c r="BA103" s="18">
        <f t="shared" si="137"/>
        <v>10998684.8825</v>
      </c>
      <c r="BB103" s="18">
        <f t="shared" si="137"/>
        <v>0</v>
      </c>
      <c r="BC103" s="18">
        <f t="shared" si="137"/>
        <v>6778999.1239999989</v>
      </c>
      <c r="BD103" s="18">
        <f t="shared" si="137"/>
        <v>0</v>
      </c>
      <c r="BE103" s="18">
        <f t="shared" si="117"/>
        <v>30081961.093099996</v>
      </c>
      <c r="BF103" s="18">
        <f t="shared" si="118"/>
        <v>30081961.093099996</v>
      </c>
      <c r="BG103" s="18">
        <v>0</v>
      </c>
      <c r="BH103" s="18">
        <v>0</v>
      </c>
      <c r="BI103" s="18">
        <v>0</v>
      </c>
      <c r="BJ103" s="29">
        <v>29103.331470091631</v>
      </c>
      <c r="BK103" s="18">
        <v>28873.629999999997</v>
      </c>
      <c r="BL103" s="18">
        <f t="shared" si="89"/>
        <v>6535206.750500001</v>
      </c>
      <c r="BM103" s="18">
        <f t="shared" si="89"/>
        <v>6017089.5650000004</v>
      </c>
      <c r="BN103" s="18">
        <f t="shared" si="89"/>
        <v>0</v>
      </c>
      <c r="BO103" s="18">
        <f t="shared" si="89"/>
        <v>3948494.2050000001</v>
      </c>
      <c r="BP103" s="18">
        <f t="shared" si="89"/>
        <v>0</v>
      </c>
      <c r="BQ103" s="18">
        <f t="shared" si="119"/>
        <v>16500790.520500002</v>
      </c>
      <c r="BR103" s="18">
        <f t="shared" si="120"/>
        <v>16500790.520500002</v>
      </c>
      <c r="BS103" s="18">
        <f t="shared" si="90"/>
        <v>5381475.1306999996</v>
      </c>
      <c r="BT103" s="18">
        <f t="shared" si="90"/>
        <v>4624729.0154999997</v>
      </c>
      <c r="BU103" s="18">
        <f t="shared" si="90"/>
        <v>0</v>
      </c>
      <c r="BV103" s="18">
        <f t="shared" si="93"/>
        <v>4182674.6189999999</v>
      </c>
      <c r="BW103" s="18">
        <f t="shared" si="94"/>
        <v>0</v>
      </c>
      <c r="BX103" s="18">
        <f t="shared" si="121"/>
        <v>14188878.7652</v>
      </c>
      <c r="BY103" s="18">
        <f t="shared" si="122"/>
        <v>14188878.7652</v>
      </c>
      <c r="BZ103" s="161">
        <f t="shared" si="91"/>
        <v>10641818.580499999</v>
      </c>
      <c r="CA103" s="161">
        <f t="shared" si="91"/>
        <v>0</v>
      </c>
      <c r="CB103" s="161">
        <f t="shared" si="123"/>
        <v>10641818.580499999</v>
      </c>
      <c r="CC103" s="162">
        <f t="shared" si="92"/>
        <v>2682.4169337702438</v>
      </c>
      <c r="CD103" s="162" t="e">
        <f t="shared" si="92"/>
        <v>#DIV/0!</v>
      </c>
      <c r="CE103" s="162">
        <f t="shared" si="124"/>
        <v>2682.4169337702438</v>
      </c>
      <c r="CF103" s="162">
        <f t="shared" si="95"/>
        <v>2682.4169337702438</v>
      </c>
      <c r="CG103" s="651">
        <f t="shared" si="96"/>
        <v>10641818.580499999</v>
      </c>
      <c r="CH103" s="652">
        <f t="shared" si="125"/>
        <v>2682.4169337702438</v>
      </c>
      <c r="CJ103" s="18">
        <f t="shared" si="97"/>
        <v>16500.790520499999</v>
      </c>
      <c r="CK103" s="18">
        <f t="shared" si="98"/>
        <v>12602.5286512</v>
      </c>
      <c r="CL103" s="18">
        <f t="shared" si="84"/>
        <v>29103.319171700001</v>
      </c>
      <c r="CM103" s="18">
        <f t="shared" si="99"/>
        <v>29103319.171700001</v>
      </c>
      <c r="CN103" s="18">
        <f t="shared" si="100"/>
        <v>28397726.304499999</v>
      </c>
      <c r="CO103" s="18">
        <f t="shared" si="101"/>
        <v>28397726.304499999</v>
      </c>
      <c r="CP103" s="18">
        <f t="shared" si="102"/>
        <v>16500790.520500002</v>
      </c>
      <c r="CQ103" s="18">
        <f t="shared" si="103"/>
        <v>30081961.093099996</v>
      </c>
      <c r="CR103" s="18">
        <f t="shared" si="104"/>
        <v>30081961.093099996</v>
      </c>
      <c r="CS103" s="18">
        <f t="shared" si="105"/>
        <v>12602528.6512</v>
      </c>
      <c r="CT103" s="18">
        <f t="shared" si="126"/>
        <v>58479687.397599995</v>
      </c>
      <c r="CU103" s="29">
        <f t="shared" si="127"/>
        <v>5389519.9999999991</v>
      </c>
      <c r="CV103" s="18">
        <f t="shared" si="106"/>
        <v>10382888.3375</v>
      </c>
      <c r="CW103" s="18">
        <f t="shared" si="107"/>
        <v>10998684.8825</v>
      </c>
      <c r="CX103" s="18">
        <f t="shared" si="128"/>
        <v>21381573.219999999</v>
      </c>
      <c r="CY103" s="18">
        <f t="shared" si="108"/>
        <v>28397726.304499999</v>
      </c>
      <c r="CZ103" s="18">
        <f t="shared" si="109"/>
        <v>30081961.093099996</v>
      </c>
      <c r="DB103" s="653">
        <f t="shared" si="129"/>
        <v>105.9308790096097</v>
      </c>
      <c r="DG103" s="701">
        <f t="shared" si="110"/>
        <v>0</v>
      </c>
      <c r="DH103" s="701">
        <f t="shared" si="111"/>
        <v>0</v>
      </c>
      <c r="DI103" s="701">
        <f t="shared" si="112"/>
        <v>0</v>
      </c>
    </row>
    <row r="104" spans="1:114" s="13" customFormat="1" ht="69.75" hidden="1" customHeight="1">
      <c r="A104" s="695">
        <f t="shared" si="130"/>
        <v>89</v>
      </c>
      <c r="B104" s="1896" t="s">
        <v>39</v>
      </c>
      <c r="C104" s="696" t="s">
        <v>133</v>
      </c>
      <c r="D104" s="696" t="s">
        <v>40</v>
      </c>
      <c r="E104" s="696">
        <v>4626003929</v>
      </c>
      <c r="F104" s="696" t="s">
        <v>8</v>
      </c>
      <c r="G104" s="808" t="s">
        <v>882</v>
      </c>
      <c r="H104" s="697">
        <v>2374.46</v>
      </c>
      <c r="I104" s="697">
        <v>2374.46</v>
      </c>
      <c r="J104" s="697">
        <v>2157.89</v>
      </c>
      <c r="K104" s="697">
        <v>0</v>
      </c>
      <c r="L104" s="697">
        <v>2374.46</v>
      </c>
      <c r="M104" s="697">
        <v>0</v>
      </c>
      <c r="N104" s="697">
        <v>2374.46</v>
      </c>
      <c r="O104" s="697">
        <v>2374.46</v>
      </c>
      <c r="P104" s="697">
        <v>2297.94</v>
      </c>
      <c r="Q104" s="697">
        <v>0</v>
      </c>
      <c r="R104" s="697">
        <v>2374.46</v>
      </c>
      <c r="S104" s="698">
        <v>0</v>
      </c>
      <c r="T104" s="702">
        <v>1470.7</v>
      </c>
      <c r="U104" s="702">
        <v>641.79999999999995</v>
      </c>
      <c r="V104" s="702">
        <v>0</v>
      </c>
      <c r="W104" s="702">
        <v>5.5</v>
      </c>
      <c r="X104" s="702">
        <v>0</v>
      </c>
      <c r="Y104" s="702">
        <v>0</v>
      </c>
      <c r="Z104" s="99">
        <f t="shared" si="131"/>
        <v>2118</v>
      </c>
      <c r="AA104" s="702">
        <v>950.75</v>
      </c>
      <c r="AB104" s="702">
        <v>481.4</v>
      </c>
      <c r="AC104" s="702">
        <v>0</v>
      </c>
      <c r="AD104" s="702">
        <v>3.85</v>
      </c>
      <c r="AE104" s="702">
        <v>0</v>
      </c>
      <c r="AF104" s="702">
        <v>0</v>
      </c>
      <c r="AG104" s="29">
        <f t="shared" si="132"/>
        <v>1436</v>
      </c>
      <c r="AH104" s="99">
        <f t="shared" si="113"/>
        <v>3554</v>
      </c>
      <c r="AI104" s="29">
        <f>T104+AA104</f>
        <v>2421.4499999999998</v>
      </c>
      <c r="AJ104" s="18">
        <f t="shared" si="134"/>
        <v>1123.1999999999998</v>
      </c>
      <c r="AK104" s="18">
        <f t="shared" si="134"/>
        <v>0</v>
      </c>
      <c r="AL104" s="702">
        <f t="shared" si="134"/>
        <v>9.35</v>
      </c>
      <c r="AM104" s="18">
        <f t="shared" si="133"/>
        <v>0</v>
      </c>
      <c r="AN104" s="18">
        <v>0</v>
      </c>
      <c r="AO104" s="18">
        <f t="shared" si="85"/>
        <v>3553.9999999999995</v>
      </c>
      <c r="AP104" s="18">
        <f t="shared" si="86"/>
        <v>3553.9999999999995</v>
      </c>
      <c r="AQ104" s="702">
        <f t="shared" si="81"/>
        <v>3553.9999999999995</v>
      </c>
      <c r="AR104" s="99">
        <f t="shared" si="114"/>
        <v>0</v>
      </c>
      <c r="AS104" s="18">
        <f>I104*AI104</f>
        <v>5749636.1669999994</v>
      </c>
      <c r="AT104" s="18">
        <f t="shared" si="135"/>
        <v>2423742.0479999995</v>
      </c>
      <c r="AU104" s="18">
        <f t="shared" si="135"/>
        <v>0</v>
      </c>
      <c r="AV104" s="18">
        <f t="shared" si="135"/>
        <v>22201.201000000001</v>
      </c>
      <c r="AW104" s="18">
        <f t="shared" si="135"/>
        <v>0</v>
      </c>
      <c r="AX104" s="18">
        <f t="shared" si="115"/>
        <v>8195579.4159999993</v>
      </c>
      <c r="AY104" s="18">
        <f t="shared" si="116"/>
        <v>8195579.4159999993</v>
      </c>
      <c r="AZ104" s="18">
        <f t="shared" si="137"/>
        <v>5749636.1669999994</v>
      </c>
      <c r="BA104" s="18">
        <f t="shared" si="137"/>
        <v>2581046.2079999996</v>
      </c>
      <c r="BB104" s="18">
        <f t="shared" si="137"/>
        <v>0</v>
      </c>
      <c r="BC104" s="18">
        <f t="shared" si="137"/>
        <v>22201.201000000001</v>
      </c>
      <c r="BD104" s="18">
        <f t="shared" si="137"/>
        <v>0</v>
      </c>
      <c r="BE104" s="18">
        <f t="shared" si="117"/>
        <v>8352883.5759999994</v>
      </c>
      <c r="BF104" s="18">
        <f t="shared" si="118"/>
        <v>8352883.5759999994</v>
      </c>
      <c r="BG104" s="18">
        <v>138.99100000000001</v>
      </c>
      <c r="BH104" s="18">
        <v>36.832000000000001</v>
      </c>
      <c r="BI104" s="18">
        <f>BG104+BH104</f>
        <v>175.82300000000001</v>
      </c>
      <c r="BJ104" s="18">
        <v>8438.81</v>
      </c>
      <c r="BK104" s="18">
        <v>8603.1299999999992</v>
      </c>
      <c r="BL104" s="18">
        <f t="shared" si="89"/>
        <v>3492118.3220000002</v>
      </c>
      <c r="BM104" s="18">
        <f t="shared" si="89"/>
        <v>1384933.8019999999</v>
      </c>
      <c r="BN104" s="18">
        <f t="shared" si="89"/>
        <v>0</v>
      </c>
      <c r="BO104" s="18">
        <f t="shared" si="89"/>
        <v>13059.53</v>
      </c>
      <c r="BP104" s="18">
        <f t="shared" si="89"/>
        <v>0</v>
      </c>
      <c r="BQ104" s="18">
        <f t="shared" si="119"/>
        <v>4890111.6540000001</v>
      </c>
      <c r="BR104" s="18">
        <f t="shared" si="120"/>
        <v>4890111.6540000001</v>
      </c>
      <c r="BS104" s="18">
        <f t="shared" si="90"/>
        <v>2257517.8450000002</v>
      </c>
      <c r="BT104" s="18">
        <f t="shared" si="90"/>
        <v>1106228.3159999999</v>
      </c>
      <c r="BU104" s="18">
        <f t="shared" si="90"/>
        <v>0</v>
      </c>
      <c r="BV104" s="18">
        <f t="shared" si="93"/>
        <v>13059.53</v>
      </c>
      <c r="BW104" s="18">
        <f t="shared" si="94"/>
        <v>0</v>
      </c>
      <c r="BX104" s="18">
        <f t="shared" si="121"/>
        <v>3376805.6910000001</v>
      </c>
      <c r="BY104" s="18">
        <f t="shared" si="122"/>
        <v>3376805.6910000001</v>
      </c>
      <c r="BZ104" s="161">
        <f t="shared" si="91"/>
        <v>2491162.1179999998</v>
      </c>
      <c r="CA104" s="161">
        <f t="shared" si="91"/>
        <v>0</v>
      </c>
      <c r="CB104" s="161">
        <f t="shared" si="123"/>
        <v>2491162.1179999998</v>
      </c>
      <c r="CC104" s="162">
        <f t="shared" si="92"/>
        <v>2217.9149910968663</v>
      </c>
      <c r="CD104" s="162" t="e">
        <f t="shared" si="92"/>
        <v>#DIV/0!</v>
      </c>
      <c r="CE104" s="162">
        <f t="shared" si="124"/>
        <v>2217.9149910968663</v>
      </c>
      <c r="CF104" s="162">
        <f t="shared" si="95"/>
        <v>2217.9149910968663</v>
      </c>
      <c r="CG104" s="651">
        <f t="shared" si="96"/>
        <v>2666993.4720000001</v>
      </c>
      <c r="CH104" s="652">
        <f t="shared" si="125"/>
        <v>2374.4600000000005</v>
      </c>
      <c r="CJ104" s="18">
        <f t="shared" si="97"/>
        <v>5029.10628</v>
      </c>
      <c r="CK104" s="18">
        <f t="shared" si="98"/>
        <v>3409.7245600000001</v>
      </c>
      <c r="CL104" s="18">
        <f t="shared" si="84"/>
        <v>8438.8308400000005</v>
      </c>
      <c r="CM104" s="18">
        <f t="shared" si="99"/>
        <v>8438830.8399999999</v>
      </c>
      <c r="CN104" s="18">
        <f t="shared" si="100"/>
        <v>8195579.4159999993</v>
      </c>
      <c r="CO104" s="18">
        <f t="shared" si="101"/>
        <v>8195579.4159999993</v>
      </c>
      <c r="CP104" s="18">
        <f t="shared" si="102"/>
        <v>4890111.6540000001</v>
      </c>
      <c r="CQ104" s="18">
        <f t="shared" si="103"/>
        <v>8352883.5759999994</v>
      </c>
      <c r="CR104" s="18">
        <f t="shared" si="104"/>
        <v>8352883.5759999994</v>
      </c>
      <c r="CS104" s="18">
        <f t="shared" si="105"/>
        <v>3372887.8320000004</v>
      </c>
      <c r="CT104" s="18">
        <f t="shared" si="126"/>
        <v>16548462.991999999</v>
      </c>
      <c r="CU104" s="29">
        <f t="shared" si="127"/>
        <v>4656292.344400675</v>
      </c>
      <c r="CV104" s="18">
        <f t="shared" si="106"/>
        <v>2423742.0479999995</v>
      </c>
      <c r="CW104" s="18">
        <f t="shared" si="107"/>
        <v>2581046.2079999996</v>
      </c>
      <c r="CX104" s="18">
        <f t="shared" si="128"/>
        <v>5004788.2559999991</v>
      </c>
      <c r="CY104" s="18">
        <f t="shared" si="108"/>
        <v>8438830.839999998</v>
      </c>
      <c r="CZ104" s="18">
        <f t="shared" si="109"/>
        <v>8438830.839999998</v>
      </c>
      <c r="DB104" s="653">
        <f t="shared" si="129"/>
        <v>110.03619276237437</v>
      </c>
      <c r="DG104" s="701">
        <f t="shared" si="110"/>
        <v>0</v>
      </c>
      <c r="DH104" s="701">
        <f t="shared" si="111"/>
        <v>0</v>
      </c>
      <c r="DI104" s="701">
        <f t="shared" si="112"/>
        <v>0</v>
      </c>
    </row>
    <row r="105" spans="1:114" ht="63.75" hidden="1" customHeight="1">
      <c r="A105" s="20">
        <f t="shared" si="130"/>
        <v>90</v>
      </c>
      <c r="B105" s="1897"/>
      <c r="C105" s="705" t="s">
        <v>64</v>
      </c>
      <c r="D105" s="696" t="s">
        <v>866</v>
      </c>
      <c r="E105" s="706">
        <v>4626006380</v>
      </c>
      <c r="F105" s="696" t="s">
        <v>8</v>
      </c>
      <c r="G105" s="808" t="s">
        <v>867</v>
      </c>
      <c r="H105" s="38">
        <v>2778.04</v>
      </c>
      <c r="I105" s="38">
        <v>2778.04</v>
      </c>
      <c r="J105" s="38">
        <v>2548.5</v>
      </c>
      <c r="K105" s="38">
        <v>0</v>
      </c>
      <c r="L105" s="38">
        <v>2778.04</v>
      </c>
      <c r="M105" s="10"/>
      <c r="N105" s="10">
        <v>2784.75</v>
      </c>
      <c r="O105" s="10">
        <v>2784.75</v>
      </c>
      <c r="P105" s="10">
        <v>2701.41</v>
      </c>
      <c r="Q105" s="10"/>
      <c r="R105" s="10">
        <v>2784.75</v>
      </c>
      <c r="S105" s="10"/>
      <c r="T105" s="179">
        <v>1525.2349999999999</v>
      </c>
      <c r="U105" s="179">
        <v>2523.6149999999998</v>
      </c>
      <c r="V105" s="207">
        <v>0</v>
      </c>
      <c r="W105" s="179">
        <v>411.96</v>
      </c>
      <c r="X105" s="179">
        <v>0</v>
      </c>
      <c r="Y105" s="179"/>
      <c r="Z105" s="35">
        <f t="shared" si="131"/>
        <v>4460.8099999999995</v>
      </c>
      <c r="AA105" s="179">
        <v>1016.823</v>
      </c>
      <c r="AB105" s="179">
        <v>1682.414</v>
      </c>
      <c r="AC105" s="207">
        <v>0</v>
      </c>
      <c r="AD105" s="179">
        <v>274.64</v>
      </c>
      <c r="AE105" s="179">
        <v>0</v>
      </c>
      <c r="AF105" s="179">
        <v>0</v>
      </c>
      <c r="AG105" s="35">
        <f t="shared" si="132"/>
        <v>2973.877</v>
      </c>
      <c r="AH105" s="35">
        <f t="shared" si="113"/>
        <v>7434.6869999999999</v>
      </c>
      <c r="AI105" s="15">
        <f t="shared" si="134"/>
        <v>2542.058</v>
      </c>
      <c r="AJ105" s="15">
        <f t="shared" si="134"/>
        <v>4206.0289999999995</v>
      </c>
      <c r="AK105" s="15">
        <f t="shared" si="134"/>
        <v>0</v>
      </c>
      <c r="AL105" s="15">
        <f t="shared" si="134"/>
        <v>686.59999999999991</v>
      </c>
      <c r="AM105" s="15">
        <f t="shared" si="133"/>
        <v>0</v>
      </c>
      <c r="AN105" s="15"/>
      <c r="AO105" s="15">
        <f t="shared" si="85"/>
        <v>7434.6869999999999</v>
      </c>
      <c r="AP105" s="15">
        <f t="shared" si="86"/>
        <v>7434.6869999999999</v>
      </c>
      <c r="AQ105" s="179">
        <f t="shared" si="81"/>
        <v>7434.6869999999999</v>
      </c>
      <c r="AR105" s="127">
        <f t="shared" si="114"/>
        <v>0</v>
      </c>
      <c r="AS105" s="112">
        <f t="shared" si="135"/>
        <v>7061938.8063199995</v>
      </c>
      <c r="AT105" s="112">
        <f t="shared" si="135"/>
        <v>10719064.906499999</v>
      </c>
      <c r="AU105" s="112">
        <f t="shared" si="135"/>
        <v>0</v>
      </c>
      <c r="AV105" s="112">
        <f t="shared" si="135"/>
        <v>1907402.2639999997</v>
      </c>
      <c r="AW105" s="112">
        <f t="shared" si="135"/>
        <v>0</v>
      </c>
      <c r="AX105" s="112">
        <f t="shared" si="115"/>
        <v>19688405.976819996</v>
      </c>
      <c r="AY105" s="112">
        <f t="shared" si="116"/>
        <v>19688405.976819996</v>
      </c>
      <c r="AZ105" s="112">
        <f t="shared" si="137"/>
        <v>7078996.0154999997</v>
      </c>
      <c r="BA105" s="112">
        <f t="shared" si="137"/>
        <v>11362208.800889999</v>
      </c>
      <c r="BB105" s="112">
        <f t="shared" si="137"/>
        <v>0</v>
      </c>
      <c r="BC105" s="112">
        <f t="shared" si="137"/>
        <v>1912009.3499999999</v>
      </c>
      <c r="BD105" s="112">
        <f t="shared" si="137"/>
        <v>0</v>
      </c>
      <c r="BE105" s="112">
        <f t="shared" si="117"/>
        <v>20353214.166390002</v>
      </c>
      <c r="BF105" s="112">
        <f t="shared" si="118"/>
        <v>20353214.166390002</v>
      </c>
      <c r="BG105" s="112">
        <v>579.27</v>
      </c>
      <c r="BH105" s="112">
        <v>140.21</v>
      </c>
      <c r="BI105" s="127">
        <f>BG105+BH105</f>
        <v>719.48</v>
      </c>
      <c r="BJ105" s="112">
        <v>20673.830000000002</v>
      </c>
      <c r="BK105" s="112">
        <v>27048.2</v>
      </c>
      <c r="BL105" s="112">
        <f>I105*T105</f>
        <v>4237163.8393999999</v>
      </c>
      <c r="BM105" s="112">
        <f>J105*U105</f>
        <v>6431432.8274999997</v>
      </c>
      <c r="BN105" s="112">
        <f t="shared" si="89"/>
        <v>0</v>
      </c>
      <c r="BO105" s="112">
        <f>L105*W105</f>
        <v>1144441.3584</v>
      </c>
      <c r="BP105" s="112">
        <f t="shared" si="89"/>
        <v>0</v>
      </c>
      <c r="BQ105" s="112">
        <f>BL105+BM105+BN105+BO105+BP105</f>
        <v>11813038.0253</v>
      </c>
      <c r="BR105" s="112">
        <f>BQ105-BP105</f>
        <v>11813038.0253</v>
      </c>
      <c r="BS105" s="112">
        <f>O105*AA105</f>
        <v>2831597.84925</v>
      </c>
      <c r="BT105" s="112">
        <f>P105*AB105</f>
        <v>4544890.0037399996</v>
      </c>
      <c r="BU105" s="112">
        <f t="shared" si="90"/>
        <v>0</v>
      </c>
      <c r="BV105" s="112">
        <f>R105*W105</f>
        <v>1147205.6099999999</v>
      </c>
      <c r="BW105" s="112">
        <f t="shared" si="94"/>
        <v>0</v>
      </c>
      <c r="BX105" s="112">
        <f>BS105+BT105+BU105+BV105+BW105</f>
        <v>8523693.462989999</v>
      </c>
      <c r="BY105" s="112">
        <f>BX105-BW105</f>
        <v>8523693.462989999</v>
      </c>
      <c r="BZ105" s="113">
        <f>BM105+BT105</f>
        <v>10976322.831239998</v>
      </c>
      <c r="CA105" s="113">
        <f t="shared" si="91"/>
        <v>0</v>
      </c>
      <c r="CB105" s="113">
        <f t="shared" si="123"/>
        <v>10976322.831239998</v>
      </c>
      <c r="CC105" s="119">
        <f t="shared" si="92"/>
        <v>2609.6640872518947</v>
      </c>
      <c r="CD105" s="119" t="e">
        <f t="shared" si="92"/>
        <v>#DIV/0!</v>
      </c>
      <c r="CE105" s="119">
        <f t="shared" si="124"/>
        <v>2609.6640872518947</v>
      </c>
      <c r="CF105" s="119">
        <f t="shared" si="95"/>
        <v>2609.6640872518947</v>
      </c>
      <c r="CG105" s="619">
        <f t="shared" si="96"/>
        <v>11695805.801099999</v>
      </c>
      <c r="CH105" s="132">
        <f t="shared" si="125"/>
        <v>2780.7240038287896</v>
      </c>
      <c r="CI105" s="106"/>
      <c r="CJ105" s="112">
        <f t="shared" si="97"/>
        <v>12392.308612399998</v>
      </c>
      <c r="CK105" s="112">
        <f t="shared" si="98"/>
        <v>8281.5039757499999</v>
      </c>
      <c r="CL105" s="112">
        <f t="shared" si="84"/>
        <v>20673.812588149998</v>
      </c>
      <c r="CM105" s="112">
        <f t="shared" si="99"/>
        <v>20673812.588149998</v>
      </c>
      <c r="CN105" s="112">
        <f t="shared" si="100"/>
        <v>19688405.976819996</v>
      </c>
      <c r="CO105" s="112">
        <f t="shared" si="101"/>
        <v>19688405.976819996</v>
      </c>
      <c r="CP105" s="112">
        <f t="shared" si="102"/>
        <v>11813038.0253</v>
      </c>
      <c r="CQ105" s="112">
        <f t="shared" si="103"/>
        <v>20353214.166390002</v>
      </c>
      <c r="CR105" s="112">
        <f t="shared" si="104"/>
        <v>20353214.166390002</v>
      </c>
      <c r="CS105" s="112">
        <f t="shared" si="105"/>
        <v>8141291.5929899998</v>
      </c>
      <c r="CT105" s="112">
        <f t="shared" si="126"/>
        <v>40041620.143209994</v>
      </c>
      <c r="CU105" s="124">
        <f t="shared" si="127"/>
        <v>5385784.249318094</v>
      </c>
      <c r="CV105" s="112">
        <f t="shared" si="106"/>
        <v>10719064.906499999</v>
      </c>
      <c r="CW105" s="112">
        <f t="shared" si="107"/>
        <v>11362208.800889999</v>
      </c>
      <c r="CX105" s="112">
        <f t="shared" si="128"/>
        <v>22081273.707389995</v>
      </c>
      <c r="CY105" s="112">
        <f t="shared" si="108"/>
        <v>20653857.873479996</v>
      </c>
      <c r="CZ105" s="112">
        <f t="shared" si="109"/>
        <v>20703744.62325</v>
      </c>
      <c r="DA105" s="106"/>
      <c r="DB105" s="128">
        <f t="shared" si="129"/>
        <v>109.27015891700999</v>
      </c>
      <c r="DC105" s="106"/>
      <c r="DD105" s="106"/>
      <c r="DE105" s="106"/>
      <c r="DF105" s="106"/>
      <c r="DG105" s="618">
        <f t="shared" si="110"/>
        <v>0</v>
      </c>
      <c r="DH105" s="618">
        <f t="shared" si="111"/>
        <v>0</v>
      </c>
      <c r="DI105" s="618">
        <f t="shared" si="112"/>
        <v>0</v>
      </c>
      <c r="DJ105" s="106"/>
    </row>
    <row r="106" spans="1:114" s="32" customFormat="1" ht="63.75" customHeight="1">
      <c r="A106" s="20">
        <f t="shared" si="130"/>
        <v>91</v>
      </c>
      <c r="B106" s="1897"/>
      <c r="C106" s="806" t="s">
        <v>120</v>
      </c>
      <c r="D106" s="749" t="s">
        <v>141</v>
      </c>
      <c r="E106" s="617">
        <v>4632024035</v>
      </c>
      <c r="F106" s="806" t="s">
        <v>8</v>
      </c>
      <c r="G106" s="752" t="s">
        <v>890</v>
      </c>
      <c r="H106" s="819">
        <f t="shared" ref="H106:I108" si="139">2653.36*1.2</f>
        <v>3184.0320000000002</v>
      </c>
      <c r="I106" s="819">
        <f t="shared" si="139"/>
        <v>3184.0320000000002</v>
      </c>
      <c r="J106" s="38"/>
      <c r="K106" s="38"/>
      <c r="L106" s="819">
        <f>2653.36*1.2</f>
        <v>3184.0320000000002</v>
      </c>
      <c r="M106" s="10"/>
      <c r="N106" s="622">
        <f t="shared" ref="N106:O118" si="140">2749.3*1.2</f>
        <v>3299.1600000000003</v>
      </c>
      <c r="O106" s="622">
        <f t="shared" si="140"/>
        <v>3299.1600000000003</v>
      </c>
      <c r="P106" s="10"/>
      <c r="Q106" s="10"/>
      <c r="R106" s="622">
        <f>2749.3*1.2</f>
        <v>3299.1600000000003</v>
      </c>
      <c r="S106" s="10"/>
      <c r="T106" s="178">
        <v>86.298000000000002</v>
      </c>
      <c r="U106" s="16"/>
      <c r="V106" s="227"/>
      <c r="W106" s="16"/>
      <c r="X106" s="16"/>
      <c r="Y106" s="16"/>
      <c r="Z106" s="35">
        <f t="shared" si="131"/>
        <v>86.298000000000002</v>
      </c>
      <c r="AA106" s="178">
        <v>50.112000000000002</v>
      </c>
      <c r="AB106" s="16"/>
      <c r="AC106" s="227"/>
      <c r="AD106" s="16"/>
      <c r="AE106" s="16"/>
      <c r="AF106" s="16"/>
      <c r="AG106" s="35">
        <f t="shared" si="132"/>
        <v>50.112000000000002</v>
      </c>
      <c r="AH106" s="35">
        <f t="shared" si="113"/>
        <v>136.41</v>
      </c>
      <c r="AI106" s="15">
        <f t="shared" si="134"/>
        <v>136.41</v>
      </c>
      <c r="AJ106" s="15">
        <f t="shared" si="134"/>
        <v>0</v>
      </c>
      <c r="AK106" s="15">
        <f t="shared" si="134"/>
        <v>0</v>
      </c>
      <c r="AL106" s="15">
        <f t="shared" si="134"/>
        <v>0</v>
      </c>
      <c r="AM106" s="15">
        <f t="shared" si="133"/>
        <v>0</v>
      </c>
      <c r="AN106" s="15"/>
      <c r="AO106" s="15">
        <f t="shared" si="85"/>
        <v>136.41</v>
      </c>
      <c r="AP106" s="15">
        <f t="shared" si="86"/>
        <v>136.41</v>
      </c>
      <c r="AQ106" s="15">
        <f t="shared" si="81"/>
        <v>136.41</v>
      </c>
      <c r="AR106" s="127">
        <f t="shared" si="114"/>
        <v>0</v>
      </c>
      <c r="AS106" s="112">
        <f t="shared" si="135"/>
        <v>434333.80512000003</v>
      </c>
      <c r="AT106" s="112">
        <f t="shared" si="135"/>
        <v>0</v>
      </c>
      <c r="AU106" s="112">
        <f t="shared" si="135"/>
        <v>0</v>
      </c>
      <c r="AV106" s="112">
        <f t="shared" si="135"/>
        <v>0</v>
      </c>
      <c r="AW106" s="112">
        <f t="shared" si="135"/>
        <v>0</v>
      </c>
      <c r="AX106" s="112">
        <f t="shared" si="115"/>
        <v>434333.80512000003</v>
      </c>
      <c r="AY106" s="112">
        <f t="shared" si="116"/>
        <v>434333.80512000003</v>
      </c>
      <c r="AZ106" s="112">
        <f t="shared" si="137"/>
        <v>450038.41560000001</v>
      </c>
      <c r="BA106" s="112">
        <f t="shared" si="137"/>
        <v>0</v>
      </c>
      <c r="BB106" s="112">
        <f t="shared" si="137"/>
        <v>0</v>
      </c>
      <c r="BC106" s="112">
        <f t="shared" si="137"/>
        <v>0</v>
      </c>
      <c r="BD106" s="112">
        <f t="shared" si="137"/>
        <v>0</v>
      </c>
      <c r="BE106" s="112">
        <f t="shared" si="117"/>
        <v>450038.41560000001</v>
      </c>
      <c r="BF106" s="112">
        <f t="shared" si="118"/>
        <v>450038.41560000001</v>
      </c>
      <c r="BG106" s="126"/>
      <c r="BH106" s="126"/>
      <c r="BI106" s="112">
        <f t="shared" si="80"/>
        <v>0</v>
      </c>
      <c r="BJ106" s="112"/>
      <c r="BK106" s="112"/>
      <c r="BL106" s="112">
        <f t="shared" si="89"/>
        <v>274775.593536</v>
      </c>
      <c r="BM106" s="112">
        <f t="shared" si="89"/>
        <v>0</v>
      </c>
      <c r="BN106" s="112">
        <f t="shared" si="89"/>
        <v>0</v>
      </c>
      <c r="BO106" s="112">
        <f t="shared" si="89"/>
        <v>0</v>
      </c>
      <c r="BP106" s="112">
        <f t="shared" si="89"/>
        <v>0</v>
      </c>
      <c r="BQ106" s="112">
        <f t="shared" si="119"/>
        <v>274775.593536</v>
      </c>
      <c r="BR106" s="112">
        <f t="shared" si="120"/>
        <v>274775.593536</v>
      </c>
      <c r="BS106" s="112">
        <f t="shared" si="90"/>
        <v>165327.50592000003</v>
      </c>
      <c r="BT106" s="112">
        <f t="shared" si="90"/>
        <v>0</v>
      </c>
      <c r="BU106" s="112">
        <f t="shared" si="90"/>
        <v>0</v>
      </c>
      <c r="BV106" s="112">
        <f t="shared" si="93"/>
        <v>0</v>
      </c>
      <c r="BW106" s="112">
        <f t="shared" si="94"/>
        <v>0</v>
      </c>
      <c r="BX106" s="112">
        <f t="shared" si="121"/>
        <v>165327.50592000003</v>
      </c>
      <c r="BY106" s="112">
        <f t="shared" si="122"/>
        <v>165327.50592000003</v>
      </c>
      <c r="BZ106" s="113">
        <f t="shared" si="91"/>
        <v>0</v>
      </c>
      <c r="CA106" s="113">
        <f t="shared" si="91"/>
        <v>0</v>
      </c>
      <c r="CB106" s="113">
        <f t="shared" si="123"/>
        <v>0</v>
      </c>
      <c r="CC106" s="119" t="e">
        <f t="shared" si="92"/>
        <v>#DIV/0!</v>
      </c>
      <c r="CD106" s="119" t="e">
        <f t="shared" si="92"/>
        <v>#DIV/0!</v>
      </c>
      <c r="CE106" s="119" t="e">
        <f t="shared" si="124"/>
        <v>#DIV/0!</v>
      </c>
      <c r="CF106" s="113" t="e">
        <f t="shared" si="95"/>
        <v>#DIV/0!</v>
      </c>
      <c r="CG106" s="619">
        <f t="shared" si="96"/>
        <v>0</v>
      </c>
      <c r="CH106" s="132" t="e">
        <f t="shared" si="125"/>
        <v>#DIV/0!</v>
      </c>
      <c r="CI106" s="625"/>
      <c r="CJ106" s="208">
        <f t="shared" si="97"/>
        <v>274.77559353599997</v>
      </c>
      <c r="CK106" s="208">
        <f t="shared" si="98"/>
        <v>165.32750592000002</v>
      </c>
      <c r="CL106" s="208">
        <f t="shared" si="84"/>
        <v>440.103099456</v>
      </c>
      <c r="CM106" s="112">
        <f t="shared" si="99"/>
        <v>440103.09945600003</v>
      </c>
      <c r="CN106" s="112">
        <f t="shared" si="100"/>
        <v>434333.80512000003</v>
      </c>
      <c r="CO106" s="112">
        <f t="shared" si="101"/>
        <v>434333.80512000003</v>
      </c>
      <c r="CP106" s="112">
        <f t="shared" si="102"/>
        <v>274775.593536</v>
      </c>
      <c r="CQ106" s="112">
        <f t="shared" si="103"/>
        <v>450038.41560000001</v>
      </c>
      <c r="CR106" s="112">
        <f t="shared" si="104"/>
        <v>450038.41560000001</v>
      </c>
      <c r="CS106" s="112">
        <f t="shared" si="105"/>
        <v>165327.50592000003</v>
      </c>
      <c r="CT106" s="112">
        <f t="shared" si="126"/>
        <v>884372.2207200001</v>
      </c>
      <c r="CU106" s="124">
        <f t="shared" si="127"/>
        <v>6483192.0000000009</v>
      </c>
      <c r="CV106" s="112">
        <f t="shared" si="106"/>
        <v>0</v>
      </c>
      <c r="CW106" s="112">
        <f t="shared" si="107"/>
        <v>0</v>
      </c>
      <c r="CX106" s="112">
        <f t="shared" si="128"/>
        <v>0</v>
      </c>
      <c r="CY106" s="112">
        <f t="shared" si="108"/>
        <v>434333.80512000003</v>
      </c>
      <c r="CZ106" s="112">
        <f t="shared" si="109"/>
        <v>450038.41560000001</v>
      </c>
      <c r="DA106" s="625"/>
      <c r="DB106" s="128" t="e">
        <f t="shared" si="129"/>
        <v>#DIV/0!</v>
      </c>
      <c r="DC106" s="625"/>
      <c r="DD106" s="625"/>
      <c r="DE106" s="625"/>
      <c r="DF106" s="625"/>
      <c r="DG106" s="618">
        <f t="shared" si="110"/>
        <v>0</v>
      </c>
      <c r="DH106" s="618">
        <f t="shared" si="111"/>
        <v>0</v>
      </c>
      <c r="DI106" s="618">
        <f t="shared" si="112"/>
        <v>0</v>
      </c>
      <c r="DJ106" s="123"/>
    </row>
    <row r="107" spans="1:114" s="32" customFormat="1" ht="63.75" customHeight="1">
      <c r="A107" s="20">
        <f t="shared" si="130"/>
        <v>92</v>
      </c>
      <c r="B107" s="1905"/>
      <c r="C107" s="806" t="s">
        <v>121</v>
      </c>
      <c r="D107" s="749" t="s">
        <v>141</v>
      </c>
      <c r="E107" s="617">
        <v>4632024035</v>
      </c>
      <c r="F107" s="806" t="s">
        <v>8</v>
      </c>
      <c r="G107" s="752" t="s">
        <v>890</v>
      </c>
      <c r="H107" s="819">
        <f t="shared" si="139"/>
        <v>3184.0320000000002</v>
      </c>
      <c r="I107" s="819">
        <f t="shared" si="139"/>
        <v>3184.0320000000002</v>
      </c>
      <c r="J107" s="38"/>
      <c r="K107" s="38"/>
      <c r="L107" s="819">
        <f>2653.36*1.2</f>
        <v>3184.0320000000002</v>
      </c>
      <c r="M107" s="10"/>
      <c r="N107" s="622">
        <f t="shared" si="140"/>
        <v>3299.1600000000003</v>
      </c>
      <c r="O107" s="622">
        <f t="shared" si="140"/>
        <v>3299.1600000000003</v>
      </c>
      <c r="P107" s="10"/>
      <c r="Q107" s="10"/>
      <c r="R107" s="622">
        <f>2749.3*1.2</f>
        <v>3299.1600000000003</v>
      </c>
      <c r="S107" s="10"/>
      <c r="T107" s="178">
        <v>64.724000000000004</v>
      </c>
      <c r="U107" s="16"/>
      <c r="V107" s="227"/>
      <c r="W107" s="16"/>
      <c r="X107" s="16"/>
      <c r="Y107" s="16"/>
      <c r="Z107" s="35">
        <f t="shared" si="131"/>
        <v>64.724000000000004</v>
      </c>
      <c r="AA107" s="178">
        <v>37.584000000000003</v>
      </c>
      <c r="AB107" s="16"/>
      <c r="AC107" s="227"/>
      <c r="AD107" s="16"/>
      <c r="AE107" s="16"/>
      <c r="AF107" s="16"/>
      <c r="AG107" s="35">
        <f t="shared" si="132"/>
        <v>37.584000000000003</v>
      </c>
      <c r="AH107" s="35">
        <f t="shared" si="113"/>
        <v>102.30800000000001</v>
      </c>
      <c r="AI107" s="15">
        <f t="shared" si="134"/>
        <v>102.30800000000001</v>
      </c>
      <c r="AJ107" s="15">
        <f t="shared" si="134"/>
        <v>0</v>
      </c>
      <c r="AK107" s="15">
        <f t="shared" si="134"/>
        <v>0</v>
      </c>
      <c r="AL107" s="15">
        <f t="shared" si="134"/>
        <v>0</v>
      </c>
      <c r="AM107" s="15">
        <f t="shared" si="133"/>
        <v>0</v>
      </c>
      <c r="AN107" s="15"/>
      <c r="AO107" s="15">
        <f t="shared" si="85"/>
        <v>102.30800000000001</v>
      </c>
      <c r="AP107" s="15">
        <f t="shared" si="86"/>
        <v>102.30800000000001</v>
      </c>
      <c r="AQ107" s="15">
        <f t="shared" si="81"/>
        <v>102.30800000000001</v>
      </c>
      <c r="AR107" s="127">
        <f t="shared" si="114"/>
        <v>0</v>
      </c>
      <c r="AS107" s="112">
        <f t="shared" si="135"/>
        <v>325751.94585600006</v>
      </c>
      <c r="AT107" s="112">
        <f t="shared" si="135"/>
        <v>0</v>
      </c>
      <c r="AU107" s="112">
        <f t="shared" si="135"/>
        <v>0</v>
      </c>
      <c r="AV107" s="112">
        <f t="shared" si="135"/>
        <v>0</v>
      </c>
      <c r="AW107" s="112">
        <f t="shared" si="135"/>
        <v>0</v>
      </c>
      <c r="AX107" s="112">
        <f t="shared" si="115"/>
        <v>325751.94585600006</v>
      </c>
      <c r="AY107" s="112">
        <f t="shared" si="116"/>
        <v>325751.94585600006</v>
      </c>
      <c r="AZ107" s="112">
        <f t="shared" si="137"/>
        <v>337530.46128000005</v>
      </c>
      <c r="BA107" s="112">
        <f t="shared" si="137"/>
        <v>0</v>
      </c>
      <c r="BB107" s="112">
        <f t="shared" si="137"/>
        <v>0</v>
      </c>
      <c r="BC107" s="112">
        <f t="shared" si="137"/>
        <v>0</v>
      </c>
      <c r="BD107" s="112">
        <f t="shared" si="137"/>
        <v>0</v>
      </c>
      <c r="BE107" s="112">
        <f t="shared" si="117"/>
        <v>337530.46128000005</v>
      </c>
      <c r="BF107" s="112">
        <f t="shared" si="118"/>
        <v>337530.46128000005</v>
      </c>
      <c r="BG107" s="126"/>
      <c r="BH107" s="126"/>
      <c r="BI107" s="112">
        <f t="shared" si="80"/>
        <v>0</v>
      </c>
      <c r="BJ107" s="112"/>
      <c r="BK107" s="112"/>
      <c r="BL107" s="112">
        <f t="shared" si="89"/>
        <v>206083.28716800001</v>
      </c>
      <c r="BM107" s="112">
        <f t="shared" si="89"/>
        <v>0</v>
      </c>
      <c r="BN107" s="112">
        <f t="shared" si="89"/>
        <v>0</v>
      </c>
      <c r="BO107" s="112">
        <f t="shared" si="89"/>
        <v>0</v>
      </c>
      <c r="BP107" s="112">
        <f t="shared" si="89"/>
        <v>0</v>
      </c>
      <c r="BQ107" s="112">
        <f t="shared" si="119"/>
        <v>206083.28716800001</v>
      </c>
      <c r="BR107" s="112">
        <f t="shared" si="120"/>
        <v>206083.28716800001</v>
      </c>
      <c r="BS107" s="112">
        <f t="shared" si="90"/>
        <v>123995.62944000002</v>
      </c>
      <c r="BT107" s="112">
        <f t="shared" si="90"/>
        <v>0</v>
      </c>
      <c r="BU107" s="112">
        <f t="shared" si="90"/>
        <v>0</v>
      </c>
      <c r="BV107" s="112">
        <f t="shared" si="93"/>
        <v>0</v>
      </c>
      <c r="BW107" s="112">
        <f t="shared" si="94"/>
        <v>0</v>
      </c>
      <c r="BX107" s="112">
        <f t="shared" si="121"/>
        <v>123995.62944000002</v>
      </c>
      <c r="BY107" s="112">
        <f t="shared" si="122"/>
        <v>123995.62944000002</v>
      </c>
      <c r="BZ107" s="113">
        <f t="shared" si="91"/>
        <v>0</v>
      </c>
      <c r="CA107" s="113">
        <f t="shared" si="91"/>
        <v>0</v>
      </c>
      <c r="CB107" s="113">
        <f t="shared" si="123"/>
        <v>0</v>
      </c>
      <c r="CC107" s="119" t="e">
        <f t="shared" si="92"/>
        <v>#DIV/0!</v>
      </c>
      <c r="CD107" s="119" t="e">
        <f t="shared" si="92"/>
        <v>#DIV/0!</v>
      </c>
      <c r="CE107" s="119" t="e">
        <f t="shared" si="124"/>
        <v>#DIV/0!</v>
      </c>
      <c r="CF107" s="113" t="e">
        <f t="shared" si="95"/>
        <v>#DIV/0!</v>
      </c>
      <c r="CG107" s="619">
        <f t="shared" si="96"/>
        <v>0</v>
      </c>
      <c r="CH107" s="132" t="e">
        <f t="shared" si="125"/>
        <v>#DIV/0!</v>
      </c>
      <c r="CI107" s="625"/>
      <c r="CJ107" s="208">
        <f t="shared" si="97"/>
        <v>206.083287168</v>
      </c>
      <c r="CK107" s="208">
        <f t="shared" si="98"/>
        <v>123.99562944000002</v>
      </c>
      <c r="CL107" s="208">
        <f t="shared" si="84"/>
        <v>330.07891660799999</v>
      </c>
      <c r="CM107" s="112">
        <f t="shared" si="99"/>
        <v>330078.91660800006</v>
      </c>
      <c r="CN107" s="112">
        <f t="shared" si="100"/>
        <v>325751.94585600006</v>
      </c>
      <c r="CO107" s="112">
        <f t="shared" si="101"/>
        <v>325751.94585600006</v>
      </c>
      <c r="CP107" s="112">
        <f t="shared" si="102"/>
        <v>206083.28716800001</v>
      </c>
      <c r="CQ107" s="112">
        <f t="shared" si="103"/>
        <v>337530.46128000005</v>
      </c>
      <c r="CR107" s="112">
        <f t="shared" si="104"/>
        <v>337530.46128000005</v>
      </c>
      <c r="CS107" s="112">
        <f t="shared" si="105"/>
        <v>123995.62944000002</v>
      </c>
      <c r="CT107" s="112">
        <f t="shared" si="126"/>
        <v>663282.40713600011</v>
      </c>
      <c r="CU107" s="124">
        <f t="shared" si="127"/>
        <v>6483192.0000000009</v>
      </c>
      <c r="CV107" s="112">
        <f t="shared" si="106"/>
        <v>0</v>
      </c>
      <c r="CW107" s="112">
        <f t="shared" si="107"/>
        <v>0</v>
      </c>
      <c r="CX107" s="112">
        <f t="shared" si="128"/>
        <v>0</v>
      </c>
      <c r="CY107" s="112">
        <f t="shared" si="108"/>
        <v>325751.94585600006</v>
      </c>
      <c r="CZ107" s="112">
        <f t="shared" si="109"/>
        <v>337530.46128000005</v>
      </c>
      <c r="DA107" s="625"/>
      <c r="DB107" s="128" t="e">
        <f t="shared" si="129"/>
        <v>#DIV/0!</v>
      </c>
      <c r="DC107" s="625"/>
      <c r="DD107" s="625"/>
      <c r="DE107" s="625"/>
      <c r="DF107" s="625"/>
      <c r="DG107" s="618">
        <f t="shared" si="110"/>
        <v>0</v>
      </c>
      <c r="DH107" s="618">
        <f t="shared" si="111"/>
        <v>0</v>
      </c>
      <c r="DI107" s="618">
        <f t="shared" si="112"/>
        <v>0</v>
      </c>
      <c r="DJ107" s="123"/>
    </row>
    <row r="108" spans="1:114" s="32" customFormat="1" ht="63.75" customHeight="1">
      <c r="A108" s="20">
        <f t="shared" si="130"/>
        <v>93</v>
      </c>
      <c r="B108" s="1896" t="s">
        <v>41</v>
      </c>
      <c r="C108" s="22" t="s">
        <v>122</v>
      </c>
      <c r="D108" s="749" t="s">
        <v>147</v>
      </c>
      <c r="E108" s="617">
        <v>4632024035</v>
      </c>
      <c r="F108" s="806" t="s">
        <v>8</v>
      </c>
      <c r="G108" s="752" t="s">
        <v>890</v>
      </c>
      <c r="H108" s="819">
        <f t="shared" si="139"/>
        <v>3184.0320000000002</v>
      </c>
      <c r="I108" s="819">
        <f t="shared" si="139"/>
        <v>3184.0320000000002</v>
      </c>
      <c r="J108" s="38">
        <v>2103.35</v>
      </c>
      <c r="K108" s="38"/>
      <c r="L108" s="819">
        <f>2653.36*1.2</f>
        <v>3184.0320000000002</v>
      </c>
      <c r="M108" s="10"/>
      <c r="N108" s="622">
        <f t="shared" si="140"/>
        <v>3299.1600000000003</v>
      </c>
      <c r="O108" s="622">
        <f t="shared" si="140"/>
        <v>3299.1600000000003</v>
      </c>
      <c r="P108" s="38">
        <v>2239.86</v>
      </c>
      <c r="Q108" s="10"/>
      <c r="R108" s="622">
        <f>2749.3*1.2</f>
        <v>3299.1600000000003</v>
      </c>
      <c r="S108" s="10"/>
      <c r="T108" s="648">
        <v>1953.9000000000003</v>
      </c>
      <c r="U108" s="650">
        <v>1293.3000000000002</v>
      </c>
      <c r="V108" s="227"/>
      <c r="W108" s="16"/>
      <c r="X108" s="16"/>
      <c r="Y108" s="16"/>
      <c r="Z108" s="35">
        <f t="shared" si="131"/>
        <v>3247.2000000000007</v>
      </c>
      <c r="AA108" s="178">
        <v>1034.6000000000001</v>
      </c>
      <c r="AB108" s="16">
        <v>970</v>
      </c>
      <c r="AC108" s="227"/>
      <c r="AD108" s="16"/>
      <c r="AE108" s="16"/>
      <c r="AF108" s="16"/>
      <c r="AG108" s="35">
        <f t="shared" si="132"/>
        <v>2004.6000000000001</v>
      </c>
      <c r="AH108" s="35">
        <f t="shared" si="113"/>
        <v>5251.8000000000011</v>
      </c>
      <c r="AI108" s="15">
        <f t="shared" si="134"/>
        <v>2988.5000000000005</v>
      </c>
      <c r="AJ108" s="15">
        <f t="shared" si="134"/>
        <v>2263.3000000000002</v>
      </c>
      <c r="AK108" s="15">
        <f t="shared" si="134"/>
        <v>0</v>
      </c>
      <c r="AL108" s="15">
        <f t="shared" si="134"/>
        <v>0</v>
      </c>
      <c r="AM108" s="15">
        <f t="shared" si="133"/>
        <v>0</v>
      </c>
      <c r="AN108" s="15"/>
      <c r="AO108" s="15">
        <f t="shared" si="85"/>
        <v>5251.8000000000011</v>
      </c>
      <c r="AP108" s="15">
        <f t="shared" si="86"/>
        <v>5251.8000000000011</v>
      </c>
      <c r="AQ108" s="15">
        <f t="shared" si="81"/>
        <v>5251.8000000000011</v>
      </c>
      <c r="AR108" s="127">
        <f t="shared" si="114"/>
        <v>0</v>
      </c>
      <c r="AS108" s="112">
        <f t="shared" si="135"/>
        <v>9515479.6320000011</v>
      </c>
      <c r="AT108" s="112">
        <f t="shared" si="135"/>
        <v>4760512.0550000006</v>
      </c>
      <c r="AU108" s="112">
        <f t="shared" si="135"/>
        <v>0</v>
      </c>
      <c r="AV108" s="112">
        <f t="shared" si="135"/>
        <v>0</v>
      </c>
      <c r="AW108" s="112">
        <f t="shared" si="135"/>
        <v>0</v>
      </c>
      <c r="AX108" s="112">
        <f t="shared" si="115"/>
        <v>14275991.687000003</v>
      </c>
      <c r="AY108" s="112">
        <f t="shared" si="116"/>
        <v>14275991.687000003</v>
      </c>
      <c r="AZ108" s="112">
        <f t="shared" si="137"/>
        <v>9859539.660000002</v>
      </c>
      <c r="BA108" s="112">
        <f t="shared" si="137"/>
        <v>5069475.1380000003</v>
      </c>
      <c r="BB108" s="112">
        <f t="shared" si="137"/>
        <v>0</v>
      </c>
      <c r="BC108" s="112">
        <f t="shared" si="137"/>
        <v>0</v>
      </c>
      <c r="BD108" s="112">
        <f t="shared" si="137"/>
        <v>0</v>
      </c>
      <c r="BE108" s="112">
        <f t="shared" si="117"/>
        <v>14929014.798000002</v>
      </c>
      <c r="BF108" s="112">
        <f t="shared" si="118"/>
        <v>14929014.798000002</v>
      </c>
      <c r="BG108" s="623">
        <f>(I108-J108)/1.2*U108/1000</f>
        <v>1164.7050255000004</v>
      </c>
      <c r="BH108" s="624">
        <f>(O108-P108)/1.2*AB108/1000</f>
        <v>856.26750000000027</v>
      </c>
      <c r="BI108" s="623">
        <f t="shared" si="80"/>
        <v>2020.9725255000008</v>
      </c>
      <c r="BJ108" s="169"/>
      <c r="BK108" s="169"/>
      <c r="BL108" s="112">
        <f t="shared" ref="BL108:BP130" si="141">I108*T108</f>
        <v>6221280.1248000013</v>
      </c>
      <c r="BM108" s="112">
        <f t="shared" si="141"/>
        <v>2720262.5550000002</v>
      </c>
      <c r="BN108" s="112">
        <f t="shared" si="141"/>
        <v>0</v>
      </c>
      <c r="BO108" s="112">
        <f t="shared" si="141"/>
        <v>0</v>
      </c>
      <c r="BP108" s="112">
        <f t="shared" si="141"/>
        <v>0</v>
      </c>
      <c r="BQ108" s="112">
        <f t="shared" si="119"/>
        <v>8941542.6798000019</v>
      </c>
      <c r="BR108" s="112">
        <f t="shared" si="120"/>
        <v>8941542.6798000019</v>
      </c>
      <c r="BS108" s="112">
        <f t="shared" ref="BS108:BU140" si="142">O108*AA108</f>
        <v>3413310.9360000007</v>
      </c>
      <c r="BT108" s="112">
        <f t="shared" si="142"/>
        <v>2172664.2000000002</v>
      </c>
      <c r="BU108" s="112">
        <f t="shared" si="142"/>
        <v>0</v>
      </c>
      <c r="BV108" s="112">
        <f t="shared" si="93"/>
        <v>0</v>
      </c>
      <c r="BW108" s="112">
        <f t="shared" si="94"/>
        <v>0</v>
      </c>
      <c r="BX108" s="112">
        <f t="shared" si="121"/>
        <v>5585975.1360000009</v>
      </c>
      <c r="BY108" s="112">
        <f t="shared" si="122"/>
        <v>5585975.1360000009</v>
      </c>
      <c r="BZ108" s="113">
        <f t="shared" si="91"/>
        <v>4892926.7550000008</v>
      </c>
      <c r="CA108" s="113">
        <f t="shared" si="91"/>
        <v>0</v>
      </c>
      <c r="CB108" s="113">
        <f t="shared" si="123"/>
        <v>4892926.7550000008</v>
      </c>
      <c r="CC108" s="119">
        <f t="shared" si="92"/>
        <v>2161.855147351213</v>
      </c>
      <c r="CD108" s="119" t="e">
        <f t="shared" si="92"/>
        <v>#DIV/0!</v>
      </c>
      <c r="CE108" s="119">
        <f t="shared" si="124"/>
        <v>2161.855147351213</v>
      </c>
      <c r="CF108" s="119">
        <f t="shared" si="95"/>
        <v>2161.855147351213</v>
      </c>
      <c r="CG108" s="619">
        <f t="shared" si="96"/>
        <v>7318093.785600001</v>
      </c>
      <c r="CH108" s="132">
        <f t="shared" si="125"/>
        <v>3233.3732981045378</v>
      </c>
      <c r="CI108" s="625"/>
      <c r="CJ108" s="208">
        <f t="shared" si="97"/>
        <v>10339.188710400002</v>
      </c>
      <c r="CK108" s="208">
        <f t="shared" si="98"/>
        <v>6613.4961360000007</v>
      </c>
      <c r="CL108" s="208">
        <f t="shared" si="84"/>
        <v>16952.684846400003</v>
      </c>
      <c r="CM108" s="112">
        <f t="shared" si="99"/>
        <v>16952684.846400004</v>
      </c>
      <c r="CN108" s="112">
        <f t="shared" si="100"/>
        <v>14275991.687000003</v>
      </c>
      <c r="CO108" s="112">
        <f t="shared" si="101"/>
        <v>14275991.687000003</v>
      </c>
      <c r="CP108" s="112">
        <f t="shared" si="102"/>
        <v>8941542.6798000019</v>
      </c>
      <c r="CQ108" s="112">
        <f t="shared" si="103"/>
        <v>14929014.798000002</v>
      </c>
      <c r="CR108" s="112">
        <f t="shared" si="104"/>
        <v>14929014.798000002</v>
      </c>
      <c r="CS108" s="112">
        <f t="shared" si="105"/>
        <v>5585975.1360000009</v>
      </c>
      <c r="CT108" s="112">
        <f t="shared" si="126"/>
        <v>29205006.485000007</v>
      </c>
      <c r="CU108" s="124">
        <f t="shared" si="127"/>
        <v>5560951.7660611598</v>
      </c>
      <c r="CV108" s="112">
        <f t="shared" si="106"/>
        <v>4760512.0550000006</v>
      </c>
      <c r="CW108" s="112">
        <f t="shared" si="107"/>
        <v>5069475.1380000003</v>
      </c>
      <c r="CX108" s="112">
        <f t="shared" si="128"/>
        <v>9829987.193</v>
      </c>
      <c r="CY108" s="112">
        <f t="shared" si="108"/>
        <v>16721899.257600002</v>
      </c>
      <c r="CZ108" s="112">
        <f t="shared" si="109"/>
        <v>17326528.488000005</v>
      </c>
      <c r="DA108" s="625"/>
      <c r="DB108" s="128">
        <f t="shared" si="129"/>
        <v>156.8526398364514</v>
      </c>
      <c r="DC108" s="625"/>
      <c r="DD108" s="625"/>
      <c r="DE108" s="625"/>
      <c r="DF108" s="625"/>
      <c r="DG108" s="618">
        <f t="shared" si="110"/>
        <v>0</v>
      </c>
      <c r="DH108" s="618">
        <f t="shared" si="111"/>
        <v>0</v>
      </c>
      <c r="DI108" s="618">
        <f t="shared" si="112"/>
        <v>0</v>
      </c>
      <c r="DJ108" s="123"/>
    </row>
    <row r="109" spans="1:114" s="32" customFormat="1" ht="63.75" customHeight="1">
      <c r="A109" s="20">
        <f t="shared" si="130"/>
        <v>94</v>
      </c>
      <c r="B109" s="1905"/>
      <c r="C109" s="806" t="s">
        <v>123</v>
      </c>
      <c r="D109" s="749" t="s">
        <v>141</v>
      </c>
      <c r="E109" s="617">
        <v>4632024035</v>
      </c>
      <c r="F109" s="806" t="s">
        <v>8</v>
      </c>
      <c r="G109" s="752" t="s">
        <v>890</v>
      </c>
      <c r="H109" s="819">
        <f>2653.36*1.2</f>
        <v>3184.0320000000002</v>
      </c>
      <c r="I109" s="819">
        <f>2653.36*1.2</f>
        <v>3184.0320000000002</v>
      </c>
      <c r="J109" s="38"/>
      <c r="K109" s="38"/>
      <c r="L109" s="819">
        <f>2653.36*1.2</f>
        <v>3184.0320000000002</v>
      </c>
      <c r="M109" s="10"/>
      <c r="N109" s="622">
        <f t="shared" si="140"/>
        <v>3299.1600000000003</v>
      </c>
      <c r="O109" s="622">
        <f t="shared" si="140"/>
        <v>3299.1600000000003</v>
      </c>
      <c r="P109" s="10"/>
      <c r="Q109" s="10"/>
      <c r="R109" s="622">
        <f>2749.3*1.2</f>
        <v>3299.1600000000003</v>
      </c>
      <c r="S109" s="10"/>
      <c r="T109" s="178">
        <v>312.44400000000002</v>
      </c>
      <c r="U109" s="16"/>
      <c r="V109" s="227"/>
      <c r="W109" s="16"/>
      <c r="X109" s="16"/>
      <c r="Y109" s="16"/>
      <c r="Z109" s="35">
        <f t="shared" si="131"/>
        <v>312.44400000000002</v>
      </c>
      <c r="AA109" s="178">
        <v>182.11200000000002</v>
      </c>
      <c r="AB109" s="16"/>
      <c r="AC109" s="227"/>
      <c r="AD109" s="16"/>
      <c r="AE109" s="16"/>
      <c r="AF109" s="16"/>
      <c r="AG109" s="35">
        <f t="shared" si="132"/>
        <v>182.11200000000002</v>
      </c>
      <c r="AH109" s="35">
        <f t="shared" si="113"/>
        <v>494.55600000000004</v>
      </c>
      <c r="AI109" s="15">
        <f t="shared" si="134"/>
        <v>494.55600000000004</v>
      </c>
      <c r="AJ109" s="15">
        <f t="shared" si="134"/>
        <v>0</v>
      </c>
      <c r="AK109" s="15">
        <f t="shared" si="134"/>
        <v>0</v>
      </c>
      <c r="AL109" s="15">
        <f t="shared" si="134"/>
        <v>0</v>
      </c>
      <c r="AM109" s="15">
        <f t="shared" si="133"/>
        <v>0</v>
      </c>
      <c r="AN109" s="15"/>
      <c r="AO109" s="15">
        <f t="shared" si="85"/>
        <v>494.55600000000004</v>
      </c>
      <c r="AP109" s="15">
        <f t="shared" si="86"/>
        <v>494.55600000000004</v>
      </c>
      <c r="AQ109" s="15">
        <f t="shared" si="81"/>
        <v>494.55600000000004</v>
      </c>
      <c r="AR109" s="127">
        <f t="shared" si="114"/>
        <v>0</v>
      </c>
      <c r="AS109" s="112">
        <f t="shared" si="135"/>
        <v>1574682.1297920002</v>
      </c>
      <c r="AT109" s="112">
        <f t="shared" si="135"/>
        <v>0</v>
      </c>
      <c r="AU109" s="112">
        <f t="shared" si="135"/>
        <v>0</v>
      </c>
      <c r="AV109" s="112">
        <f t="shared" si="135"/>
        <v>0</v>
      </c>
      <c r="AW109" s="112">
        <f t="shared" si="135"/>
        <v>0</v>
      </c>
      <c r="AX109" s="112">
        <f t="shared" si="115"/>
        <v>1574682.1297920002</v>
      </c>
      <c r="AY109" s="112">
        <f t="shared" si="116"/>
        <v>1574682.1297920002</v>
      </c>
      <c r="AZ109" s="112">
        <f t="shared" si="137"/>
        <v>1631619.3729600003</v>
      </c>
      <c r="BA109" s="112">
        <f t="shared" si="137"/>
        <v>0</v>
      </c>
      <c r="BB109" s="112">
        <f t="shared" si="137"/>
        <v>0</v>
      </c>
      <c r="BC109" s="112">
        <f t="shared" si="137"/>
        <v>0</v>
      </c>
      <c r="BD109" s="112">
        <f t="shared" si="137"/>
        <v>0</v>
      </c>
      <c r="BE109" s="112">
        <f t="shared" si="117"/>
        <v>1631619.3729600003</v>
      </c>
      <c r="BF109" s="112">
        <f t="shared" si="118"/>
        <v>1631619.3729600003</v>
      </c>
      <c r="BG109" s="126"/>
      <c r="BH109" s="126"/>
      <c r="BI109" s="112">
        <f t="shared" si="80"/>
        <v>0</v>
      </c>
      <c r="BJ109" s="112"/>
      <c r="BK109" s="112"/>
      <c r="BL109" s="112">
        <f t="shared" si="141"/>
        <v>994831.69420800009</v>
      </c>
      <c r="BM109" s="112">
        <f t="shared" si="141"/>
        <v>0</v>
      </c>
      <c r="BN109" s="112">
        <f t="shared" si="141"/>
        <v>0</v>
      </c>
      <c r="BO109" s="112">
        <f t="shared" si="141"/>
        <v>0</v>
      </c>
      <c r="BP109" s="112">
        <f t="shared" si="141"/>
        <v>0</v>
      </c>
      <c r="BQ109" s="112">
        <f t="shared" si="119"/>
        <v>994831.69420800009</v>
      </c>
      <c r="BR109" s="112">
        <f t="shared" si="120"/>
        <v>994831.69420800009</v>
      </c>
      <c r="BS109" s="112">
        <f t="shared" si="142"/>
        <v>600816.62592000014</v>
      </c>
      <c r="BT109" s="112">
        <f t="shared" si="142"/>
        <v>0</v>
      </c>
      <c r="BU109" s="112">
        <f t="shared" si="142"/>
        <v>0</v>
      </c>
      <c r="BV109" s="112">
        <f t="shared" si="93"/>
        <v>0</v>
      </c>
      <c r="BW109" s="112">
        <f t="shared" si="94"/>
        <v>0</v>
      </c>
      <c r="BX109" s="112">
        <f t="shared" si="121"/>
        <v>600816.62592000014</v>
      </c>
      <c r="BY109" s="112">
        <f t="shared" si="122"/>
        <v>600816.62592000014</v>
      </c>
      <c r="BZ109" s="113">
        <f t="shared" si="91"/>
        <v>0</v>
      </c>
      <c r="CA109" s="113">
        <f t="shared" si="91"/>
        <v>0</v>
      </c>
      <c r="CB109" s="113">
        <f t="shared" si="123"/>
        <v>0</v>
      </c>
      <c r="CC109" s="119" t="e">
        <f t="shared" si="92"/>
        <v>#DIV/0!</v>
      </c>
      <c r="CD109" s="119" t="e">
        <f t="shared" si="92"/>
        <v>#DIV/0!</v>
      </c>
      <c r="CE109" s="119" t="e">
        <f t="shared" si="124"/>
        <v>#DIV/0!</v>
      </c>
      <c r="CF109" s="113" t="e">
        <f t="shared" si="95"/>
        <v>#DIV/0!</v>
      </c>
      <c r="CG109" s="619">
        <f t="shared" si="96"/>
        <v>0</v>
      </c>
      <c r="CH109" s="132" t="e">
        <f t="shared" si="125"/>
        <v>#DIV/0!</v>
      </c>
      <c r="CI109" s="625"/>
      <c r="CJ109" s="208">
        <f t="shared" si="97"/>
        <v>994.83169420800004</v>
      </c>
      <c r="CK109" s="208">
        <f t="shared" si="98"/>
        <v>600.81662592000009</v>
      </c>
      <c r="CL109" s="208">
        <f t="shared" si="84"/>
        <v>1595.6483201280003</v>
      </c>
      <c r="CM109" s="112">
        <f t="shared" si="99"/>
        <v>1595648.3201280003</v>
      </c>
      <c r="CN109" s="112">
        <f t="shared" si="100"/>
        <v>1574682.1297920002</v>
      </c>
      <c r="CO109" s="112">
        <f t="shared" si="101"/>
        <v>1574682.1297920002</v>
      </c>
      <c r="CP109" s="112">
        <f t="shared" si="102"/>
        <v>994831.69420800009</v>
      </c>
      <c r="CQ109" s="112">
        <f t="shared" si="103"/>
        <v>1631619.3729600003</v>
      </c>
      <c r="CR109" s="112">
        <f t="shared" si="104"/>
        <v>1631619.3729600003</v>
      </c>
      <c r="CS109" s="112">
        <f t="shared" si="105"/>
        <v>600816.62592000014</v>
      </c>
      <c r="CT109" s="112">
        <f t="shared" si="126"/>
        <v>3206301.5027520005</v>
      </c>
      <c r="CU109" s="124">
        <f t="shared" si="127"/>
        <v>6483192</v>
      </c>
      <c r="CV109" s="112">
        <f t="shared" si="106"/>
        <v>0</v>
      </c>
      <c r="CW109" s="112">
        <f t="shared" si="107"/>
        <v>0</v>
      </c>
      <c r="CX109" s="112">
        <f t="shared" si="128"/>
        <v>0</v>
      </c>
      <c r="CY109" s="112">
        <f t="shared" si="108"/>
        <v>1574682.1297920002</v>
      </c>
      <c r="CZ109" s="112">
        <f t="shared" si="109"/>
        <v>1631619.3729600003</v>
      </c>
      <c r="DA109" s="625"/>
      <c r="DB109" s="128" t="e">
        <f t="shared" si="129"/>
        <v>#DIV/0!</v>
      </c>
      <c r="DC109" s="625"/>
      <c r="DD109" s="625"/>
      <c r="DE109" s="625"/>
      <c r="DF109" s="625"/>
      <c r="DG109" s="618">
        <f t="shared" si="110"/>
        <v>0</v>
      </c>
      <c r="DH109" s="618">
        <f t="shared" si="111"/>
        <v>0</v>
      </c>
      <c r="DI109" s="618">
        <f t="shared" si="112"/>
        <v>0</v>
      </c>
      <c r="DJ109" s="123"/>
    </row>
    <row r="110" spans="1:114" s="155" customFormat="1" ht="63.75" customHeight="1">
      <c r="A110" s="20">
        <f t="shared" si="130"/>
        <v>95</v>
      </c>
      <c r="B110" s="1984" t="s">
        <v>42</v>
      </c>
      <c r="C110" s="810" t="s">
        <v>170</v>
      </c>
      <c r="D110" s="751" t="s">
        <v>145</v>
      </c>
      <c r="E110" s="617">
        <v>4632024035</v>
      </c>
      <c r="F110" s="806" t="s">
        <v>8</v>
      </c>
      <c r="G110" s="752" t="s">
        <v>890</v>
      </c>
      <c r="H110" s="819">
        <f t="shared" ref="H110:I118" si="143">2653.36*1.2</f>
        <v>3184.0320000000002</v>
      </c>
      <c r="I110" s="819">
        <f t="shared" si="143"/>
        <v>3184.0320000000002</v>
      </c>
      <c r="J110" s="38">
        <v>2103.35</v>
      </c>
      <c r="K110" s="38">
        <v>1543.07</v>
      </c>
      <c r="L110" s="819">
        <f t="shared" ref="L110:L118" si="144">2653.36*1.2</f>
        <v>3184.0320000000002</v>
      </c>
      <c r="M110" s="38"/>
      <c r="N110" s="622">
        <f t="shared" si="140"/>
        <v>3299.1600000000003</v>
      </c>
      <c r="O110" s="622">
        <f t="shared" si="140"/>
        <v>3299.1600000000003</v>
      </c>
      <c r="P110" s="38">
        <v>2239.86</v>
      </c>
      <c r="Q110" s="38">
        <v>1643.22</v>
      </c>
      <c r="R110" s="622">
        <f>2749.3*1.2</f>
        <v>3299.1600000000003</v>
      </c>
      <c r="S110" s="38"/>
      <c r="T110" s="648">
        <v>6902.9889999999996</v>
      </c>
      <c r="U110" s="650">
        <f>10867.076-0.006</f>
        <v>10867.07</v>
      </c>
      <c r="V110" s="669">
        <f>1092.883</f>
        <v>1092.883</v>
      </c>
      <c r="W110" s="606"/>
      <c r="X110" s="606"/>
      <c r="Y110" s="606"/>
      <c r="Z110" s="178">
        <f t="shared" si="131"/>
        <v>18862.942000000003</v>
      </c>
      <c r="AA110" s="620">
        <v>4107.1200000000008</v>
      </c>
      <c r="AB110" s="606">
        <v>8150.3070000000007</v>
      </c>
      <c r="AC110" s="605">
        <v>780.34699999999998</v>
      </c>
      <c r="AD110" s="606"/>
      <c r="AE110" s="606"/>
      <c r="AF110" s="606"/>
      <c r="AG110" s="178">
        <f t="shared" si="132"/>
        <v>13037.774000000001</v>
      </c>
      <c r="AH110" s="178">
        <f t="shared" si="113"/>
        <v>31900.716000000004</v>
      </c>
      <c r="AI110" s="16">
        <f t="shared" si="134"/>
        <v>11010.109</v>
      </c>
      <c r="AJ110" s="16">
        <f t="shared" si="134"/>
        <v>19017.377</v>
      </c>
      <c r="AK110" s="16">
        <f t="shared" si="134"/>
        <v>1873.23</v>
      </c>
      <c r="AL110" s="16">
        <f t="shared" si="134"/>
        <v>0</v>
      </c>
      <c r="AM110" s="16">
        <f t="shared" si="133"/>
        <v>0</v>
      </c>
      <c r="AN110" s="16"/>
      <c r="AO110" s="16">
        <f t="shared" si="85"/>
        <v>31900.716</v>
      </c>
      <c r="AP110" s="16">
        <f t="shared" si="86"/>
        <v>31900.716</v>
      </c>
      <c r="AQ110" s="16">
        <f t="shared" si="81"/>
        <v>31900.716</v>
      </c>
      <c r="AR110" s="127">
        <f t="shared" si="114"/>
        <v>0</v>
      </c>
      <c r="AS110" s="112">
        <f t="shared" si="135"/>
        <v>35056539.379488006</v>
      </c>
      <c r="AT110" s="112">
        <f t="shared" si="135"/>
        <v>40000199.912950002</v>
      </c>
      <c r="AU110" s="112">
        <f t="shared" si="135"/>
        <v>2890525.0161000001</v>
      </c>
      <c r="AV110" s="112">
        <f t="shared" si="135"/>
        <v>0</v>
      </c>
      <c r="AW110" s="112">
        <f t="shared" si="135"/>
        <v>0</v>
      </c>
      <c r="AX110" s="112">
        <f t="shared" si="115"/>
        <v>77947264.308538005</v>
      </c>
      <c r="AY110" s="112">
        <f t="shared" si="116"/>
        <v>77947264.308538005</v>
      </c>
      <c r="AZ110" s="112">
        <f t="shared" si="137"/>
        <v>36324111.208440006</v>
      </c>
      <c r="BA110" s="112">
        <f t="shared" si="137"/>
        <v>42596262.047220007</v>
      </c>
      <c r="BB110" s="112">
        <f t="shared" si="137"/>
        <v>3078129.0005999999</v>
      </c>
      <c r="BC110" s="112">
        <f t="shared" si="137"/>
        <v>0</v>
      </c>
      <c r="BD110" s="112">
        <f t="shared" si="137"/>
        <v>0</v>
      </c>
      <c r="BE110" s="112">
        <f t="shared" si="117"/>
        <v>81998502.256260008</v>
      </c>
      <c r="BF110" s="112">
        <f t="shared" si="118"/>
        <v>81998502.256260008</v>
      </c>
      <c r="BG110" s="623">
        <f>(I110-J110)/1.2*U110/1000+(I110-K110)/1.2*V110/1000</f>
        <v>11281.022012655003</v>
      </c>
      <c r="BH110" s="624">
        <f>(O110-P110)/1.2*AB110/1000+(O110-Q110)/1.2*AC110/1000</f>
        <v>8271.5233469000032</v>
      </c>
      <c r="BI110" s="623">
        <f t="shared" si="80"/>
        <v>19552.545359555006</v>
      </c>
      <c r="BJ110" s="169"/>
      <c r="BK110" s="169"/>
      <c r="BL110" s="126">
        <f t="shared" si="141"/>
        <v>21979337.871647999</v>
      </c>
      <c r="BM110" s="126">
        <f t="shared" si="141"/>
        <v>22857251.684499998</v>
      </c>
      <c r="BN110" s="126">
        <f t="shared" si="141"/>
        <v>1686394.9708100001</v>
      </c>
      <c r="BO110" s="126">
        <f t="shared" si="141"/>
        <v>0</v>
      </c>
      <c r="BP110" s="126">
        <f t="shared" si="141"/>
        <v>0</v>
      </c>
      <c r="BQ110" s="126">
        <f t="shared" si="119"/>
        <v>46522984.526957996</v>
      </c>
      <c r="BR110" s="126">
        <f t="shared" si="120"/>
        <v>46522984.526957996</v>
      </c>
      <c r="BS110" s="126">
        <f t="shared" si="142"/>
        <v>13550046.019200005</v>
      </c>
      <c r="BT110" s="126">
        <f t="shared" si="142"/>
        <v>18255546.637020003</v>
      </c>
      <c r="BU110" s="126">
        <f t="shared" si="142"/>
        <v>1282281.79734</v>
      </c>
      <c r="BV110" s="126">
        <f t="shared" si="93"/>
        <v>0</v>
      </c>
      <c r="BW110" s="126">
        <f t="shared" si="94"/>
        <v>0</v>
      </c>
      <c r="BX110" s="126">
        <f t="shared" si="121"/>
        <v>33087874.45356001</v>
      </c>
      <c r="BY110" s="126">
        <f t="shared" si="122"/>
        <v>33087874.45356001</v>
      </c>
      <c r="BZ110" s="675">
        <f t="shared" si="91"/>
        <v>41112798.321520001</v>
      </c>
      <c r="CA110" s="675">
        <f t="shared" si="91"/>
        <v>2968676.7681499999</v>
      </c>
      <c r="CB110" s="675">
        <f t="shared" si="123"/>
        <v>44081475.089670002</v>
      </c>
      <c r="CC110" s="676">
        <f t="shared" si="92"/>
        <v>2161.854304172442</v>
      </c>
      <c r="CD110" s="676">
        <f t="shared" si="92"/>
        <v>1584.7903184072431</v>
      </c>
      <c r="CE110" s="676">
        <f t="shared" si="124"/>
        <v>2110.1098254191465</v>
      </c>
      <c r="CF110" s="676">
        <f t="shared" si="95"/>
        <v>2110.1098254191461</v>
      </c>
      <c r="CG110" s="677">
        <f t="shared" si="96"/>
        <v>67544529.521136001</v>
      </c>
      <c r="CH110" s="678">
        <f t="shared" si="125"/>
        <v>3233.2487764063535</v>
      </c>
      <c r="CI110" s="621"/>
      <c r="CJ110" s="208">
        <f t="shared" si="97"/>
        <v>60060.210942144011</v>
      </c>
      <c r="CK110" s="208">
        <f t="shared" si="98"/>
        <v>43013.702469840006</v>
      </c>
      <c r="CL110" s="208">
        <f t="shared" si="84"/>
        <v>103073.91341198402</v>
      </c>
      <c r="CM110" s="126">
        <f t="shared" si="99"/>
        <v>103073913.41198403</v>
      </c>
      <c r="CN110" s="126">
        <f t="shared" si="100"/>
        <v>77947264.308538005</v>
      </c>
      <c r="CO110" s="126">
        <f t="shared" si="101"/>
        <v>78996797.612938002</v>
      </c>
      <c r="CP110" s="126">
        <f t="shared" si="102"/>
        <v>46522984.526957996</v>
      </c>
      <c r="CQ110" s="126">
        <f t="shared" si="103"/>
        <v>81998502.256260008</v>
      </c>
      <c r="CR110" s="126">
        <f t="shared" si="104"/>
        <v>83116146.203460008</v>
      </c>
      <c r="CS110" s="126">
        <f t="shared" si="105"/>
        <v>33087874.45356001</v>
      </c>
      <c r="CT110" s="126">
        <f t="shared" si="126"/>
        <v>159945766.564798</v>
      </c>
      <c r="CU110" s="679">
        <f t="shared" si="127"/>
        <v>5013861.3366796523</v>
      </c>
      <c r="CV110" s="126">
        <f t="shared" si="106"/>
        <v>42890724.929049999</v>
      </c>
      <c r="CW110" s="126">
        <f t="shared" si="107"/>
        <v>45674391.047820009</v>
      </c>
      <c r="CX110" s="126">
        <f t="shared" si="128"/>
        <v>88565115.97687</v>
      </c>
      <c r="CY110" s="126">
        <f t="shared" si="108"/>
        <v>101572900.566912</v>
      </c>
      <c r="CZ110" s="126">
        <f t="shared" si="109"/>
        <v>105245566.19856001</v>
      </c>
      <c r="DA110" s="621"/>
      <c r="DB110" s="680">
        <f t="shared" si="129"/>
        <v>156.8526398364514</v>
      </c>
      <c r="DC110" s="621"/>
      <c r="DD110" s="621"/>
      <c r="DE110" s="621"/>
      <c r="DF110" s="621"/>
      <c r="DG110" s="618">
        <f t="shared" si="110"/>
        <v>0</v>
      </c>
      <c r="DH110" s="618">
        <f t="shared" si="111"/>
        <v>0</v>
      </c>
      <c r="DI110" s="618">
        <f t="shared" si="112"/>
        <v>0</v>
      </c>
      <c r="DJ110" s="154"/>
    </row>
    <row r="111" spans="1:114" s="32" customFormat="1" ht="63.75" customHeight="1">
      <c r="A111" s="20">
        <f t="shared" si="130"/>
        <v>96</v>
      </c>
      <c r="B111" s="1897"/>
      <c r="C111" s="806" t="s">
        <v>124</v>
      </c>
      <c r="D111" s="749" t="s">
        <v>141</v>
      </c>
      <c r="E111" s="617">
        <v>4632024035</v>
      </c>
      <c r="F111" s="806" t="s">
        <v>8</v>
      </c>
      <c r="G111" s="752" t="s">
        <v>890</v>
      </c>
      <c r="H111" s="819">
        <f t="shared" si="143"/>
        <v>3184.0320000000002</v>
      </c>
      <c r="I111" s="819">
        <f t="shared" si="143"/>
        <v>3184.0320000000002</v>
      </c>
      <c r="J111" s="38"/>
      <c r="K111" s="38"/>
      <c r="L111" s="819">
        <f t="shared" si="144"/>
        <v>3184.0320000000002</v>
      </c>
      <c r="M111" s="10"/>
      <c r="N111" s="622">
        <f t="shared" si="140"/>
        <v>3299.1600000000003</v>
      </c>
      <c r="O111" s="622">
        <f t="shared" si="140"/>
        <v>3299.1600000000003</v>
      </c>
      <c r="P111" s="10"/>
      <c r="Q111" s="10"/>
      <c r="R111" s="622">
        <f t="shared" ref="R111:R118" si="145">2749.3*1.2</f>
        <v>3299.1600000000003</v>
      </c>
      <c r="S111" s="10"/>
      <c r="T111" s="178">
        <v>442.27800000000002</v>
      </c>
      <c r="U111" s="16"/>
      <c r="V111" s="227"/>
      <c r="W111" s="16"/>
      <c r="X111" s="16"/>
      <c r="Y111" s="16"/>
      <c r="Z111" s="35">
        <f t="shared" si="131"/>
        <v>442.27800000000002</v>
      </c>
      <c r="AA111" s="178">
        <v>256.82400000000001</v>
      </c>
      <c r="AB111" s="16"/>
      <c r="AC111" s="227"/>
      <c r="AD111" s="16"/>
      <c r="AE111" s="16"/>
      <c r="AF111" s="16"/>
      <c r="AG111" s="35">
        <f t="shared" si="132"/>
        <v>256.82400000000001</v>
      </c>
      <c r="AH111" s="35">
        <f t="shared" si="113"/>
        <v>699.10200000000009</v>
      </c>
      <c r="AI111" s="15">
        <f t="shared" si="134"/>
        <v>699.10200000000009</v>
      </c>
      <c r="AJ111" s="15">
        <f t="shared" si="134"/>
        <v>0</v>
      </c>
      <c r="AK111" s="15">
        <f t="shared" si="134"/>
        <v>0</v>
      </c>
      <c r="AL111" s="15">
        <f t="shared" si="134"/>
        <v>0</v>
      </c>
      <c r="AM111" s="15">
        <f t="shared" si="133"/>
        <v>0</v>
      </c>
      <c r="AN111" s="15"/>
      <c r="AO111" s="15">
        <f t="shared" si="85"/>
        <v>699.10200000000009</v>
      </c>
      <c r="AP111" s="15">
        <f t="shared" si="86"/>
        <v>699.10200000000009</v>
      </c>
      <c r="AQ111" s="15">
        <f t="shared" si="81"/>
        <v>699.10200000000009</v>
      </c>
      <c r="AR111" s="127">
        <f t="shared" si="114"/>
        <v>0</v>
      </c>
      <c r="AS111" s="112">
        <f t="shared" si="135"/>
        <v>2225963.1392640006</v>
      </c>
      <c r="AT111" s="112">
        <f t="shared" si="135"/>
        <v>0</v>
      </c>
      <c r="AU111" s="112">
        <f t="shared" si="135"/>
        <v>0</v>
      </c>
      <c r="AV111" s="112">
        <f t="shared" si="135"/>
        <v>0</v>
      </c>
      <c r="AW111" s="112">
        <f t="shared" si="135"/>
        <v>0</v>
      </c>
      <c r="AX111" s="112">
        <f t="shared" si="115"/>
        <v>2225963.1392640006</v>
      </c>
      <c r="AY111" s="112">
        <f t="shared" si="116"/>
        <v>2225963.1392640006</v>
      </c>
      <c r="AZ111" s="112">
        <f t="shared" si="137"/>
        <v>2306449.3543200004</v>
      </c>
      <c r="BA111" s="112">
        <f t="shared" si="137"/>
        <v>0</v>
      </c>
      <c r="BB111" s="112">
        <f t="shared" si="137"/>
        <v>0</v>
      </c>
      <c r="BC111" s="112">
        <f t="shared" si="137"/>
        <v>0</v>
      </c>
      <c r="BD111" s="112">
        <f t="shared" si="137"/>
        <v>0</v>
      </c>
      <c r="BE111" s="112">
        <f t="shared" si="117"/>
        <v>2306449.3543200004</v>
      </c>
      <c r="BF111" s="112">
        <f t="shared" si="118"/>
        <v>2306449.3543200004</v>
      </c>
      <c r="BG111" s="126"/>
      <c r="BH111" s="126"/>
      <c r="BI111" s="112">
        <f t="shared" si="80"/>
        <v>0</v>
      </c>
      <c r="BJ111" s="112"/>
      <c r="BK111" s="112"/>
      <c r="BL111" s="112">
        <f t="shared" si="141"/>
        <v>1408227.3048960001</v>
      </c>
      <c r="BM111" s="112">
        <f t="shared" si="141"/>
        <v>0</v>
      </c>
      <c r="BN111" s="112">
        <f t="shared" si="141"/>
        <v>0</v>
      </c>
      <c r="BO111" s="112">
        <f t="shared" si="141"/>
        <v>0</v>
      </c>
      <c r="BP111" s="112">
        <f t="shared" si="141"/>
        <v>0</v>
      </c>
      <c r="BQ111" s="112">
        <f t="shared" si="119"/>
        <v>1408227.3048960001</v>
      </c>
      <c r="BR111" s="112">
        <f t="shared" si="120"/>
        <v>1408227.3048960001</v>
      </c>
      <c r="BS111" s="112">
        <f t="shared" si="142"/>
        <v>847303.46784000017</v>
      </c>
      <c r="BT111" s="112">
        <f t="shared" si="142"/>
        <v>0</v>
      </c>
      <c r="BU111" s="112">
        <f t="shared" si="142"/>
        <v>0</v>
      </c>
      <c r="BV111" s="112">
        <f t="shared" si="93"/>
        <v>0</v>
      </c>
      <c r="BW111" s="112">
        <f t="shared" si="94"/>
        <v>0</v>
      </c>
      <c r="BX111" s="112">
        <f t="shared" si="121"/>
        <v>847303.46784000017</v>
      </c>
      <c r="BY111" s="112">
        <f t="shared" si="122"/>
        <v>847303.46784000017</v>
      </c>
      <c r="BZ111" s="113">
        <f t="shared" si="91"/>
        <v>0</v>
      </c>
      <c r="CA111" s="113">
        <f t="shared" si="91"/>
        <v>0</v>
      </c>
      <c r="CB111" s="113">
        <f t="shared" si="123"/>
        <v>0</v>
      </c>
      <c r="CC111" s="119" t="e">
        <f t="shared" si="92"/>
        <v>#DIV/0!</v>
      </c>
      <c r="CD111" s="119" t="e">
        <f t="shared" si="92"/>
        <v>#DIV/0!</v>
      </c>
      <c r="CE111" s="119" t="e">
        <f t="shared" si="124"/>
        <v>#DIV/0!</v>
      </c>
      <c r="CF111" s="113" t="e">
        <f t="shared" si="95"/>
        <v>#DIV/0!</v>
      </c>
      <c r="CG111" s="619">
        <f t="shared" si="96"/>
        <v>0</v>
      </c>
      <c r="CH111" s="132" t="e">
        <f t="shared" si="125"/>
        <v>#DIV/0!</v>
      </c>
      <c r="CI111" s="625"/>
      <c r="CJ111" s="208">
        <f t="shared" si="97"/>
        <v>1408.2273048960001</v>
      </c>
      <c r="CK111" s="208">
        <f t="shared" si="98"/>
        <v>847.30346784000017</v>
      </c>
      <c r="CL111" s="208">
        <f t="shared" si="84"/>
        <v>2255.5307727360005</v>
      </c>
      <c r="CM111" s="112">
        <f t="shared" si="99"/>
        <v>2255530.7727360004</v>
      </c>
      <c r="CN111" s="112">
        <f t="shared" si="100"/>
        <v>2225963.1392640006</v>
      </c>
      <c r="CO111" s="112">
        <f t="shared" si="101"/>
        <v>2225963.1392640006</v>
      </c>
      <c r="CP111" s="112">
        <f t="shared" si="102"/>
        <v>1408227.3048960001</v>
      </c>
      <c r="CQ111" s="112">
        <f t="shared" si="103"/>
        <v>2306449.3543200004</v>
      </c>
      <c r="CR111" s="112">
        <f t="shared" si="104"/>
        <v>2306449.3543200004</v>
      </c>
      <c r="CS111" s="112">
        <f t="shared" si="105"/>
        <v>847303.46784000017</v>
      </c>
      <c r="CT111" s="112">
        <f t="shared" si="126"/>
        <v>4532412.4935840014</v>
      </c>
      <c r="CU111" s="124">
        <f t="shared" si="127"/>
        <v>6483192.0000000009</v>
      </c>
      <c r="CV111" s="112">
        <f t="shared" si="106"/>
        <v>0</v>
      </c>
      <c r="CW111" s="112">
        <f t="shared" si="107"/>
        <v>0</v>
      </c>
      <c r="CX111" s="112">
        <f t="shared" si="128"/>
        <v>0</v>
      </c>
      <c r="CY111" s="112">
        <f t="shared" si="108"/>
        <v>2225963.1392640006</v>
      </c>
      <c r="CZ111" s="112">
        <f t="shared" si="109"/>
        <v>2306449.3543200004</v>
      </c>
      <c r="DA111" s="625"/>
      <c r="DB111" s="128" t="e">
        <f t="shared" si="129"/>
        <v>#DIV/0!</v>
      </c>
      <c r="DC111" s="625"/>
      <c r="DD111" s="625"/>
      <c r="DE111" s="625"/>
      <c r="DF111" s="625"/>
      <c r="DG111" s="618">
        <f t="shared" si="110"/>
        <v>0</v>
      </c>
      <c r="DH111" s="618">
        <f t="shared" si="111"/>
        <v>0</v>
      </c>
      <c r="DI111" s="618">
        <f t="shared" si="112"/>
        <v>0</v>
      </c>
      <c r="DJ111" s="123"/>
    </row>
    <row r="112" spans="1:114" s="32" customFormat="1" ht="63.75" customHeight="1">
      <c r="A112" s="20">
        <f t="shared" si="130"/>
        <v>97</v>
      </c>
      <c r="B112" s="1897"/>
      <c r="C112" s="806" t="s">
        <v>125</v>
      </c>
      <c r="D112" s="749" t="s">
        <v>141</v>
      </c>
      <c r="E112" s="617">
        <v>4632024035</v>
      </c>
      <c r="F112" s="806" t="s">
        <v>8</v>
      </c>
      <c r="G112" s="752" t="s">
        <v>890</v>
      </c>
      <c r="H112" s="819">
        <f t="shared" si="143"/>
        <v>3184.0320000000002</v>
      </c>
      <c r="I112" s="819">
        <f t="shared" si="143"/>
        <v>3184.0320000000002</v>
      </c>
      <c r="J112" s="38"/>
      <c r="K112" s="38"/>
      <c r="L112" s="819">
        <f t="shared" si="144"/>
        <v>3184.0320000000002</v>
      </c>
      <c r="M112" s="10"/>
      <c r="N112" s="622">
        <f t="shared" si="140"/>
        <v>3299.1600000000003</v>
      </c>
      <c r="O112" s="622">
        <f t="shared" si="140"/>
        <v>3299.1600000000003</v>
      </c>
      <c r="P112" s="10"/>
      <c r="Q112" s="10"/>
      <c r="R112" s="622">
        <f t="shared" si="145"/>
        <v>3299.1600000000003</v>
      </c>
      <c r="S112" s="10"/>
      <c r="T112" s="1019">
        <v>134.24200000000002</v>
      </c>
      <c r="U112" s="16"/>
      <c r="V112" s="227"/>
      <c r="W112" s="16"/>
      <c r="X112" s="16"/>
      <c r="Y112" s="16"/>
      <c r="Z112" s="35">
        <f t="shared" si="131"/>
        <v>134.24200000000002</v>
      </c>
      <c r="AA112" s="178">
        <v>77.952000000000012</v>
      </c>
      <c r="AB112" s="16"/>
      <c r="AC112" s="227"/>
      <c r="AD112" s="16"/>
      <c r="AE112" s="16"/>
      <c r="AF112" s="16"/>
      <c r="AG112" s="35">
        <f t="shared" si="132"/>
        <v>77.952000000000012</v>
      </c>
      <c r="AH112" s="35">
        <f t="shared" si="113"/>
        <v>212.19400000000002</v>
      </c>
      <c r="AI112" s="15">
        <f t="shared" si="134"/>
        <v>212.19400000000002</v>
      </c>
      <c r="AJ112" s="15">
        <f t="shared" si="134"/>
        <v>0</v>
      </c>
      <c r="AK112" s="15">
        <f t="shared" si="134"/>
        <v>0</v>
      </c>
      <c r="AL112" s="15">
        <f t="shared" si="134"/>
        <v>0</v>
      </c>
      <c r="AM112" s="15">
        <f t="shared" si="133"/>
        <v>0</v>
      </c>
      <c r="AN112" s="15"/>
      <c r="AO112" s="15">
        <f t="shared" si="85"/>
        <v>212.19400000000002</v>
      </c>
      <c r="AP112" s="15">
        <f t="shared" si="86"/>
        <v>212.19400000000002</v>
      </c>
      <c r="AQ112" s="15">
        <f t="shared" si="81"/>
        <v>212.19400000000002</v>
      </c>
      <c r="AR112" s="127">
        <f t="shared" si="114"/>
        <v>0</v>
      </c>
      <c r="AS112" s="112">
        <f t="shared" si="135"/>
        <v>675632.4862080001</v>
      </c>
      <c r="AT112" s="112">
        <f t="shared" si="135"/>
        <v>0</v>
      </c>
      <c r="AU112" s="112">
        <f t="shared" si="135"/>
        <v>0</v>
      </c>
      <c r="AV112" s="112">
        <f t="shared" si="135"/>
        <v>0</v>
      </c>
      <c r="AW112" s="112">
        <f t="shared" si="135"/>
        <v>0</v>
      </c>
      <c r="AX112" s="112">
        <f t="shared" si="115"/>
        <v>675632.4862080001</v>
      </c>
      <c r="AY112" s="112">
        <f t="shared" si="116"/>
        <v>675632.4862080001</v>
      </c>
      <c r="AZ112" s="112">
        <f t="shared" si="137"/>
        <v>700061.95704000012</v>
      </c>
      <c r="BA112" s="112">
        <f t="shared" si="137"/>
        <v>0</v>
      </c>
      <c r="BB112" s="112">
        <f t="shared" si="137"/>
        <v>0</v>
      </c>
      <c r="BC112" s="112">
        <f t="shared" si="137"/>
        <v>0</v>
      </c>
      <c r="BD112" s="112">
        <f t="shared" si="137"/>
        <v>0</v>
      </c>
      <c r="BE112" s="112">
        <f t="shared" si="117"/>
        <v>700061.95704000012</v>
      </c>
      <c r="BF112" s="112">
        <f t="shared" si="118"/>
        <v>700061.95704000012</v>
      </c>
      <c r="BG112" s="126"/>
      <c r="BH112" s="126"/>
      <c r="BI112" s="112">
        <f t="shared" si="80"/>
        <v>0</v>
      </c>
      <c r="BJ112" s="112"/>
      <c r="BK112" s="112"/>
      <c r="BL112" s="112">
        <f t="shared" si="141"/>
        <v>427430.82374400005</v>
      </c>
      <c r="BM112" s="112">
        <f t="shared" si="141"/>
        <v>0</v>
      </c>
      <c r="BN112" s="112">
        <f t="shared" si="141"/>
        <v>0</v>
      </c>
      <c r="BO112" s="112">
        <f t="shared" si="141"/>
        <v>0</v>
      </c>
      <c r="BP112" s="112">
        <f t="shared" si="141"/>
        <v>0</v>
      </c>
      <c r="BQ112" s="112">
        <f t="shared" si="119"/>
        <v>427430.82374400005</v>
      </c>
      <c r="BR112" s="112">
        <f t="shared" si="120"/>
        <v>427430.82374400005</v>
      </c>
      <c r="BS112" s="112">
        <f t="shared" si="142"/>
        <v>257176.12032000007</v>
      </c>
      <c r="BT112" s="112">
        <f t="shared" si="142"/>
        <v>0</v>
      </c>
      <c r="BU112" s="112">
        <f t="shared" si="142"/>
        <v>0</v>
      </c>
      <c r="BV112" s="112">
        <f t="shared" si="93"/>
        <v>0</v>
      </c>
      <c r="BW112" s="112">
        <f t="shared" si="94"/>
        <v>0</v>
      </c>
      <c r="BX112" s="112">
        <f t="shared" si="121"/>
        <v>257176.12032000007</v>
      </c>
      <c r="BY112" s="112">
        <f t="shared" si="122"/>
        <v>257176.12032000007</v>
      </c>
      <c r="BZ112" s="113">
        <f t="shared" si="91"/>
        <v>0</v>
      </c>
      <c r="CA112" s="113">
        <f t="shared" si="91"/>
        <v>0</v>
      </c>
      <c r="CB112" s="113">
        <f t="shared" si="123"/>
        <v>0</v>
      </c>
      <c r="CC112" s="119" t="e">
        <f t="shared" si="92"/>
        <v>#DIV/0!</v>
      </c>
      <c r="CD112" s="119" t="e">
        <f t="shared" si="92"/>
        <v>#DIV/0!</v>
      </c>
      <c r="CE112" s="119" t="e">
        <f t="shared" si="124"/>
        <v>#DIV/0!</v>
      </c>
      <c r="CF112" s="113" t="e">
        <f t="shared" si="95"/>
        <v>#DIV/0!</v>
      </c>
      <c r="CG112" s="619">
        <f t="shared" si="96"/>
        <v>0</v>
      </c>
      <c r="CH112" s="132" t="e">
        <f t="shared" si="125"/>
        <v>#DIV/0!</v>
      </c>
      <c r="CI112" s="625"/>
      <c r="CJ112" s="208">
        <f t="shared" si="97"/>
        <v>427.43082374400007</v>
      </c>
      <c r="CK112" s="208">
        <f t="shared" si="98"/>
        <v>257.17612032000005</v>
      </c>
      <c r="CL112" s="208">
        <f t="shared" si="84"/>
        <v>684.60694406400012</v>
      </c>
      <c r="CM112" s="112">
        <f t="shared" si="99"/>
        <v>684606.94406400016</v>
      </c>
      <c r="CN112" s="112">
        <f t="shared" si="100"/>
        <v>675632.4862080001</v>
      </c>
      <c r="CO112" s="112">
        <f t="shared" si="101"/>
        <v>675632.4862080001</v>
      </c>
      <c r="CP112" s="112">
        <f t="shared" si="102"/>
        <v>427430.82374400005</v>
      </c>
      <c r="CQ112" s="112">
        <f t="shared" si="103"/>
        <v>700061.95704000012</v>
      </c>
      <c r="CR112" s="112">
        <f t="shared" si="104"/>
        <v>700061.95704000012</v>
      </c>
      <c r="CS112" s="112">
        <f t="shared" si="105"/>
        <v>257176.12032000007</v>
      </c>
      <c r="CT112" s="112">
        <f t="shared" si="126"/>
        <v>1375694.4432480002</v>
      </c>
      <c r="CU112" s="124">
        <f t="shared" si="127"/>
        <v>6483192.0000000009</v>
      </c>
      <c r="CV112" s="112">
        <f t="shared" si="106"/>
        <v>0</v>
      </c>
      <c r="CW112" s="112">
        <f t="shared" si="107"/>
        <v>0</v>
      </c>
      <c r="CX112" s="112">
        <f t="shared" si="128"/>
        <v>0</v>
      </c>
      <c r="CY112" s="112">
        <f t="shared" si="108"/>
        <v>675632.4862080001</v>
      </c>
      <c r="CZ112" s="112">
        <f t="shared" si="109"/>
        <v>700061.95704000012</v>
      </c>
      <c r="DA112" s="625"/>
      <c r="DB112" s="128" t="e">
        <f t="shared" si="129"/>
        <v>#DIV/0!</v>
      </c>
      <c r="DC112" s="625"/>
      <c r="DD112" s="625"/>
      <c r="DE112" s="625"/>
      <c r="DF112" s="625"/>
      <c r="DG112" s="618">
        <f t="shared" si="110"/>
        <v>0</v>
      </c>
      <c r="DH112" s="618">
        <f t="shared" si="111"/>
        <v>0</v>
      </c>
      <c r="DI112" s="618">
        <f t="shared" si="112"/>
        <v>0</v>
      </c>
      <c r="DJ112" s="123"/>
    </row>
    <row r="113" spans="1:114" s="32" customFormat="1" ht="63.75" customHeight="1">
      <c r="A113" s="20">
        <f t="shared" si="130"/>
        <v>98</v>
      </c>
      <c r="B113" s="1897"/>
      <c r="C113" s="806" t="s">
        <v>126</v>
      </c>
      <c r="D113" s="749" t="s">
        <v>141</v>
      </c>
      <c r="E113" s="617">
        <v>4632024035</v>
      </c>
      <c r="F113" s="806" t="s">
        <v>8</v>
      </c>
      <c r="G113" s="752" t="s">
        <v>890</v>
      </c>
      <c r="H113" s="819">
        <f t="shared" si="143"/>
        <v>3184.0320000000002</v>
      </c>
      <c r="I113" s="819">
        <f t="shared" si="143"/>
        <v>3184.0320000000002</v>
      </c>
      <c r="J113" s="38"/>
      <c r="K113" s="38"/>
      <c r="L113" s="819">
        <f t="shared" si="144"/>
        <v>3184.0320000000002</v>
      </c>
      <c r="M113" s="10"/>
      <c r="N113" s="622">
        <f t="shared" si="140"/>
        <v>3299.1600000000003</v>
      </c>
      <c r="O113" s="622">
        <f t="shared" si="140"/>
        <v>3299.1600000000003</v>
      </c>
      <c r="P113" s="10"/>
      <c r="Q113" s="10"/>
      <c r="R113" s="622">
        <f t="shared" si="145"/>
        <v>3299.1600000000003</v>
      </c>
      <c r="S113" s="10"/>
      <c r="T113" s="1019">
        <v>170</v>
      </c>
      <c r="U113" s="16"/>
      <c r="V113" s="227"/>
      <c r="W113" s="16"/>
      <c r="X113" s="16"/>
      <c r="Y113" s="16"/>
      <c r="Z113" s="35">
        <f t="shared" si="131"/>
        <v>170</v>
      </c>
      <c r="AA113" s="178">
        <v>121</v>
      </c>
      <c r="AB113" s="16"/>
      <c r="AC113" s="227"/>
      <c r="AD113" s="16"/>
      <c r="AE113" s="16"/>
      <c r="AF113" s="16"/>
      <c r="AG113" s="35">
        <f t="shared" si="132"/>
        <v>121</v>
      </c>
      <c r="AH113" s="35">
        <f t="shared" si="113"/>
        <v>291</v>
      </c>
      <c r="AI113" s="15">
        <f t="shared" si="134"/>
        <v>291</v>
      </c>
      <c r="AJ113" s="15">
        <f t="shared" si="134"/>
        <v>0</v>
      </c>
      <c r="AK113" s="15">
        <f>V113+AC113</f>
        <v>0</v>
      </c>
      <c r="AL113" s="15">
        <f t="shared" si="134"/>
        <v>0</v>
      </c>
      <c r="AM113" s="15">
        <f t="shared" si="133"/>
        <v>0</v>
      </c>
      <c r="AN113" s="15"/>
      <c r="AO113" s="15">
        <f t="shared" si="85"/>
        <v>291</v>
      </c>
      <c r="AP113" s="15">
        <f t="shared" si="86"/>
        <v>291</v>
      </c>
      <c r="AQ113" s="15">
        <f t="shared" si="81"/>
        <v>291</v>
      </c>
      <c r="AR113" s="127">
        <f t="shared" si="114"/>
        <v>0</v>
      </c>
      <c r="AS113" s="112">
        <f t="shared" si="135"/>
        <v>926553.31200000003</v>
      </c>
      <c r="AT113" s="112">
        <f t="shared" si="135"/>
        <v>0</v>
      </c>
      <c r="AU113" s="112">
        <f t="shared" si="135"/>
        <v>0</v>
      </c>
      <c r="AV113" s="112">
        <f t="shared" si="135"/>
        <v>0</v>
      </c>
      <c r="AW113" s="112">
        <f t="shared" si="135"/>
        <v>0</v>
      </c>
      <c r="AX113" s="112">
        <f t="shared" si="115"/>
        <v>926553.31200000003</v>
      </c>
      <c r="AY113" s="112">
        <f t="shared" si="116"/>
        <v>926553.31200000003</v>
      </c>
      <c r="AZ113" s="112">
        <f t="shared" si="137"/>
        <v>960055.56</v>
      </c>
      <c r="BA113" s="112">
        <f t="shared" si="137"/>
        <v>0</v>
      </c>
      <c r="BB113" s="112">
        <f t="shared" si="137"/>
        <v>0</v>
      </c>
      <c r="BC113" s="112">
        <f t="shared" si="137"/>
        <v>0</v>
      </c>
      <c r="BD113" s="112">
        <f t="shared" si="137"/>
        <v>0</v>
      </c>
      <c r="BE113" s="112">
        <f t="shared" si="117"/>
        <v>960055.56</v>
      </c>
      <c r="BF113" s="112">
        <f t="shared" si="118"/>
        <v>960055.56</v>
      </c>
      <c r="BG113" s="126"/>
      <c r="BH113" s="126"/>
      <c r="BI113" s="112">
        <f t="shared" si="80"/>
        <v>0</v>
      </c>
      <c r="BJ113" s="112"/>
      <c r="BK113" s="112"/>
      <c r="BL113" s="112">
        <f t="shared" si="141"/>
        <v>541285.44000000006</v>
      </c>
      <c r="BM113" s="112">
        <f t="shared" si="141"/>
        <v>0</v>
      </c>
      <c r="BN113" s="112">
        <f t="shared" si="141"/>
        <v>0</v>
      </c>
      <c r="BO113" s="112">
        <f t="shared" si="141"/>
        <v>0</v>
      </c>
      <c r="BP113" s="112">
        <f t="shared" si="141"/>
        <v>0</v>
      </c>
      <c r="BQ113" s="112">
        <f t="shared" si="119"/>
        <v>541285.44000000006</v>
      </c>
      <c r="BR113" s="112">
        <f t="shared" si="120"/>
        <v>541285.44000000006</v>
      </c>
      <c r="BS113" s="112">
        <f t="shared" si="142"/>
        <v>399198.36000000004</v>
      </c>
      <c r="BT113" s="112">
        <f t="shared" si="142"/>
        <v>0</v>
      </c>
      <c r="BU113" s="112">
        <f t="shared" si="142"/>
        <v>0</v>
      </c>
      <c r="BV113" s="112">
        <f t="shared" si="93"/>
        <v>0</v>
      </c>
      <c r="BW113" s="112">
        <f t="shared" si="94"/>
        <v>0</v>
      </c>
      <c r="BX113" s="112">
        <f t="shared" si="121"/>
        <v>399198.36000000004</v>
      </c>
      <c r="BY113" s="112">
        <f t="shared" si="122"/>
        <v>399198.36000000004</v>
      </c>
      <c r="BZ113" s="113">
        <f t="shared" si="91"/>
        <v>0</v>
      </c>
      <c r="CA113" s="113">
        <f t="shared" si="91"/>
        <v>0</v>
      </c>
      <c r="CB113" s="113">
        <f t="shared" si="123"/>
        <v>0</v>
      </c>
      <c r="CC113" s="119" t="e">
        <f t="shared" si="92"/>
        <v>#DIV/0!</v>
      </c>
      <c r="CD113" s="119" t="e">
        <f t="shared" si="92"/>
        <v>#DIV/0!</v>
      </c>
      <c r="CE113" s="119" t="e">
        <f t="shared" si="124"/>
        <v>#DIV/0!</v>
      </c>
      <c r="CF113" s="113" t="e">
        <f t="shared" si="95"/>
        <v>#DIV/0!</v>
      </c>
      <c r="CG113" s="619">
        <f t="shared" si="96"/>
        <v>0</v>
      </c>
      <c r="CH113" s="132" t="e">
        <f t="shared" si="125"/>
        <v>#DIV/0!</v>
      </c>
      <c r="CI113" s="625"/>
      <c r="CJ113" s="208">
        <f t="shared" si="97"/>
        <v>541.28544000000011</v>
      </c>
      <c r="CK113" s="208">
        <f t="shared" si="98"/>
        <v>399.19836000000004</v>
      </c>
      <c r="CL113" s="208">
        <f t="shared" si="84"/>
        <v>940.4838000000002</v>
      </c>
      <c r="CM113" s="112">
        <f t="shared" si="99"/>
        <v>940483.8</v>
      </c>
      <c r="CN113" s="112">
        <f t="shared" si="100"/>
        <v>926553.31200000003</v>
      </c>
      <c r="CO113" s="112">
        <f t="shared" si="101"/>
        <v>926553.31200000003</v>
      </c>
      <c r="CP113" s="112">
        <f t="shared" si="102"/>
        <v>541285.44000000006</v>
      </c>
      <c r="CQ113" s="112">
        <f t="shared" si="103"/>
        <v>960055.56</v>
      </c>
      <c r="CR113" s="112">
        <f t="shared" si="104"/>
        <v>960055.56</v>
      </c>
      <c r="CS113" s="112">
        <f t="shared" si="105"/>
        <v>399198.36000000004</v>
      </c>
      <c r="CT113" s="112">
        <f t="shared" si="126"/>
        <v>1886608.872</v>
      </c>
      <c r="CU113" s="124">
        <f t="shared" si="127"/>
        <v>6483192</v>
      </c>
      <c r="CV113" s="112">
        <f t="shared" si="106"/>
        <v>0</v>
      </c>
      <c r="CW113" s="112">
        <f t="shared" si="107"/>
        <v>0</v>
      </c>
      <c r="CX113" s="112">
        <f t="shared" si="128"/>
        <v>0</v>
      </c>
      <c r="CY113" s="112">
        <f t="shared" si="108"/>
        <v>926553.31200000003</v>
      </c>
      <c r="CZ113" s="112">
        <f t="shared" si="109"/>
        <v>960055.56</v>
      </c>
      <c r="DA113" s="625"/>
      <c r="DB113" s="128" t="e">
        <f t="shared" si="129"/>
        <v>#DIV/0!</v>
      </c>
      <c r="DC113" s="625"/>
      <c r="DD113" s="625"/>
      <c r="DE113" s="625"/>
      <c r="DF113" s="625"/>
      <c r="DG113" s="618">
        <f t="shared" si="110"/>
        <v>0</v>
      </c>
      <c r="DH113" s="618">
        <f t="shared" si="111"/>
        <v>0</v>
      </c>
      <c r="DI113" s="618">
        <f t="shared" si="112"/>
        <v>0</v>
      </c>
      <c r="DJ113" s="123"/>
    </row>
    <row r="114" spans="1:114" s="20" customFormat="1" ht="63.75" customHeight="1">
      <c r="A114" s="20">
        <f t="shared" si="130"/>
        <v>99</v>
      </c>
      <c r="B114" s="1897"/>
      <c r="C114" s="806" t="s">
        <v>127</v>
      </c>
      <c r="D114" s="749" t="s">
        <v>142</v>
      </c>
      <c r="E114" s="617">
        <v>4632024035</v>
      </c>
      <c r="F114" s="806" t="s">
        <v>8</v>
      </c>
      <c r="G114" s="752" t="s">
        <v>890</v>
      </c>
      <c r="H114" s="819">
        <f t="shared" si="143"/>
        <v>3184.0320000000002</v>
      </c>
      <c r="I114" s="819">
        <f t="shared" si="143"/>
        <v>3184.0320000000002</v>
      </c>
      <c r="J114" s="38"/>
      <c r="K114" s="38"/>
      <c r="L114" s="819">
        <f t="shared" si="144"/>
        <v>3184.0320000000002</v>
      </c>
      <c r="M114" s="10"/>
      <c r="N114" s="622">
        <f t="shared" si="140"/>
        <v>3299.1600000000003</v>
      </c>
      <c r="O114" s="622">
        <f t="shared" si="140"/>
        <v>3299.1600000000003</v>
      </c>
      <c r="P114" s="10"/>
      <c r="Q114" s="10"/>
      <c r="R114" s="622">
        <f t="shared" si="145"/>
        <v>3299.1600000000003</v>
      </c>
      <c r="S114" s="10"/>
      <c r="T114" s="1020">
        <v>226.53199999999998</v>
      </c>
      <c r="U114" s="15"/>
      <c r="V114" s="208"/>
      <c r="W114" s="15"/>
      <c r="X114" s="15"/>
      <c r="Y114" s="15"/>
      <c r="Z114" s="35">
        <f t="shared" si="131"/>
        <v>226.53199999999998</v>
      </c>
      <c r="AA114" s="35">
        <v>131.54399999999998</v>
      </c>
      <c r="AB114" s="15"/>
      <c r="AC114" s="208"/>
      <c r="AD114" s="15"/>
      <c r="AE114" s="15"/>
      <c r="AF114" s="15"/>
      <c r="AG114" s="35">
        <f t="shared" si="132"/>
        <v>131.54399999999998</v>
      </c>
      <c r="AH114" s="35">
        <f t="shared" si="113"/>
        <v>358.07599999999996</v>
      </c>
      <c r="AI114" s="15">
        <f t="shared" si="134"/>
        <v>358.07599999999996</v>
      </c>
      <c r="AJ114" s="15">
        <f t="shared" si="134"/>
        <v>0</v>
      </c>
      <c r="AK114" s="15">
        <f t="shared" si="134"/>
        <v>0</v>
      </c>
      <c r="AL114" s="15">
        <f t="shared" si="134"/>
        <v>0</v>
      </c>
      <c r="AM114" s="15">
        <f t="shared" si="133"/>
        <v>0</v>
      </c>
      <c r="AN114" s="15"/>
      <c r="AO114" s="15">
        <f t="shared" si="85"/>
        <v>358.07599999999996</v>
      </c>
      <c r="AP114" s="15">
        <f t="shared" si="86"/>
        <v>358.07599999999996</v>
      </c>
      <c r="AQ114" s="15">
        <f t="shared" si="81"/>
        <v>358.07599999999996</v>
      </c>
      <c r="AR114" s="127">
        <f t="shared" si="114"/>
        <v>0</v>
      </c>
      <c r="AS114" s="112">
        <f t="shared" si="135"/>
        <v>1140125.4424319998</v>
      </c>
      <c r="AT114" s="112">
        <f t="shared" si="135"/>
        <v>0</v>
      </c>
      <c r="AU114" s="112">
        <f t="shared" si="135"/>
        <v>0</v>
      </c>
      <c r="AV114" s="112">
        <f t="shared" si="135"/>
        <v>0</v>
      </c>
      <c r="AW114" s="112">
        <f t="shared" si="135"/>
        <v>0</v>
      </c>
      <c r="AX114" s="112">
        <f t="shared" si="115"/>
        <v>1140125.4424319998</v>
      </c>
      <c r="AY114" s="112">
        <f t="shared" si="116"/>
        <v>1140125.4424319998</v>
      </c>
      <c r="AZ114" s="112">
        <f t="shared" si="137"/>
        <v>1181350.0161599999</v>
      </c>
      <c r="BA114" s="112">
        <f t="shared" si="137"/>
        <v>0</v>
      </c>
      <c r="BB114" s="112">
        <f t="shared" si="137"/>
        <v>0</v>
      </c>
      <c r="BC114" s="112">
        <f t="shared" si="137"/>
        <v>0</v>
      </c>
      <c r="BD114" s="112">
        <f t="shared" si="137"/>
        <v>0</v>
      </c>
      <c r="BE114" s="112">
        <f t="shared" si="117"/>
        <v>1181350.0161599999</v>
      </c>
      <c r="BF114" s="112">
        <f t="shared" si="118"/>
        <v>1181350.0161599999</v>
      </c>
      <c r="BG114" s="112"/>
      <c r="BH114" s="112"/>
      <c r="BI114" s="112">
        <f t="shared" si="80"/>
        <v>0</v>
      </c>
      <c r="BJ114" s="112"/>
      <c r="BK114" s="112"/>
      <c r="BL114" s="112">
        <f t="shared" si="141"/>
        <v>721285.13702399994</v>
      </c>
      <c r="BM114" s="112">
        <f t="shared" si="141"/>
        <v>0</v>
      </c>
      <c r="BN114" s="112">
        <f t="shared" si="141"/>
        <v>0</v>
      </c>
      <c r="BO114" s="112">
        <f t="shared" si="141"/>
        <v>0</v>
      </c>
      <c r="BP114" s="112">
        <f t="shared" si="141"/>
        <v>0</v>
      </c>
      <c r="BQ114" s="112">
        <f t="shared" si="119"/>
        <v>721285.13702399994</v>
      </c>
      <c r="BR114" s="112">
        <f t="shared" si="120"/>
        <v>721285.13702399994</v>
      </c>
      <c r="BS114" s="112">
        <f t="shared" si="142"/>
        <v>433984.70303999999</v>
      </c>
      <c r="BT114" s="112">
        <f t="shared" si="142"/>
        <v>0</v>
      </c>
      <c r="BU114" s="112">
        <f t="shared" si="142"/>
        <v>0</v>
      </c>
      <c r="BV114" s="112">
        <f t="shared" si="93"/>
        <v>0</v>
      </c>
      <c r="BW114" s="112">
        <f t="shared" si="94"/>
        <v>0</v>
      </c>
      <c r="BX114" s="112">
        <f t="shared" si="121"/>
        <v>433984.70303999999</v>
      </c>
      <c r="BY114" s="112">
        <f t="shared" si="122"/>
        <v>433984.70303999999</v>
      </c>
      <c r="BZ114" s="113">
        <f t="shared" si="91"/>
        <v>0</v>
      </c>
      <c r="CA114" s="113">
        <f t="shared" si="91"/>
        <v>0</v>
      </c>
      <c r="CB114" s="113">
        <f t="shared" si="123"/>
        <v>0</v>
      </c>
      <c r="CC114" s="119" t="e">
        <f t="shared" si="92"/>
        <v>#DIV/0!</v>
      </c>
      <c r="CD114" s="119" t="e">
        <f t="shared" si="92"/>
        <v>#DIV/0!</v>
      </c>
      <c r="CE114" s="119" t="e">
        <f t="shared" si="124"/>
        <v>#DIV/0!</v>
      </c>
      <c r="CF114" s="113" t="e">
        <f t="shared" si="95"/>
        <v>#DIV/0!</v>
      </c>
      <c r="CG114" s="619">
        <f t="shared" si="96"/>
        <v>0</v>
      </c>
      <c r="CH114" s="132" t="e">
        <f t="shared" si="125"/>
        <v>#DIV/0!</v>
      </c>
      <c r="CI114" s="106"/>
      <c r="CJ114" s="208">
        <f t="shared" si="97"/>
        <v>721.28513702399994</v>
      </c>
      <c r="CK114" s="208">
        <f t="shared" si="98"/>
        <v>433.98470304</v>
      </c>
      <c r="CL114" s="208">
        <f t="shared" si="84"/>
        <v>1155.2698400639999</v>
      </c>
      <c r="CM114" s="112">
        <f t="shared" si="99"/>
        <v>1155269.8400639999</v>
      </c>
      <c r="CN114" s="112">
        <f t="shared" si="100"/>
        <v>1140125.4424319998</v>
      </c>
      <c r="CO114" s="112">
        <f t="shared" si="101"/>
        <v>1140125.4424319998</v>
      </c>
      <c r="CP114" s="112">
        <f t="shared" si="102"/>
        <v>721285.13702399994</v>
      </c>
      <c r="CQ114" s="112">
        <f t="shared" si="103"/>
        <v>1181350.0161599999</v>
      </c>
      <c r="CR114" s="112">
        <f t="shared" si="104"/>
        <v>1181350.0161599999</v>
      </c>
      <c r="CS114" s="112">
        <f t="shared" si="105"/>
        <v>433984.70303999999</v>
      </c>
      <c r="CT114" s="112">
        <f t="shared" si="126"/>
        <v>2321475.4585919995</v>
      </c>
      <c r="CU114" s="124">
        <f t="shared" si="127"/>
        <v>6483191.9999999991</v>
      </c>
      <c r="CV114" s="112">
        <f t="shared" si="106"/>
        <v>0</v>
      </c>
      <c r="CW114" s="112">
        <f t="shared" si="107"/>
        <v>0</v>
      </c>
      <c r="CX114" s="112">
        <f t="shared" si="128"/>
        <v>0</v>
      </c>
      <c r="CY114" s="112">
        <f t="shared" si="108"/>
        <v>1140125.4424319998</v>
      </c>
      <c r="CZ114" s="112">
        <f t="shared" si="109"/>
        <v>1181350.0161599999</v>
      </c>
      <c r="DA114" s="106"/>
      <c r="DB114" s="128" t="e">
        <f t="shared" si="129"/>
        <v>#DIV/0!</v>
      </c>
      <c r="DC114" s="106"/>
      <c r="DD114" s="106"/>
      <c r="DE114" s="106"/>
      <c r="DF114" s="106"/>
      <c r="DG114" s="618">
        <f t="shared" si="110"/>
        <v>0</v>
      </c>
      <c r="DH114" s="618">
        <f t="shared" si="111"/>
        <v>0</v>
      </c>
      <c r="DI114" s="618">
        <f t="shared" si="112"/>
        <v>0</v>
      </c>
      <c r="DJ114" s="115"/>
    </row>
    <row r="115" spans="1:114" s="32" customFormat="1" ht="63.75" customHeight="1">
      <c r="A115" s="20">
        <f t="shared" si="130"/>
        <v>100</v>
      </c>
      <c r="B115" s="1897"/>
      <c r="C115" s="806" t="s">
        <v>128</v>
      </c>
      <c r="D115" s="749" t="s">
        <v>141</v>
      </c>
      <c r="E115" s="617">
        <v>4632024035</v>
      </c>
      <c r="F115" s="806" t="s">
        <v>8</v>
      </c>
      <c r="G115" s="752" t="s">
        <v>890</v>
      </c>
      <c r="H115" s="819">
        <f t="shared" si="143"/>
        <v>3184.0320000000002</v>
      </c>
      <c r="I115" s="819">
        <f t="shared" si="143"/>
        <v>3184.0320000000002</v>
      </c>
      <c r="J115" s="38"/>
      <c r="K115" s="38"/>
      <c r="L115" s="819">
        <f t="shared" si="144"/>
        <v>3184.0320000000002</v>
      </c>
      <c r="M115" s="10"/>
      <c r="N115" s="622">
        <f t="shared" si="140"/>
        <v>3299.1600000000003</v>
      </c>
      <c r="O115" s="622">
        <f t="shared" si="140"/>
        <v>3299.1600000000003</v>
      </c>
      <c r="P115" s="10"/>
      <c r="Q115" s="10"/>
      <c r="R115" s="622">
        <f t="shared" si="145"/>
        <v>3299.1600000000003</v>
      </c>
      <c r="S115" s="10"/>
      <c r="T115" s="1019">
        <v>67.12</v>
      </c>
      <c r="U115" s="178"/>
      <c r="V115" s="682"/>
      <c r="W115" s="178"/>
      <c r="X115" s="178"/>
      <c r="Y115" s="178"/>
      <c r="Z115" s="35">
        <f t="shared" si="131"/>
        <v>67.12</v>
      </c>
      <c r="AA115" s="178">
        <v>38.975999999999999</v>
      </c>
      <c r="AB115" s="16"/>
      <c r="AC115" s="227"/>
      <c r="AD115" s="16"/>
      <c r="AE115" s="16"/>
      <c r="AF115" s="16"/>
      <c r="AG115" s="35">
        <f t="shared" si="132"/>
        <v>38.975999999999999</v>
      </c>
      <c r="AH115" s="35">
        <f t="shared" si="113"/>
        <v>106.096</v>
      </c>
      <c r="AI115" s="15">
        <f t="shared" si="134"/>
        <v>106.096</v>
      </c>
      <c r="AJ115" s="15">
        <f t="shared" si="134"/>
        <v>0</v>
      </c>
      <c r="AK115" s="15">
        <f t="shared" si="134"/>
        <v>0</v>
      </c>
      <c r="AL115" s="15">
        <f t="shared" si="134"/>
        <v>0</v>
      </c>
      <c r="AM115" s="15">
        <f t="shared" si="133"/>
        <v>0</v>
      </c>
      <c r="AN115" s="15"/>
      <c r="AO115" s="15">
        <f t="shared" si="85"/>
        <v>106.096</v>
      </c>
      <c r="AP115" s="15">
        <f t="shared" si="86"/>
        <v>106.096</v>
      </c>
      <c r="AQ115" s="15">
        <f t="shared" si="81"/>
        <v>106.096</v>
      </c>
      <c r="AR115" s="127">
        <f t="shared" si="114"/>
        <v>0</v>
      </c>
      <c r="AS115" s="112">
        <f t="shared" si="135"/>
        <v>337813.05907200003</v>
      </c>
      <c r="AT115" s="112">
        <f t="shared" si="135"/>
        <v>0</v>
      </c>
      <c r="AU115" s="112">
        <f t="shared" si="135"/>
        <v>0</v>
      </c>
      <c r="AV115" s="112">
        <f t="shared" si="135"/>
        <v>0</v>
      </c>
      <c r="AW115" s="112">
        <f t="shared" si="135"/>
        <v>0</v>
      </c>
      <c r="AX115" s="112">
        <f t="shared" si="115"/>
        <v>337813.05907200003</v>
      </c>
      <c r="AY115" s="112">
        <f t="shared" si="116"/>
        <v>337813.05907200003</v>
      </c>
      <c r="AZ115" s="112">
        <f t="shared" si="137"/>
        <v>350027.67936000007</v>
      </c>
      <c r="BA115" s="112">
        <f t="shared" si="137"/>
        <v>0</v>
      </c>
      <c r="BB115" s="112">
        <f t="shared" si="137"/>
        <v>0</v>
      </c>
      <c r="BC115" s="112">
        <f t="shared" si="137"/>
        <v>0</v>
      </c>
      <c r="BD115" s="112">
        <f t="shared" si="137"/>
        <v>0</v>
      </c>
      <c r="BE115" s="112">
        <f t="shared" si="117"/>
        <v>350027.67936000007</v>
      </c>
      <c r="BF115" s="112">
        <f t="shared" si="118"/>
        <v>350027.67936000007</v>
      </c>
      <c r="BG115" s="126"/>
      <c r="BH115" s="126"/>
      <c r="BI115" s="112">
        <f t="shared" si="80"/>
        <v>0</v>
      </c>
      <c r="BJ115" s="112"/>
      <c r="BK115" s="112"/>
      <c r="BL115" s="112">
        <f t="shared" si="141"/>
        <v>213712.22784000004</v>
      </c>
      <c r="BM115" s="112">
        <f t="shared" si="141"/>
        <v>0</v>
      </c>
      <c r="BN115" s="112">
        <f t="shared" si="141"/>
        <v>0</v>
      </c>
      <c r="BO115" s="112">
        <f t="shared" si="141"/>
        <v>0</v>
      </c>
      <c r="BP115" s="112">
        <f t="shared" si="141"/>
        <v>0</v>
      </c>
      <c r="BQ115" s="112">
        <f t="shared" si="119"/>
        <v>213712.22784000004</v>
      </c>
      <c r="BR115" s="112">
        <f t="shared" si="120"/>
        <v>213712.22784000004</v>
      </c>
      <c r="BS115" s="112">
        <f t="shared" si="142"/>
        <v>128588.06016000001</v>
      </c>
      <c r="BT115" s="112">
        <f t="shared" si="142"/>
        <v>0</v>
      </c>
      <c r="BU115" s="112">
        <f t="shared" si="142"/>
        <v>0</v>
      </c>
      <c r="BV115" s="112">
        <f t="shared" si="93"/>
        <v>0</v>
      </c>
      <c r="BW115" s="112">
        <f t="shared" si="94"/>
        <v>0</v>
      </c>
      <c r="BX115" s="112">
        <f t="shared" si="121"/>
        <v>128588.06016000001</v>
      </c>
      <c r="BY115" s="112">
        <f t="shared" si="122"/>
        <v>128588.06016000001</v>
      </c>
      <c r="BZ115" s="113">
        <f t="shared" si="91"/>
        <v>0</v>
      </c>
      <c r="CA115" s="113">
        <f t="shared" si="91"/>
        <v>0</v>
      </c>
      <c r="CB115" s="113">
        <f t="shared" si="123"/>
        <v>0</v>
      </c>
      <c r="CC115" s="119" t="e">
        <f t="shared" si="92"/>
        <v>#DIV/0!</v>
      </c>
      <c r="CD115" s="119" t="e">
        <f t="shared" si="92"/>
        <v>#DIV/0!</v>
      </c>
      <c r="CE115" s="119" t="e">
        <f t="shared" si="124"/>
        <v>#DIV/0!</v>
      </c>
      <c r="CF115" s="113" t="e">
        <f t="shared" si="95"/>
        <v>#DIV/0!</v>
      </c>
      <c r="CG115" s="619">
        <f t="shared" si="96"/>
        <v>0</v>
      </c>
      <c r="CH115" s="132" t="e">
        <f t="shared" si="125"/>
        <v>#DIV/0!</v>
      </c>
      <c r="CI115" s="625"/>
      <c r="CJ115" s="208">
        <f t="shared" si="97"/>
        <v>213.71222784000003</v>
      </c>
      <c r="CK115" s="208">
        <f t="shared" si="98"/>
        <v>128.58806016</v>
      </c>
      <c r="CL115" s="208">
        <f t="shared" si="84"/>
        <v>342.30028800000002</v>
      </c>
      <c r="CM115" s="112">
        <f t="shared" si="99"/>
        <v>342300.28800000006</v>
      </c>
      <c r="CN115" s="112">
        <f t="shared" si="100"/>
        <v>337813.05907200003</v>
      </c>
      <c r="CO115" s="112">
        <f t="shared" si="101"/>
        <v>337813.05907200003</v>
      </c>
      <c r="CP115" s="112">
        <f t="shared" si="102"/>
        <v>213712.22784000004</v>
      </c>
      <c r="CQ115" s="112">
        <f t="shared" si="103"/>
        <v>350027.67936000007</v>
      </c>
      <c r="CR115" s="112">
        <f t="shared" si="104"/>
        <v>350027.67936000007</v>
      </c>
      <c r="CS115" s="112">
        <f t="shared" si="105"/>
        <v>128588.06016000001</v>
      </c>
      <c r="CT115" s="112">
        <f t="shared" si="126"/>
        <v>687840.73843200016</v>
      </c>
      <c r="CU115" s="124">
        <f t="shared" si="127"/>
        <v>6483192.0000000009</v>
      </c>
      <c r="CV115" s="112">
        <f t="shared" si="106"/>
        <v>0</v>
      </c>
      <c r="CW115" s="112">
        <f t="shared" si="107"/>
        <v>0</v>
      </c>
      <c r="CX115" s="112">
        <f t="shared" si="128"/>
        <v>0</v>
      </c>
      <c r="CY115" s="112">
        <f t="shared" si="108"/>
        <v>337813.05907200003</v>
      </c>
      <c r="CZ115" s="112">
        <f t="shared" si="109"/>
        <v>350027.67936000007</v>
      </c>
      <c r="DA115" s="625"/>
      <c r="DB115" s="128" t="e">
        <f t="shared" si="129"/>
        <v>#DIV/0!</v>
      </c>
      <c r="DC115" s="625"/>
      <c r="DD115" s="625"/>
      <c r="DE115" s="625"/>
      <c r="DF115" s="625"/>
      <c r="DG115" s="618">
        <f t="shared" si="110"/>
        <v>0</v>
      </c>
      <c r="DH115" s="618">
        <f t="shared" si="111"/>
        <v>0</v>
      </c>
      <c r="DI115" s="618">
        <f t="shared" si="112"/>
        <v>0</v>
      </c>
      <c r="DJ115" s="123"/>
    </row>
    <row r="116" spans="1:114" s="32" customFormat="1" ht="63.75" customHeight="1">
      <c r="A116" s="20">
        <f t="shared" si="130"/>
        <v>101</v>
      </c>
      <c r="B116" s="1897"/>
      <c r="C116" s="806" t="s">
        <v>129</v>
      </c>
      <c r="D116" s="749" t="s">
        <v>141</v>
      </c>
      <c r="E116" s="617">
        <v>4632024035</v>
      </c>
      <c r="F116" s="806" t="s">
        <v>8</v>
      </c>
      <c r="G116" s="752" t="s">
        <v>890</v>
      </c>
      <c r="H116" s="819">
        <f t="shared" si="143"/>
        <v>3184.0320000000002</v>
      </c>
      <c r="I116" s="819">
        <f t="shared" si="143"/>
        <v>3184.0320000000002</v>
      </c>
      <c r="J116" s="38"/>
      <c r="K116" s="38"/>
      <c r="L116" s="819">
        <f t="shared" si="144"/>
        <v>3184.0320000000002</v>
      </c>
      <c r="M116" s="10"/>
      <c r="N116" s="622">
        <f t="shared" si="140"/>
        <v>3299.1600000000003</v>
      </c>
      <c r="O116" s="622">
        <f t="shared" si="140"/>
        <v>3299.1600000000003</v>
      </c>
      <c r="P116" s="10"/>
      <c r="Q116" s="10"/>
      <c r="R116" s="622">
        <f t="shared" si="145"/>
        <v>3299.1600000000003</v>
      </c>
      <c r="S116" s="10"/>
      <c r="T116" s="1019">
        <v>122.25500000000001</v>
      </c>
      <c r="U116" s="178"/>
      <c r="V116" s="682"/>
      <c r="W116" s="178"/>
      <c r="X116" s="178"/>
      <c r="Y116" s="178"/>
      <c r="Z116" s="35">
        <f t="shared" si="131"/>
        <v>122.25500000000001</v>
      </c>
      <c r="AA116" s="178">
        <v>70.992000000000004</v>
      </c>
      <c r="AB116" s="16"/>
      <c r="AC116" s="227"/>
      <c r="AD116" s="16"/>
      <c r="AE116" s="16"/>
      <c r="AF116" s="16"/>
      <c r="AG116" s="35">
        <f t="shared" si="132"/>
        <v>70.992000000000004</v>
      </c>
      <c r="AH116" s="35">
        <f t="shared" si="113"/>
        <v>193.24700000000001</v>
      </c>
      <c r="AI116" s="15">
        <f t="shared" si="134"/>
        <v>193.24700000000001</v>
      </c>
      <c r="AJ116" s="15">
        <f t="shared" si="134"/>
        <v>0</v>
      </c>
      <c r="AK116" s="15">
        <f t="shared" si="134"/>
        <v>0</v>
      </c>
      <c r="AL116" s="15">
        <f t="shared" si="134"/>
        <v>0</v>
      </c>
      <c r="AM116" s="15">
        <f t="shared" si="133"/>
        <v>0</v>
      </c>
      <c r="AN116" s="15"/>
      <c r="AO116" s="15">
        <f t="shared" si="85"/>
        <v>193.24700000000001</v>
      </c>
      <c r="AP116" s="15">
        <f t="shared" si="86"/>
        <v>193.24700000000001</v>
      </c>
      <c r="AQ116" s="15">
        <f t="shared" si="81"/>
        <v>193.24700000000001</v>
      </c>
      <c r="AR116" s="127">
        <f t="shared" si="114"/>
        <v>0</v>
      </c>
      <c r="AS116" s="112">
        <f t="shared" si="135"/>
        <v>615304.63190400007</v>
      </c>
      <c r="AT116" s="112">
        <f t="shared" si="135"/>
        <v>0</v>
      </c>
      <c r="AU116" s="112">
        <f t="shared" si="135"/>
        <v>0</v>
      </c>
      <c r="AV116" s="112">
        <f t="shared" si="135"/>
        <v>0</v>
      </c>
      <c r="AW116" s="112">
        <f t="shared" si="135"/>
        <v>0</v>
      </c>
      <c r="AX116" s="112">
        <f t="shared" si="115"/>
        <v>615304.63190400007</v>
      </c>
      <c r="AY116" s="112">
        <f t="shared" si="116"/>
        <v>615304.63190400007</v>
      </c>
      <c r="AZ116" s="112">
        <f t="shared" si="137"/>
        <v>637552.77252000012</v>
      </c>
      <c r="BA116" s="112">
        <f t="shared" si="137"/>
        <v>0</v>
      </c>
      <c r="BB116" s="112">
        <f t="shared" si="137"/>
        <v>0</v>
      </c>
      <c r="BC116" s="112">
        <f t="shared" si="137"/>
        <v>0</v>
      </c>
      <c r="BD116" s="112">
        <f t="shared" si="137"/>
        <v>0</v>
      </c>
      <c r="BE116" s="112">
        <f t="shared" si="117"/>
        <v>637552.77252000012</v>
      </c>
      <c r="BF116" s="112">
        <f t="shared" si="118"/>
        <v>637552.77252000012</v>
      </c>
      <c r="BG116" s="126"/>
      <c r="BH116" s="126"/>
      <c r="BI116" s="112">
        <f t="shared" si="80"/>
        <v>0</v>
      </c>
      <c r="BJ116" s="112"/>
      <c r="BK116" s="112"/>
      <c r="BL116" s="112">
        <f t="shared" si="141"/>
        <v>389263.83216000005</v>
      </c>
      <c r="BM116" s="112">
        <f t="shared" si="141"/>
        <v>0</v>
      </c>
      <c r="BN116" s="112">
        <f t="shared" si="141"/>
        <v>0</v>
      </c>
      <c r="BO116" s="112">
        <f t="shared" si="141"/>
        <v>0</v>
      </c>
      <c r="BP116" s="112">
        <f t="shared" si="141"/>
        <v>0</v>
      </c>
      <c r="BQ116" s="112">
        <f t="shared" si="119"/>
        <v>389263.83216000005</v>
      </c>
      <c r="BR116" s="112">
        <f t="shared" si="120"/>
        <v>389263.83216000005</v>
      </c>
      <c r="BS116" s="112">
        <f t="shared" si="142"/>
        <v>234213.96672000003</v>
      </c>
      <c r="BT116" s="112">
        <f t="shared" si="142"/>
        <v>0</v>
      </c>
      <c r="BU116" s="112">
        <f t="shared" si="142"/>
        <v>0</v>
      </c>
      <c r="BV116" s="112">
        <f t="shared" si="93"/>
        <v>0</v>
      </c>
      <c r="BW116" s="112">
        <f t="shared" si="94"/>
        <v>0</v>
      </c>
      <c r="BX116" s="112">
        <f t="shared" si="121"/>
        <v>234213.96672000003</v>
      </c>
      <c r="BY116" s="112">
        <f t="shared" si="122"/>
        <v>234213.96672000003</v>
      </c>
      <c r="BZ116" s="113">
        <f t="shared" si="91"/>
        <v>0</v>
      </c>
      <c r="CA116" s="113">
        <f t="shared" si="91"/>
        <v>0</v>
      </c>
      <c r="CB116" s="113">
        <f t="shared" si="123"/>
        <v>0</v>
      </c>
      <c r="CC116" s="119" t="e">
        <f t="shared" si="92"/>
        <v>#DIV/0!</v>
      </c>
      <c r="CD116" s="119" t="e">
        <f t="shared" si="92"/>
        <v>#DIV/0!</v>
      </c>
      <c r="CE116" s="119" t="e">
        <f t="shared" si="124"/>
        <v>#DIV/0!</v>
      </c>
      <c r="CF116" s="113" t="e">
        <f t="shared" si="95"/>
        <v>#DIV/0!</v>
      </c>
      <c r="CG116" s="619">
        <f t="shared" si="96"/>
        <v>0</v>
      </c>
      <c r="CH116" s="132" t="e">
        <f t="shared" si="125"/>
        <v>#DIV/0!</v>
      </c>
      <c r="CI116" s="625"/>
      <c r="CJ116" s="208">
        <f t="shared" si="97"/>
        <v>389.26383216000005</v>
      </c>
      <c r="CK116" s="208">
        <f t="shared" si="98"/>
        <v>234.21396672000003</v>
      </c>
      <c r="CL116" s="208">
        <f t="shared" si="84"/>
        <v>623.47779888000014</v>
      </c>
      <c r="CM116" s="112">
        <f t="shared" si="99"/>
        <v>623477.79888000013</v>
      </c>
      <c r="CN116" s="112">
        <f t="shared" si="100"/>
        <v>615304.63190400007</v>
      </c>
      <c r="CO116" s="112">
        <f t="shared" si="101"/>
        <v>615304.63190400007</v>
      </c>
      <c r="CP116" s="112">
        <f t="shared" si="102"/>
        <v>389263.83216000005</v>
      </c>
      <c r="CQ116" s="112">
        <f t="shared" si="103"/>
        <v>637552.77252000012</v>
      </c>
      <c r="CR116" s="112">
        <f t="shared" si="104"/>
        <v>637552.77252000012</v>
      </c>
      <c r="CS116" s="112">
        <f t="shared" si="105"/>
        <v>234213.96672000003</v>
      </c>
      <c r="CT116" s="112">
        <f t="shared" si="126"/>
        <v>1252857.4044240001</v>
      </c>
      <c r="CU116" s="124">
        <f t="shared" si="127"/>
        <v>6483192</v>
      </c>
      <c r="CV116" s="112">
        <f t="shared" si="106"/>
        <v>0</v>
      </c>
      <c r="CW116" s="112">
        <f t="shared" si="107"/>
        <v>0</v>
      </c>
      <c r="CX116" s="112">
        <f t="shared" si="128"/>
        <v>0</v>
      </c>
      <c r="CY116" s="112">
        <f t="shared" si="108"/>
        <v>615304.63190400007</v>
      </c>
      <c r="CZ116" s="112">
        <f t="shared" si="109"/>
        <v>637552.77252000012</v>
      </c>
      <c r="DA116" s="625"/>
      <c r="DB116" s="128" t="e">
        <f t="shared" si="129"/>
        <v>#DIV/0!</v>
      </c>
      <c r="DC116" s="625"/>
      <c r="DD116" s="625"/>
      <c r="DE116" s="625"/>
      <c r="DF116" s="625"/>
      <c r="DG116" s="618">
        <f t="shared" si="110"/>
        <v>0</v>
      </c>
      <c r="DH116" s="618">
        <f t="shared" si="111"/>
        <v>0</v>
      </c>
      <c r="DI116" s="618">
        <f t="shared" si="112"/>
        <v>0</v>
      </c>
      <c r="DJ116" s="123"/>
    </row>
    <row r="117" spans="1:114" s="32" customFormat="1" ht="63.75" customHeight="1">
      <c r="A117" s="20">
        <f t="shared" si="130"/>
        <v>102</v>
      </c>
      <c r="B117" s="1897"/>
      <c r="C117" s="806" t="s">
        <v>130</v>
      </c>
      <c r="D117" s="749" t="s">
        <v>141</v>
      </c>
      <c r="E117" s="617">
        <v>4632024035</v>
      </c>
      <c r="F117" s="806" t="s">
        <v>8</v>
      </c>
      <c r="G117" s="752" t="s">
        <v>890</v>
      </c>
      <c r="H117" s="819">
        <f t="shared" si="143"/>
        <v>3184.0320000000002</v>
      </c>
      <c r="I117" s="819">
        <f t="shared" si="143"/>
        <v>3184.0320000000002</v>
      </c>
      <c r="J117" s="38"/>
      <c r="K117" s="38"/>
      <c r="L117" s="819">
        <f t="shared" si="144"/>
        <v>3184.0320000000002</v>
      </c>
      <c r="M117" s="10"/>
      <c r="N117" s="622">
        <f t="shared" si="140"/>
        <v>3299.1600000000003</v>
      </c>
      <c r="O117" s="622">
        <f t="shared" si="140"/>
        <v>3299.1600000000003</v>
      </c>
      <c r="P117" s="10"/>
      <c r="Q117" s="10"/>
      <c r="R117" s="622">
        <f t="shared" si="145"/>
        <v>3299.1600000000003</v>
      </c>
      <c r="S117" s="10"/>
      <c r="T117" s="1019">
        <v>152.22</v>
      </c>
      <c r="U117" s="178"/>
      <c r="V117" s="682"/>
      <c r="W117" s="178"/>
      <c r="X117" s="178"/>
      <c r="Y117" s="178"/>
      <c r="Z117" s="35">
        <f t="shared" si="131"/>
        <v>152.22</v>
      </c>
      <c r="AA117" s="178">
        <v>88.391999999999996</v>
      </c>
      <c r="AB117" s="16"/>
      <c r="AC117" s="227"/>
      <c r="AD117" s="16"/>
      <c r="AE117" s="16"/>
      <c r="AF117" s="16"/>
      <c r="AG117" s="35">
        <f t="shared" si="132"/>
        <v>88.391999999999996</v>
      </c>
      <c r="AH117" s="35">
        <f t="shared" si="113"/>
        <v>240.61199999999999</v>
      </c>
      <c r="AI117" s="15">
        <f t="shared" si="134"/>
        <v>240.61199999999999</v>
      </c>
      <c r="AJ117" s="15">
        <f t="shared" si="134"/>
        <v>0</v>
      </c>
      <c r="AK117" s="15">
        <f t="shared" si="134"/>
        <v>0</v>
      </c>
      <c r="AL117" s="15">
        <f t="shared" si="134"/>
        <v>0</v>
      </c>
      <c r="AM117" s="15">
        <f t="shared" si="133"/>
        <v>0</v>
      </c>
      <c r="AN117" s="15"/>
      <c r="AO117" s="15">
        <f t="shared" si="85"/>
        <v>240.61199999999999</v>
      </c>
      <c r="AP117" s="15">
        <f t="shared" si="86"/>
        <v>240.61199999999999</v>
      </c>
      <c r="AQ117" s="15">
        <f t="shared" si="81"/>
        <v>240.61199999999999</v>
      </c>
      <c r="AR117" s="127">
        <f t="shared" si="114"/>
        <v>0</v>
      </c>
      <c r="AS117" s="112">
        <f t="shared" si="135"/>
        <v>766116.30758400005</v>
      </c>
      <c r="AT117" s="112">
        <f t="shared" si="135"/>
        <v>0</v>
      </c>
      <c r="AU117" s="112">
        <f t="shared" si="135"/>
        <v>0</v>
      </c>
      <c r="AV117" s="112">
        <f t="shared" si="135"/>
        <v>0</v>
      </c>
      <c r="AW117" s="112">
        <f t="shared" si="135"/>
        <v>0</v>
      </c>
      <c r="AX117" s="112">
        <f t="shared" si="115"/>
        <v>766116.30758400005</v>
      </c>
      <c r="AY117" s="112">
        <f t="shared" si="116"/>
        <v>766116.30758400005</v>
      </c>
      <c r="AZ117" s="112">
        <f t="shared" si="137"/>
        <v>793817.48592000001</v>
      </c>
      <c r="BA117" s="112">
        <f t="shared" si="137"/>
        <v>0</v>
      </c>
      <c r="BB117" s="112">
        <f t="shared" si="137"/>
        <v>0</v>
      </c>
      <c r="BC117" s="112">
        <f t="shared" si="137"/>
        <v>0</v>
      </c>
      <c r="BD117" s="112">
        <f t="shared" si="137"/>
        <v>0</v>
      </c>
      <c r="BE117" s="112">
        <f t="shared" si="117"/>
        <v>793817.48592000001</v>
      </c>
      <c r="BF117" s="112">
        <f t="shared" si="118"/>
        <v>793817.48592000001</v>
      </c>
      <c r="BG117" s="126"/>
      <c r="BH117" s="126"/>
      <c r="BI117" s="112">
        <f t="shared" si="80"/>
        <v>0</v>
      </c>
      <c r="BJ117" s="112"/>
      <c r="BK117" s="112"/>
      <c r="BL117" s="112">
        <f t="shared" si="141"/>
        <v>484673.35104000004</v>
      </c>
      <c r="BM117" s="112">
        <f t="shared" si="141"/>
        <v>0</v>
      </c>
      <c r="BN117" s="112">
        <f t="shared" si="141"/>
        <v>0</v>
      </c>
      <c r="BO117" s="112">
        <f t="shared" si="141"/>
        <v>0</v>
      </c>
      <c r="BP117" s="112">
        <f t="shared" si="141"/>
        <v>0</v>
      </c>
      <c r="BQ117" s="112">
        <f t="shared" si="119"/>
        <v>484673.35104000004</v>
      </c>
      <c r="BR117" s="112">
        <f t="shared" si="120"/>
        <v>484673.35104000004</v>
      </c>
      <c r="BS117" s="112">
        <f t="shared" si="142"/>
        <v>291619.35071999999</v>
      </c>
      <c r="BT117" s="112">
        <f t="shared" si="142"/>
        <v>0</v>
      </c>
      <c r="BU117" s="112">
        <f t="shared" si="142"/>
        <v>0</v>
      </c>
      <c r="BV117" s="112">
        <f t="shared" si="93"/>
        <v>0</v>
      </c>
      <c r="BW117" s="112">
        <f t="shared" si="94"/>
        <v>0</v>
      </c>
      <c r="BX117" s="112">
        <f t="shared" si="121"/>
        <v>291619.35071999999</v>
      </c>
      <c r="BY117" s="112">
        <f t="shared" si="122"/>
        <v>291619.35071999999</v>
      </c>
      <c r="BZ117" s="113">
        <f t="shared" si="91"/>
        <v>0</v>
      </c>
      <c r="CA117" s="113">
        <f t="shared" si="91"/>
        <v>0</v>
      </c>
      <c r="CB117" s="113">
        <f t="shared" si="123"/>
        <v>0</v>
      </c>
      <c r="CC117" s="119" t="e">
        <f t="shared" si="92"/>
        <v>#DIV/0!</v>
      </c>
      <c r="CD117" s="119" t="e">
        <f t="shared" si="92"/>
        <v>#DIV/0!</v>
      </c>
      <c r="CE117" s="119" t="e">
        <f t="shared" si="124"/>
        <v>#DIV/0!</v>
      </c>
      <c r="CF117" s="113" t="e">
        <f t="shared" si="95"/>
        <v>#DIV/0!</v>
      </c>
      <c r="CG117" s="619">
        <f t="shared" si="96"/>
        <v>0</v>
      </c>
      <c r="CH117" s="132" t="e">
        <f t="shared" si="125"/>
        <v>#DIV/0!</v>
      </c>
      <c r="CI117" s="625"/>
      <c r="CJ117" s="208">
        <f t="shared" si="97"/>
        <v>484.67335104000006</v>
      </c>
      <c r="CK117" s="208">
        <f t="shared" si="98"/>
        <v>291.61935072</v>
      </c>
      <c r="CL117" s="208">
        <f t="shared" si="84"/>
        <v>776.29270176</v>
      </c>
      <c r="CM117" s="112">
        <f t="shared" si="99"/>
        <v>776292.70176000008</v>
      </c>
      <c r="CN117" s="112">
        <f t="shared" si="100"/>
        <v>766116.30758400005</v>
      </c>
      <c r="CO117" s="112">
        <f t="shared" si="101"/>
        <v>766116.30758400005</v>
      </c>
      <c r="CP117" s="112">
        <f t="shared" si="102"/>
        <v>484673.35104000004</v>
      </c>
      <c r="CQ117" s="112">
        <f t="shared" si="103"/>
        <v>793817.48592000001</v>
      </c>
      <c r="CR117" s="112">
        <f t="shared" si="104"/>
        <v>793817.48592000001</v>
      </c>
      <c r="CS117" s="112">
        <f t="shared" si="105"/>
        <v>291619.35071999999</v>
      </c>
      <c r="CT117" s="112">
        <f t="shared" si="126"/>
        <v>1559933.7935040002</v>
      </c>
      <c r="CU117" s="124">
        <f t="shared" si="127"/>
        <v>6483192.0000000009</v>
      </c>
      <c r="CV117" s="112">
        <f t="shared" si="106"/>
        <v>0</v>
      </c>
      <c r="CW117" s="112">
        <f t="shared" si="107"/>
        <v>0</v>
      </c>
      <c r="CX117" s="112">
        <f t="shared" si="128"/>
        <v>0</v>
      </c>
      <c r="CY117" s="112">
        <f t="shared" si="108"/>
        <v>766116.30758400005</v>
      </c>
      <c r="CZ117" s="112">
        <f t="shared" si="109"/>
        <v>793817.48592000001</v>
      </c>
      <c r="DA117" s="625"/>
      <c r="DB117" s="128" t="e">
        <f t="shared" si="129"/>
        <v>#DIV/0!</v>
      </c>
      <c r="DC117" s="625"/>
      <c r="DD117" s="625"/>
      <c r="DE117" s="625"/>
      <c r="DF117" s="625"/>
      <c r="DG117" s="618">
        <f t="shared" si="110"/>
        <v>0</v>
      </c>
      <c r="DH117" s="618">
        <f t="shared" si="111"/>
        <v>0</v>
      </c>
      <c r="DI117" s="618">
        <f t="shared" si="112"/>
        <v>0</v>
      </c>
      <c r="DJ117" s="123"/>
    </row>
    <row r="118" spans="1:114" s="32" customFormat="1" ht="63.75" customHeight="1">
      <c r="A118" s="20">
        <f t="shared" si="130"/>
        <v>103</v>
      </c>
      <c r="B118" s="1905"/>
      <c r="C118" s="806" t="s">
        <v>131</v>
      </c>
      <c r="D118" s="749" t="s">
        <v>141</v>
      </c>
      <c r="E118" s="617">
        <v>4632024035</v>
      </c>
      <c r="F118" s="806" t="s">
        <v>8</v>
      </c>
      <c r="G118" s="752" t="s">
        <v>890</v>
      </c>
      <c r="H118" s="819">
        <f t="shared" si="143"/>
        <v>3184.0320000000002</v>
      </c>
      <c r="I118" s="819">
        <f t="shared" si="143"/>
        <v>3184.0320000000002</v>
      </c>
      <c r="J118" s="38"/>
      <c r="K118" s="38"/>
      <c r="L118" s="819">
        <f t="shared" si="144"/>
        <v>3184.0320000000002</v>
      </c>
      <c r="M118" s="10"/>
      <c r="N118" s="622">
        <f t="shared" si="140"/>
        <v>3299.1600000000003</v>
      </c>
      <c r="O118" s="622">
        <f t="shared" si="140"/>
        <v>3299.1600000000003</v>
      </c>
      <c r="P118" s="10"/>
      <c r="Q118" s="10"/>
      <c r="R118" s="622">
        <f t="shared" si="145"/>
        <v>3299.1600000000003</v>
      </c>
      <c r="S118" s="10"/>
      <c r="T118" s="1019">
        <v>149.82300000000001</v>
      </c>
      <c r="U118" s="178"/>
      <c r="V118" s="682"/>
      <c r="W118" s="178"/>
      <c r="X118" s="178"/>
      <c r="Y118" s="178"/>
      <c r="Z118" s="35">
        <f t="shared" si="131"/>
        <v>149.82300000000001</v>
      </c>
      <c r="AA118" s="178">
        <v>87</v>
      </c>
      <c r="AB118" s="16"/>
      <c r="AC118" s="227"/>
      <c r="AD118" s="16"/>
      <c r="AE118" s="16"/>
      <c r="AF118" s="16"/>
      <c r="AG118" s="35">
        <f t="shared" si="132"/>
        <v>87</v>
      </c>
      <c r="AH118" s="35">
        <f t="shared" si="113"/>
        <v>236.82300000000001</v>
      </c>
      <c r="AI118" s="15">
        <f t="shared" si="134"/>
        <v>236.82300000000001</v>
      </c>
      <c r="AJ118" s="15">
        <f t="shared" si="134"/>
        <v>0</v>
      </c>
      <c r="AK118" s="15">
        <f t="shared" si="134"/>
        <v>0</v>
      </c>
      <c r="AL118" s="15">
        <f t="shared" si="134"/>
        <v>0</v>
      </c>
      <c r="AM118" s="15">
        <f t="shared" si="133"/>
        <v>0</v>
      </c>
      <c r="AN118" s="15"/>
      <c r="AO118" s="15">
        <f t="shared" si="85"/>
        <v>236.82300000000001</v>
      </c>
      <c r="AP118" s="15">
        <f t="shared" si="86"/>
        <v>236.82300000000001</v>
      </c>
      <c r="AQ118" s="15">
        <f t="shared" si="81"/>
        <v>236.82300000000001</v>
      </c>
      <c r="AR118" s="127">
        <f t="shared" si="114"/>
        <v>0</v>
      </c>
      <c r="AS118" s="112">
        <f t="shared" si="135"/>
        <v>754052.01033600001</v>
      </c>
      <c r="AT118" s="112">
        <f t="shared" si="135"/>
        <v>0</v>
      </c>
      <c r="AU118" s="112">
        <f t="shared" si="135"/>
        <v>0</v>
      </c>
      <c r="AV118" s="112">
        <f t="shared" si="135"/>
        <v>0</v>
      </c>
      <c r="AW118" s="112">
        <f t="shared" si="135"/>
        <v>0</v>
      </c>
      <c r="AX118" s="112">
        <f t="shared" si="115"/>
        <v>754052.01033600001</v>
      </c>
      <c r="AY118" s="112">
        <f t="shared" si="116"/>
        <v>754052.01033600001</v>
      </c>
      <c r="AZ118" s="112">
        <f t="shared" si="137"/>
        <v>781316.96868000005</v>
      </c>
      <c r="BA118" s="112">
        <f t="shared" si="137"/>
        <v>0</v>
      </c>
      <c r="BB118" s="112">
        <f t="shared" si="137"/>
        <v>0</v>
      </c>
      <c r="BC118" s="112">
        <f t="shared" si="137"/>
        <v>0</v>
      </c>
      <c r="BD118" s="112">
        <f t="shared" si="137"/>
        <v>0</v>
      </c>
      <c r="BE118" s="112">
        <f t="shared" si="117"/>
        <v>781316.96868000005</v>
      </c>
      <c r="BF118" s="112">
        <f t="shared" si="118"/>
        <v>781316.96868000005</v>
      </c>
      <c r="BG118" s="126"/>
      <c r="BH118" s="126"/>
      <c r="BI118" s="112">
        <f t="shared" si="80"/>
        <v>0</v>
      </c>
      <c r="BJ118" s="112"/>
      <c r="BK118" s="112"/>
      <c r="BL118" s="112">
        <f t="shared" si="141"/>
        <v>477041.22633600002</v>
      </c>
      <c r="BM118" s="112">
        <f t="shared" si="141"/>
        <v>0</v>
      </c>
      <c r="BN118" s="112">
        <f t="shared" si="141"/>
        <v>0</v>
      </c>
      <c r="BO118" s="112">
        <f t="shared" si="141"/>
        <v>0</v>
      </c>
      <c r="BP118" s="112">
        <f t="shared" si="141"/>
        <v>0</v>
      </c>
      <c r="BQ118" s="112">
        <f t="shared" si="119"/>
        <v>477041.22633600002</v>
      </c>
      <c r="BR118" s="112">
        <f t="shared" si="120"/>
        <v>477041.22633600002</v>
      </c>
      <c r="BS118" s="112">
        <f t="shared" si="142"/>
        <v>287026.92000000004</v>
      </c>
      <c r="BT118" s="112">
        <f t="shared" si="142"/>
        <v>0</v>
      </c>
      <c r="BU118" s="112">
        <f t="shared" si="142"/>
        <v>0</v>
      </c>
      <c r="BV118" s="112">
        <f t="shared" si="93"/>
        <v>0</v>
      </c>
      <c r="BW118" s="112">
        <f t="shared" si="94"/>
        <v>0</v>
      </c>
      <c r="BX118" s="112">
        <f t="shared" si="121"/>
        <v>287026.92000000004</v>
      </c>
      <c r="BY118" s="112">
        <f t="shared" si="122"/>
        <v>287026.92000000004</v>
      </c>
      <c r="BZ118" s="113">
        <f t="shared" si="91"/>
        <v>0</v>
      </c>
      <c r="CA118" s="113">
        <f t="shared" si="91"/>
        <v>0</v>
      </c>
      <c r="CB118" s="113">
        <f t="shared" si="123"/>
        <v>0</v>
      </c>
      <c r="CC118" s="119" t="e">
        <f t="shared" si="92"/>
        <v>#DIV/0!</v>
      </c>
      <c r="CD118" s="119" t="e">
        <f t="shared" si="92"/>
        <v>#DIV/0!</v>
      </c>
      <c r="CE118" s="119" t="e">
        <f t="shared" si="124"/>
        <v>#DIV/0!</v>
      </c>
      <c r="CF118" s="113" t="e">
        <f t="shared" si="95"/>
        <v>#DIV/0!</v>
      </c>
      <c r="CG118" s="619">
        <f t="shared" si="96"/>
        <v>0</v>
      </c>
      <c r="CH118" s="132" t="e">
        <f t="shared" si="125"/>
        <v>#DIV/0!</v>
      </c>
      <c r="CI118" s="625"/>
      <c r="CJ118" s="208">
        <f t="shared" si="97"/>
        <v>477.04122633600002</v>
      </c>
      <c r="CK118" s="208">
        <f t="shared" si="98"/>
        <v>287.02692000000002</v>
      </c>
      <c r="CL118" s="208">
        <f t="shared" si="84"/>
        <v>764.06814633600004</v>
      </c>
      <c r="CM118" s="112">
        <f t="shared" si="99"/>
        <v>764068.14633600006</v>
      </c>
      <c r="CN118" s="112">
        <f t="shared" si="100"/>
        <v>754052.01033600001</v>
      </c>
      <c r="CO118" s="112">
        <f t="shared" si="101"/>
        <v>754052.01033600001</v>
      </c>
      <c r="CP118" s="112">
        <f t="shared" si="102"/>
        <v>477041.22633600002</v>
      </c>
      <c r="CQ118" s="112">
        <f t="shared" si="103"/>
        <v>781316.96868000005</v>
      </c>
      <c r="CR118" s="112">
        <f t="shared" si="104"/>
        <v>781316.96868000005</v>
      </c>
      <c r="CS118" s="112">
        <f t="shared" si="105"/>
        <v>287026.92000000004</v>
      </c>
      <c r="CT118" s="112">
        <f t="shared" si="126"/>
        <v>1535368.9790159999</v>
      </c>
      <c r="CU118" s="124">
        <f t="shared" si="127"/>
        <v>6483191.9999999991</v>
      </c>
      <c r="CV118" s="112">
        <f t="shared" si="106"/>
        <v>0</v>
      </c>
      <c r="CW118" s="112">
        <f t="shared" si="107"/>
        <v>0</v>
      </c>
      <c r="CX118" s="112">
        <f t="shared" si="128"/>
        <v>0</v>
      </c>
      <c r="CY118" s="112">
        <f t="shared" si="108"/>
        <v>754052.01033600001</v>
      </c>
      <c r="CZ118" s="112">
        <f t="shared" si="109"/>
        <v>781316.96868000005</v>
      </c>
      <c r="DA118" s="625"/>
      <c r="DB118" s="128" t="e">
        <f t="shared" si="129"/>
        <v>#DIV/0!</v>
      </c>
      <c r="DC118" s="625"/>
      <c r="DD118" s="625"/>
      <c r="DE118" s="625"/>
      <c r="DF118" s="625"/>
      <c r="DG118" s="618">
        <f t="shared" si="110"/>
        <v>0</v>
      </c>
      <c r="DH118" s="618">
        <f t="shared" si="111"/>
        <v>0</v>
      </c>
      <c r="DI118" s="618">
        <f t="shared" si="112"/>
        <v>0</v>
      </c>
      <c r="DJ118" s="123"/>
    </row>
    <row r="119" spans="1:114" s="20" customFormat="1" ht="59.25" hidden="1" customHeight="1">
      <c r="A119" s="20">
        <f t="shared" si="130"/>
        <v>104</v>
      </c>
      <c r="B119" s="1896" t="s">
        <v>43</v>
      </c>
      <c r="C119" s="1896" t="s">
        <v>53</v>
      </c>
      <c r="D119" s="806" t="s">
        <v>256</v>
      </c>
      <c r="E119" s="806">
        <v>4633002394</v>
      </c>
      <c r="F119" s="806" t="s">
        <v>8</v>
      </c>
      <c r="G119" s="807" t="s">
        <v>892</v>
      </c>
      <c r="H119" s="38">
        <f>1603.82*1.2</f>
        <v>1924.5839999999998</v>
      </c>
      <c r="I119" s="38">
        <f>1603.82*1.2</f>
        <v>1924.5839999999998</v>
      </c>
      <c r="J119" s="38">
        <v>1909.18</v>
      </c>
      <c r="K119" s="38">
        <v>1755.44</v>
      </c>
      <c r="L119" s="38">
        <f>1603.82*1.2</f>
        <v>1924.5839999999998</v>
      </c>
      <c r="M119" s="10"/>
      <c r="N119" s="10">
        <f>1647.9*1.2</f>
        <v>1977.48</v>
      </c>
      <c r="O119" s="10">
        <f>1647.9*1.2</f>
        <v>1977.48</v>
      </c>
      <c r="P119" s="10">
        <v>1977.48</v>
      </c>
      <c r="Q119" s="10">
        <v>1834.44</v>
      </c>
      <c r="R119" s="10">
        <f>1647.9*1.2</f>
        <v>1977.48</v>
      </c>
      <c r="S119" s="10"/>
      <c r="T119" s="15">
        <v>33479.61</v>
      </c>
      <c r="U119" s="15">
        <v>198441.00799999997</v>
      </c>
      <c r="V119" s="208">
        <f>38474.811+7677.962</f>
        <v>46152.773000000001</v>
      </c>
      <c r="W119" s="15">
        <v>24213.333000000002</v>
      </c>
      <c r="X119" s="15"/>
      <c r="Y119" s="15"/>
      <c r="Z119" s="35">
        <f t="shared" si="131"/>
        <v>302286.72399999993</v>
      </c>
      <c r="AA119" s="15">
        <v>25651.242000000002</v>
      </c>
      <c r="AB119" s="15">
        <v>143205.31099999999</v>
      </c>
      <c r="AC119" s="208">
        <f>37775.993+6878.256</f>
        <v>44654.249000000003</v>
      </c>
      <c r="AD119" s="15">
        <v>16170.231</v>
      </c>
      <c r="AE119" s="15"/>
      <c r="AF119" s="15"/>
      <c r="AG119" s="35">
        <f t="shared" si="132"/>
        <v>229681.033</v>
      </c>
      <c r="AH119" s="35">
        <f t="shared" si="113"/>
        <v>531967.75699999998</v>
      </c>
      <c r="AI119" s="15">
        <f t="shared" si="134"/>
        <v>59130.851999999999</v>
      </c>
      <c r="AJ119" s="15">
        <f t="shared" si="134"/>
        <v>341646.31899999996</v>
      </c>
      <c r="AK119" s="15">
        <f t="shared" si="134"/>
        <v>90807.021999999997</v>
      </c>
      <c r="AL119" s="15">
        <f t="shared" si="134"/>
        <v>40383.563999999998</v>
      </c>
      <c r="AM119" s="15">
        <f t="shared" si="133"/>
        <v>0</v>
      </c>
      <c r="AN119" s="15"/>
      <c r="AO119" s="15">
        <f t="shared" si="85"/>
        <v>531967.75699999998</v>
      </c>
      <c r="AP119" s="15">
        <f t="shared" si="86"/>
        <v>531967.75699999998</v>
      </c>
      <c r="AQ119" s="15">
        <f t="shared" si="81"/>
        <v>531967.75699999998</v>
      </c>
      <c r="AR119" s="127">
        <f t="shared" si="114"/>
        <v>0</v>
      </c>
      <c r="AS119" s="112">
        <f t="shared" si="135"/>
        <v>113802291.66556799</v>
      </c>
      <c r="AT119" s="112">
        <f t="shared" si="135"/>
        <v>652264319.30841994</v>
      </c>
      <c r="AU119" s="112">
        <f t="shared" si="135"/>
        <v>159406278.69968</v>
      </c>
      <c r="AV119" s="112">
        <f t="shared" si="135"/>
        <v>77721561.137375996</v>
      </c>
      <c r="AW119" s="112">
        <f t="shared" si="135"/>
        <v>0</v>
      </c>
      <c r="AX119" s="112">
        <f t="shared" si="115"/>
        <v>1003194450.8110439</v>
      </c>
      <c r="AY119" s="112">
        <f t="shared" si="116"/>
        <v>1003194450.8110439</v>
      </c>
      <c r="AZ119" s="112">
        <f t="shared" si="137"/>
        <v>116930077.21296</v>
      </c>
      <c r="BA119" s="112">
        <f t="shared" si="137"/>
        <v>675598762.89611995</v>
      </c>
      <c r="BB119" s="112">
        <f t="shared" si="137"/>
        <v>166580033.43768001</v>
      </c>
      <c r="BC119" s="112">
        <f t="shared" si="137"/>
        <v>79857690.138719991</v>
      </c>
      <c r="BD119" s="112">
        <f t="shared" si="137"/>
        <v>0</v>
      </c>
      <c r="BE119" s="112">
        <f t="shared" si="117"/>
        <v>1038966563.68548</v>
      </c>
      <c r="BF119" s="112">
        <f t="shared" si="118"/>
        <v>1038966563.68548</v>
      </c>
      <c r="BG119" s="169">
        <f>(I119-J119)*U119/1000/1.2+(I119-K119)*V119/1000/1.2-0.173677725037123</f>
        <v>9052.534591894917</v>
      </c>
      <c r="BH119" s="170">
        <f>(O119-P119)*AB119/1000/1.2+(O119-Q119)*AC119/1000/1.2+0.305452204311223</f>
        <v>5323.0919330043107</v>
      </c>
      <c r="BI119" s="169">
        <f t="shared" si="80"/>
        <v>14375.626524899228</v>
      </c>
      <c r="BJ119" s="683"/>
      <c r="BK119" s="683"/>
      <c r="BL119" s="112">
        <f t="shared" si="141"/>
        <v>64434321.732239999</v>
      </c>
      <c r="BM119" s="112">
        <f t="shared" si="141"/>
        <v>378859603.65343994</v>
      </c>
      <c r="BN119" s="112">
        <f t="shared" si="141"/>
        <v>81018423.835120007</v>
      </c>
      <c r="BO119" s="112">
        <f t="shared" si="141"/>
        <v>46600593.278471999</v>
      </c>
      <c r="BP119" s="112">
        <f t="shared" si="141"/>
        <v>0</v>
      </c>
      <c r="BQ119" s="112">
        <f t="shared" si="119"/>
        <v>570912942.49927199</v>
      </c>
      <c r="BR119" s="112">
        <f t="shared" si="120"/>
        <v>570912942.49927199</v>
      </c>
      <c r="BS119" s="112">
        <f t="shared" si="142"/>
        <v>50724818.030160002</v>
      </c>
      <c r="BT119" s="112">
        <f t="shared" si="142"/>
        <v>283185638.39627999</v>
      </c>
      <c r="BU119" s="112">
        <f t="shared" si="142"/>
        <v>81915540.535560012</v>
      </c>
      <c r="BV119" s="112">
        <f t="shared" si="93"/>
        <v>47881381.740840003</v>
      </c>
      <c r="BW119" s="112">
        <f t="shared" si="94"/>
        <v>0</v>
      </c>
      <c r="BX119" s="112">
        <f t="shared" si="121"/>
        <v>463707378.70284003</v>
      </c>
      <c r="BY119" s="112">
        <f t="shared" si="122"/>
        <v>463707378.70284003</v>
      </c>
      <c r="BZ119" s="113">
        <f t="shared" si="91"/>
        <v>662045242.04971993</v>
      </c>
      <c r="CA119" s="113">
        <f t="shared" si="91"/>
        <v>162933964.37068003</v>
      </c>
      <c r="CB119" s="113">
        <f t="shared" si="123"/>
        <v>824979206.4203999</v>
      </c>
      <c r="CC119" s="119">
        <f t="shared" si="92"/>
        <v>1937.8087959136478</v>
      </c>
      <c r="CD119" s="119">
        <f t="shared" si="92"/>
        <v>1794.2881594628225</v>
      </c>
      <c r="CE119" s="119">
        <f t="shared" si="124"/>
        <v>1907.6721768705215</v>
      </c>
      <c r="CF119" s="119">
        <f t="shared" si="95"/>
        <v>1907.6721768705215</v>
      </c>
      <c r="CG119" s="619">
        <f t="shared" si="96"/>
        <v>842229800.12090397</v>
      </c>
      <c r="CH119" s="132">
        <f t="shared" si="125"/>
        <v>1947.5622460757079</v>
      </c>
      <c r="CI119" s="106"/>
      <c r="CJ119" s="684">
        <f t="shared" si="97"/>
        <v>581776.19242281583</v>
      </c>
      <c r="CK119" s="684">
        <f t="shared" si="98"/>
        <v>454189.64913683996</v>
      </c>
      <c r="CL119" s="684">
        <f t="shared" si="84"/>
        <v>1035965.8415596557</v>
      </c>
      <c r="CM119" s="126">
        <f t="shared" si="99"/>
        <v>1035965841.5596558</v>
      </c>
      <c r="CN119" s="126">
        <f t="shared" si="100"/>
        <v>1003194450.8110439</v>
      </c>
      <c r="CO119" s="126">
        <f t="shared" si="101"/>
        <v>1017155122.3733239</v>
      </c>
      <c r="CP119" s="126">
        <f t="shared" si="102"/>
        <v>570912942.49927199</v>
      </c>
      <c r="CQ119" s="126">
        <f t="shared" si="103"/>
        <v>1038966563.68548</v>
      </c>
      <c r="CR119" s="126">
        <f t="shared" si="104"/>
        <v>1051955600.11236</v>
      </c>
      <c r="CS119" s="126">
        <f t="shared" si="105"/>
        <v>447802305.35988003</v>
      </c>
      <c r="CT119" s="126">
        <f t="shared" si="126"/>
        <v>2042161014.4965239</v>
      </c>
      <c r="CU119" s="679">
        <f t="shared" si="127"/>
        <v>3838881.1871102252</v>
      </c>
      <c r="CV119" s="126">
        <f t="shared" si="106"/>
        <v>811670598.00809991</v>
      </c>
      <c r="CW119" s="126">
        <f t="shared" si="107"/>
        <v>842178796.33379996</v>
      </c>
      <c r="CX119" s="126">
        <f t="shared" si="128"/>
        <v>1653849394.3418999</v>
      </c>
      <c r="CY119" s="126">
        <f t="shared" si="108"/>
        <v>1023816633.6380877</v>
      </c>
      <c r="CZ119" s="126">
        <f t="shared" si="109"/>
        <v>1051955600.11236</v>
      </c>
      <c r="DA119" s="106"/>
      <c r="DB119" s="128">
        <f t="shared" si="129"/>
        <v>103.57745209985438</v>
      </c>
      <c r="DC119" s="106"/>
      <c r="DD119" s="106"/>
      <c r="DE119" s="106"/>
      <c r="DF119" s="106"/>
      <c r="DG119" s="618">
        <f t="shared" si="110"/>
        <v>0</v>
      </c>
      <c r="DH119" s="618">
        <f t="shared" si="111"/>
        <v>0</v>
      </c>
      <c r="DI119" s="618">
        <f t="shared" si="112"/>
        <v>0</v>
      </c>
      <c r="DJ119" s="115"/>
    </row>
    <row r="120" spans="1:114" s="13" customFormat="1" ht="72.75" hidden="1" customHeight="1">
      <c r="A120" s="695">
        <f t="shared" si="130"/>
        <v>105</v>
      </c>
      <c r="B120" s="1897"/>
      <c r="C120" s="1897"/>
      <c r="D120" s="808" t="s">
        <v>276</v>
      </c>
      <c r="E120" s="808">
        <v>4633001577</v>
      </c>
      <c r="F120" s="696" t="s">
        <v>8</v>
      </c>
      <c r="G120" s="808" t="s">
        <v>873</v>
      </c>
      <c r="H120" s="697">
        <v>2122.4899999999998</v>
      </c>
      <c r="I120" s="697">
        <v>0</v>
      </c>
      <c r="J120" s="697">
        <v>0</v>
      </c>
      <c r="K120" s="697">
        <v>0</v>
      </c>
      <c r="L120" s="728">
        <v>2122.4899999999998</v>
      </c>
      <c r="M120" s="697">
        <v>0</v>
      </c>
      <c r="N120" s="697">
        <v>2286.8200000000002</v>
      </c>
      <c r="O120" s="697">
        <v>0</v>
      </c>
      <c r="P120" s="697">
        <v>0</v>
      </c>
      <c r="Q120" s="697">
        <v>0</v>
      </c>
      <c r="R120" s="728">
        <v>2286.8200000000002</v>
      </c>
      <c r="S120" s="697">
        <v>0</v>
      </c>
      <c r="T120" s="18">
        <v>0</v>
      </c>
      <c r="U120" s="18">
        <v>0</v>
      </c>
      <c r="V120" s="18">
        <v>0</v>
      </c>
      <c r="W120" s="18">
        <v>12463</v>
      </c>
      <c r="X120" s="18">
        <v>0</v>
      </c>
      <c r="Y120" s="18">
        <v>0</v>
      </c>
      <c r="Z120" s="99">
        <f t="shared" si="131"/>
        <v>12463</v>
      </c>
      <c r="AA120" s="18">
        <v>0</v>
      </c>
      <c r="AB120" s="18">
        <v>0</v>
      </c>
      <c r="AC120" s="18">
        <v>0</v>
      </c>
      <c r="AD120" s="18">
        <v>7732</v>
      </c>
      <c r="AE120" s="18">
        <v>0</v>
      </c>
      <c r="AF120" s="18">
        <v>0</v>
      </c>
      <c r="AG120" s="99">
        <f>SUM(AA120:AF120)</f>
        <v>7732</v>
      </c>
      <c r="AH120" s="99">
        <f t="shared" si="113"/>
        <v>20195</v>
      </c>
      <c r="AI120" s="18">
        <f t="shared" si="134"/>
        <v>0</v>
      </c>
      <c r="AJ120" s="18">
        <f t="shared" si="134"/>
        <v>0</v>
      </c>
      <c r="AK120" s="18">
        <f t="shared" si="134"/>
        <v>0</v>
      </c>
      <c r="AL120" s="18">
        <f t="shared" si="134"/>
        <v>20195</v>
      </c>
      <c r="AM120" s="18">
        <f t="shared" si="133"/>
        <v>0</v>
      </c>
      <c r="AN120" s="18"/>
      <c r="AO120" s="18">
        <f t="shared" si="85"/>
        <v>20195</v>
      </c>
      <c r="AP120" s="18">
        <f t="shared" si="86"/>
        <v>20195</v>
      </c>
      <c r="AQ120" s="18">
        <f t="shared" si="81"/>
        <v>20195</v>
      </c>
      <c r="AR120" s="99">
        <f t="shared" si="114"/>
        <v>0</v>
      </c>
      <c r="AS120" s="18">
        <f t="shared" si="135"/>
        <v>0</v>
      </c>
      <c r="AT120" s="18">
        <f t="shared" si="135"/>
        <v>0</v>
      </c>
      <c r="AU120" s="18">
        <f t="shared" si="135"/>
        <v>0</v>
      </c>
      <c r="AV120" s="18">
        <f t="shared" si="135"/>
        <v>42863685.549999997</v>
      </c>
      <c r="AW120" s="18">
        <f t="shared" si="135"/>
        <v>0</v>
      </c>
      <c r="AX120" s="18">
        <f t="shared" si="115"/>
        <v>42863685.549999997</v>
      </c>
      <c r="AY120" s="18">
        <f t="shared" si="116"/>
        <v>42863685.549999997</v>
      </c>
      <c r="AZ120" s="18">
        <f t="shared" si="137"/>
        <v>0</v>
      </c>
      <c r="BA120" s="18">
        <f t="shared" si="137"/>
        <v>0</v>
      </c>
      <c r="BB120" s="18">
        <f t="shared" si="137"/>
        <v>0</v>
      </c>
      <c r="BC120" s="18">
        <f t="shared" si="137"/>
        <v>46182329.900000006</v>
      </c>
      <c r="BD120" s="18">
        <f t="shared" si="137"/>
        <v>0</v>
      </c>
      <c r="BE120" s="18">
        <f t="shared" si="117"/>
        <v>46182329.900000006</v>
      </c>
      <c r="BF120" s="18">
        <f t="shared" si="118"/>
        <v>46182329.900000006</v>
      </c>
      <c r="BG120" s="18"/>
      <c r="BH120" s="18"/>
      <c r="BI120" s="18">
        <f t="shared" si="80"/>
        <v>0</v>
      </c>
      <c r="BJ120" s="18">
        <v>36778.559999999998</v>
      </c>
      <c r="BK120" s="18">
        <v>36182.080000000002</v>
      </c>
      <c r="BL120" s="18">
        <f>I120*T120</f>
        <v>0</v>
      </c>
      <c r="BM120" s="18">
        <f>J120*U120</f>
        <v>0</v>
      </c>
      <c r="BN120" s="18">
        <f>K120*V120</f>
        <v>0</v>
      </c>
      <c r="BO120" s="18">
        <f>L120*W120</f>
        <v>26452592.869999997</v>
      </c>
      <c r="BP120" s="18">
        <f t="shared" si="141"/>
        <v>0</v>
      </c>
      <c r="BQ120" s="18">
        <f>BL120+BM120+BN120+BO120+BP120</f>
        <v>26452592.869999997</v>
      </c>
      <c r="BR120" s="18">
        <f>BQ120-BP120</f>
        <v>26452592.869999997</v>
      </c>
      <c r="BS120" s="18">
        <f>O120*AA120</f>
        <v>0</v>
      </c>
      <c r="BT120" s="18">
        <f>P120*AB120</f>
        <v>0</v>
      </c>
      <c r="BU120" s="18">
        <f>Q120*AC120</f>
        <v>0</v>
      </c>
      <c r="BV120" s="18">
        <f>R120*W120</f>
        <v>28500637.660000004</v>
      </c>
      <c r="BW120" s="18">
        <f>S120*AE120</f>
        <v>0</v>
      </c>
      <c r="BX120" s="18">
        <f>BS120+BT120+BU120+BV120+BW120</f>
        <v>28500637.660000004</v>
      </c>
      <c r="BY120" s="18">
        <f>BX120-BW120</f>
        <v>28500637.660000004</v>
      </c>
      <c r="BZ120" s="161">
        <f>BM120+BT120</f>
        <v>0</v>
      </c>
      <c r="CA120" s="161">
        <f>BN120+BU120</f>
        <v>0</v>
      </c>
      <c r="CB120" s="161">
        <f>BZ120+CA120</f>
        <v>0</v>
      </c>
      <c r="CC120" s="162" t="e">
        <f>BZ120/AJ120</f>
        <v>#DIV/0!</v>
      </c>
      <c r="CD120" s="162" t="e">
        <f t="shared" si="92"/>
        <v>#DIV/0!</v>
      </c>
      <c r="CE120" s="162" t="e">
        <f t="shared" si="124"/>
        <v>#DIV/0!</v>
      </c>
      <c r="CF120" s="161" t="e">
        <f t="shared" si="95"/>
        <v>#DIV/0!</v>
      </c>
      <c r="CG120" s="651">
        <f t="shared" si="96"/>
        <v>0</v>
      </c>
      <c r="CH120" s="652" t="e">
        <f t="shared" si="125"/>
        <v>#DIV/0!</v>
      </c>
      <c r="CJ120" s="18">
        <f>H120*Z120/1000</f>
        <v>26452.592869999997</v>
      </c>
      <c r="CK120" s="18">
        <f>N120*AG120/1000</f>
        <v>17681.69224</v>
      </c>
      <c r="CL120" s="18">
        <f t="shared" si="84"/>
        <v>44134.285109999997</v>
      </c>
      <c r="CM120" s="18">
        <f t="shared" si="99"/>
        <v>44134285.109999999</v>
      </c>
      <c r="CN120" s="18">
        <f t="shared" si="100"/>
        <v>42863685.549999997</v>
      </c>
      <c r="CO120" s="18">
        <f t="shared" si="101"/>
        <v>42863685.549999997</v>
      </c>
      <c r="CP120" s="18">
        <f t="shared" si="102"/>
        <v>26452592.869999997</v>
      </c>
      <c r="CQ120" s="18">
        <f t="shared" si="103"/>
        <v>46182329.900000006</v>
      </c>
      <c r="CR120" s="18">
        <f t="shared" si="104"/>
        <v>46182329.900000006</v>
      </c>
      <c r="CS120" s="18">
        <f t="shared" si="105"/>
        <v>17681692.240000002</v>
      </c>
      <c r="CT120" s="18">
        <f t="shared" si="126"/>
        <v>89046015.450000003</v>
      </c>
      <c r="CU120" s="29">
        <f t="shared" si="127"/>
        <v>4409310</v>
      </c>
      <c r="CV120" s="18">
        <f t="shared" si="106"/>
        <v>0</v>
      </c>
      <c r="CW120" s="18">
        <f t="shared" si="107"/>
        <v>0</v>
      </c>
      <c r="CX120" s="18">
        <f t="shared" si="128"/>
        <v>0</v>
      </c>
      <c r="CY120" s="18">
        <f t="shared" si="108"/>
        <v>42863685.549999997</v>
      </c>
      <c r="CZ120" s="18">
        <f t="shared" si="109"/>
        <v>46182329.900000006</v>
      </c>
      <c r="DB120" s="653" t="e">
        <f t="shared" si="129"/>
        <v>#DIV/0!</v>
      </c>
      <c r="DG120" s="701">
        <f t="shared" si="110"/>
        <v>0</v>
      </c>
      <c r="DH120" s="701">
        <f t="shared" si="111"/>
        <v>0</v>
      </c>
      <c r="DI120" s="701">
        <f t="shared" si="112"/>
        <v>0</v>
      </c>
    </row>
    <row r="121" spans="1:114" s="13" customFormat="1" ht="33.75" hidden="1" customHeight="1">
      <c r="A121" s="695">
        <f t="shared" si="130"/>
        <v>106</v>
      </c>
      <c r="B121" s="1897"/>
      <c r="C121" s="1897"/>
      <c r="D121" s="729" t="s">
        <v>44</v>
      </c>
      <c r="E121" s="730">
        <v>4633016372</v>
      </c>
      <c r="F121" s="731" t="s">
        <v>45</v>
      </c>
      <c r="G121" s="1985" t="s">
        <v>874</v>
      </c>
      <c r="H121" s="697">
        <v>1739.5319999999999</v>
      </c>
      <c r="I121" s="697"/>
      <c r="J121" s="697"/>
      <c r="K121" s="697"/>
      <c r="L121" s="697">
        <v>1739.5319999999999</v>
      </c>
      <c r="M121" s="698">
        <v>0</v>
      </c>
      <c r="N121" s="698">
        <v>2084.9</v>
      </c>
      <c r="O121" s="698"/>
      <c r="P121" s="698"/>
      <c r="Q121" s="698"/>
      <c r="R121" s="698">
        <v>2084.9</v>
      </c>
      <c r="S121" s="698">
        <v>0</v>
      </c>
      <c r="T121" s="18">
        <v>0</v>
      </c>
      <c r="U121" s="18">
        <v>0</v>
      </c>
      <c r="V121" s="18">
        <v>0</v>
      </c>
      <c r="W121" s="18">
        <v>320</v>
      </c>
      <c r="X121" s="18">
        <v>0</v>
      </c>
      <c r="Y121" s="18">
        <v>0</v>
      </c>
      <c r="Z121" s="99">
        <f t="shared" si="131"/>
        <v>320</v>
      </c>
      <c r="AA121" s="18">
        <v>0</v>
      </c>
      <c r="AB121" s="18">
        <v>0</v>
      </c>
      <c r="AC121" s="18">
        <v>0</v>
      </c>
      <c r="AD121" s="18">
        <v>228.33</v>
      </c>
      <c r="AE121" s="18">
        <v>0</v>
      </c>
      <c r="AF121" s="18">
        <v>0</v>
      </c>
      <c r="AG121" s="99">
        <f>SUM(AA121:AF121)</f>
        <v>228.33</v>
      </c>
      <c r="AH121" s="99">
        <f t="shared" si="113"/>
        <v>548.33000000000004</v>
      </c>
      <c r="AI121" s="18">
        <f t="shared" si="134"/>
        <v>0</v>
      </c>
      <c r="AJ121" s="18">
        <f t="shared" si="134"/>
        <v>0</v>
      </c>
      <c r="AK121" s="18">
        <f t="shared" si="134"/>
        <v>0</v>
      </c>
      <c r="AL121" s="18">
        <f t="shared" si="134"/>
        <v>548.33000000000004</v>
      </c>
      <c r="AM121" s="18">
        <f t="shared" si="133"/>
        <v>0</v>
      </c>
      <c r="AN121" s="18"/>
      <c r="AO121" s="18">
        <f t="shared" si="85"/>
        <v>548.33000000000004</v>
      </c>
      <c r="AP121" s="18">
        <f t="shared" si="86"/>
        <v>548.33000000000004</v>
      </c>
      <c r="AQ121" s="18">
        <f t="shared" si="81"/>
        <v>548.33000000000004</v>
      </c>
      <c r="AR121" s="99">
        <f t="shared" si="114"/>
        <v>0</v>
      </c>
      <c r="AS121" s="18">
        <f t="shared" si="135"/>
        <v>0</v>
      </c>
      <c r="AT121" s="18">
        <f t="shared" si="135"/>
        <v>0</v>
      </c>
      <c r="AU121" s="18">
        <f t="shared" si="135"/>
        <v>0</v>
      </c>
      <c r="AV121" s="18">
        <f t="shared" si="135"/>
        <v>953837.58156000008</v>
      </c>
      <c r="AW121" s="18">
        <f t="shared" si="135"/>
        <v>0</v>
      </c>
      <c r="AX121" s="18">
        <f t="shared" si="115"/>
        <v>953837.58156000008</v>
      </c>
      <c r="AY121" s="18">
        <f t="shared" si="116"/>
        <v>953837.58156000008</v>
      </c>
      <c r="AZ121" s="18">
        <f t="shared" si="137"/>
        <v>0</v>
      </c>
      <c r="BA121" s="18">
        <f t="shared" si="137"/>
        <v>0</v>
      </c>
      <c r="BB121" s="18">
        <f t="shared" si="137"/>
        <v>0</v>
      </c>
      <c r="BC121" s="18">
        <f t="shared" si="137"/>
        <v>1143213.2170000002</v>
      </c>
      <c r="BD121" s="18">
        <f t="shared" si="137"/>
        <v>0</v>
      </c>
      <c r="BE121" s="18">
        <f t="shared" si="117"/>
        <v>1143213.2170000002</v>
      </c>
      <c r="BF121" s="18">
        <f t="shared" si="118"/>
        <v>1143213.2170000002</v>
      </c>
      <c r="BG121" s="18"/>
      <c r="BH121" s="18"/>
      <c r="BI121" s="18">
        <f t="shared" si="80"/>
        <v>0</v>
      </c>
      <c r="BJ121" s="18">
        <v>860.58</v>
      </c>
      <c r="BK121" s="18">
        <v>1056.29</v>
      </c>
      <c r="BL121" s="18">
        <f t="shared" si="141"/>
        <v>0</v>
      </c>
      <c r="BM121" s="18">
        <f t="shared" si="141"/>
        <v>0</v>
      </c>
      <c r="BN121" s="18">
        <f t="shared" si="141"/>
        <v>0</v>
      </c>
      <c r="BO121" s="18">
        <f t="shared" si="141"/>
        <v>556650.23999999999</v>
      </c>
      <c r="BP121" s="18">
        <f t="shared" si="141"/>
        <v>0</v>
      </c>
      <c r="BQ121" s="18">
        <f t="shared" si="119"/>
        <v>556650.23999999999</v>
      </c>
      <c r="BR121" s="18">
        <f t="shared" si="120"/>
        <v>556650.23999999999</v>
      </c>
      <c r="BS121" s="18">
        <f t="shared" si="142"/>
        <v>0</v>
      </c>
      <c r="BT121" s="18">
        <f t="shared" si="142"/>
        <v>0</v>
      </c>
      <c r="BU121" s="18">
        <f t="shared" si="142"/>
        <v>0</v>
      </c>
      <c r="BV121" s="18">
        <f t="shared" si="93"/>
        <v>667168</v>
      </c>
      <c r="BW121" s="18">
        <f t="shared" si="94"/>
        <v>0</v>
      </c>
      <c r="BX121" s="18">
        <f t="shared" si="121"/>
        <v>667168</v>
      </c>
      <c r="BY121" s="18">
        <f t="shared" si="122"/>
        <v>667168</v>
      </c>
      <c r="BZ121" s="161">
        <f t="shared" si="91"/>
        <v>0</v>
      </c>
      <c r="CA121" s="161">
        <f t="shared" si="91"/>
        <v>0</v>
      </c>
      <c r="CB121" s="161">
        <f t="shared" si="123"/>
        <v>0</v>
      </c>
      <c r="CC121" s="162" t="e">
        <f t="shared" si="92"/>
        <v>#DIV/0!</v>
      </c>
      <c r="CD121" s="162" t="e">
        <f t="shared" si="92"/>
        <v>#DIV/0!</v>
      </c>
      <c r="CE121" s="162" t="e">
        <f t="shared" si="124"/>
        <v>#DIV/0!</v>
      </c>
      <c r="CF121" s="161" t="e">
        <f t="shared" si="95"/>
        <v>#DIV/0!</v>
      </c>
      <c r="CG121" s="651">
        <f t="shared" si="96"/>
        <v>0</v>
      </c>
      <c r="CH121" s="652" t="e">
        <f t="shared" si="125"/>
        <v>#DIV/0!</v>
      </c>
      <c r="CJ121" s="18">
        <f t="shared" si="97"/>
        <v>556.65023999999994</v>
      </c>
      <c r="CK121" s="18">
        <f t="shared" si="98"/>
        <v>476.04521700000004</v>
      </c>
      <c r="CL121" s="18">
        <f t="shared" si="84"/>
        <v>1032.695457</v>
      </c>
      <c r="CM121" s="18">
        <f t="shared" si="99"/>
        <v>1032695.4570000001</v>
      </c>
      <c r="CN121" s="18">
        <f t="shared" si="100"/>
        <v>953837.58156000008</v>
      </c>
      <c r="CO121" s="18">
        <f t="shared" si="101"/>
        <v>953837.58156000008</v>
      </c>
      <c r="CP121" s="18">
        <f t="shared" si="102"/>
        <v>556650.23999999999</v>
      </c>
      <c r="CQ121" s="18">
        <f t="shared" si="103"/>
        <v>1143213.2170000002</v>
      </c>
      <c r="CR121" s="18">
        <f t="shared" si="104"/>
        <v>1143213.2170000002</v>
      </c>
      <c r="CS121" s="18">
        <f t="shared" si="105"/>
        <v>476045.21700000006</v>
      </c>
      <c r="CT121" s="18">
        <f t="shared" si="126"/>
        <v>2097050.7985600003</v>
      </c>
      <c r="CU121" s="29">
        <f t="shared" si="127"/>
        <v>3824432.0000000005</v>
      </c>
      <c r="CV121" s="18">
        <f t="shared" si="106"/>
        <v>0</v>
      </c>
      <c r="CW121" s="18">
        <f t="shared" si="107"/>
        <v>0</v>
      </c>
      <c r="CX121" s="18">
        <f t="shared" si="128"/>
        <v>0</v>
      </c>
      <c r="CY121" s="18">
        <f t="shared" si="108"/>
        <v>953837.58156000008</v>
      </c>
      <c r="CZ121" s="18">
        <f t="shared" si="109"/>
        <v>1143213.2170000002</v>
      </c>
      <c r="DB121" s="653" t="e">
        <f t="shared" si="129"/>
        <v>#DIV/0!</v>
      </c>
      <c r="DG121" s="701">
        <f t="shared" si="110"/>
        <v>0</v>
      </c>
      <c r="DH121" s="701">
        <f t="shared" si="111"/>
        <v>0</v>
      </c>
      <c r="DI121" s="701">
        <f t="shared" si="112"/>
        <v>0</v>
      </c>
    </row>
    <row r="122" spans="1:114" s="13" customFormat="1" ht="52.5" hidden="1" customHeight="1">
      <c r="A122" s="695">
        <f t="shared" si="130"/>
        <v>107</v>
      </c>
      <c r="B122" s="1897"/>
      <c r="C122" s="1897"/>
      <c r="D122" s="729" t="s">
        <v>44</v>
      </c>
      <c r="E122" s="730">
        <v>4633016372</v>
      </c>
      <c r="F122" s="696" t="s">
        <v>8</v>
      </c>
      <c r="G122" s="1986"/>
      <c r="H122" s="697">
        <v>1930.5239999999999</v>
      </c>
      <c r="I122" s="697"/>
      <c r="J122" s="697"/>
      <c r="K122" s="697"/>
      <c r="L122" s="728">
        <v>1930.5239999999999</v>
      </c>
      <c r="M122" s="732">
        <v>0</v>
      </c>
      <c r="N122" s="698">
        <v>2313.92</v>
      </c>
      <c r="O122" s="698"/>
      <c r="P122" s="698"/>
      <c r="Q122" s="698"/>
      <c r="R122" s="653">
        <v>2313.92</v>
      </c>
      <c r="S122" s="698">
        <v>0</v>
      </c>
      <c r="T122" s="18">
        <v>0</v>
      </c>
      <c r="U122" s="18">
        <v>0</v>
      </c>
      <c r="V122" s="18">
        <v>0</v>
      </c>
      <c r="W122" s="18">
        <v>7060</v>
      </c>
      <c r="X122" s="18">
        <v>0</v>
      </c>
      <c r="Y122" s="18">
        <v>0</v>
      </c>
      <c r="Z122" s="99">
        <f t="shared" si="131"/>
        <v>7060</v>
      </c>
      <c r="AA122" s="18">
        <v>0</v>
      </c>
      <c r="AB122" s="18">
        <v>0</v>
      </c>
      <c r="AC122" s="18">
        <v>0</v>
      </c>
      <c r="AD122" s="29">
        <v>4652.75</v>
      </c>
      <c r="AE122" s="18">
        <v>0</v>
      </c>
      <c r="AF122" s="18">
        <v>0</v>
      </c>
      <c r="AG122" s="99">
        <f>SUM(AA122:AF122)</f>
        <v>4652.75</v>
      </c>
      <c r="AH122" s="99">
        <f t="shared" si="113"/>
        <v>11712.75</v>
      </c>
      <c r="AI122" s="18">
        <f t="shared" si="134"/>
        <v>0</v>
      </c>
      <c r="AJ122" s="18">
        <f t="shared" si="134"/>
        <v>0</v>
      </c>
      <c r="AK122" s="18">
        <f t="shared" si="134"/>
        <v>0</v>
      </c>
      <c r="AL122" s="18">
        <f t="shared" si="134"/>
        <v>11712.75</v>
      </c>
      <c r="AM122" s="18">
        <f t="shared" si="133"/>
        <v>0</v>
      </c>
      <c r="AN122" s="18"/>
      <c r="AO122" s="18">
        <f t="shared" si="85"/>
        <v>11712.75</v>
      </c>
      <c r="AP122" s="18">
        <f t="shared" si="86"/>
        <v>11712.75</v>
      </c>
      <c r="AQ122" s="18">
        <f t="shared" si="81"/>
        <v>11712.75</v>
      </c>
      <c r="AR122" s="99">
        <f t="shared" si="114"/>
        <v>0</v>
      </c>
      <c r="AS122" s="18">
        <f t="shared" ref="AS122:AW140" si="146">I122*AI122</f>
        <v>0</v>
      </c>
      <c r="AT122" s="18">
        <f t="shared" si="146"/>
        <v>0</v>
      </c>
      <c r="AU122" s="18">
        <f t="shared" si="146"/>
        <v>0</v>
      </c>
      <c r="AV122" s="18">
        <f t="shared" si="146"/>
        <v>22611744.980999999</v>
      </c>
      <c r="AW122" s="18">
        <f t="shared" si="146"/>
        <v>0</v>
      </c>
      <c r="AX122" s="18">
        <f t="shared" si="115"/>
        <v>22611744.980999999</v>
      </c>
      <c r="AY122" s="18">
        <f t="shared" si="116"/>
        <v>22611744.980999999</v>
      </c>
      <c r="AZ122" s="18">
        <f t="shared" si="137"/>
        <v>0</v>
      </c>
      <c r="BA122" s="18">
        <f t="shared" si="137"/>
        <v>0</v>
      </c>
      <c r="BB122" s="18">
        <f t="shared" si="137"/>
        <v>0</v>
      </c>
      <c r="BC122" s="18">
        <f t="shared" si="137"/>
        <v>27102366.48</v>
      </c>
      <c r="BD122" s="18">
        <f t="shared" si="137"/>
        <v>0</v>
      </c>
      <c r="BE122" s="18">
        <f t="shared" si="117"/>
        <v>27102366.48</v>
      </c>
      <c r="BF122" s="18">
        <f t="shared" si="118"/>
        <v>27102366.48</v>
      </c>
      <c r="BG122" s="18"/>
      <c r="BH122" s="18"/>
      <c r="BI122" s="18">
        <f t="shared" si="80"/>
        <v>0</v>
      </c>
      <c r="BJ122" s="18">
        <v>20369.669999999998</v>
      </c>
      <c r="BK122" s="18">
        <v>25916.69</v>
      </c>
      <c r="BL122" s="18">
        <f t="shared" si="141"/>
        <v>0</v>
      </c>
      <c r="BM122" s="18">
        <f t="shared" si="141"/>
        <v>0</v>
      </c>
      <c r="BN122" s="18">
        <f t="shared" si="141"/>
        <v>0</v>
      </c>
      <c r="BO122" s="18">
        <f t="shared" si="141"/>
        <v>13629499.439999999</v>
      </c>
      <c r="BP122" s="18">
        <f t="shared" si="141"/>
        <v>0</v>
      </c>
      <c r="BQ122" s="18">
        <f t="shared" si="119"/>
        <v>13629499.439999999</v>
      </c>
      <c r="BR122" s="18">
        <f t="shared" si="120"/>
        <v>13629499.439999999</v>
      </c>
      <c r="BS122" s="18">
        <f t="shared" si="142"/>
        <v>0</v>
      </c>
      <c r="BT122" s="18">
        <f t="shared" si="142"/>
        <v>0</v>
      </c>
      <c r="BU122" s="18">
        <f t="shared" si="142"/>
        <v>0</v>
      </c>
      <c r="BV122" s="18">
        <f t="shared" si="93"/>
        <v>16336275.200000001</v>
      </c>
      <c r="BW122" s="18">
        <f t="shared" si="94"/>
        <v>0</v>
      </c>
      <c r="BX122" s="18">
        <f t="shared" si="121"/>
        <v>16336275.200000001</v>
      </c>
      <c r="BY122" s="18">
        <f t="shared" si="122"/>
        <v>16336275.200000001</v>
      </c>
      <c r="BZ122" s="161">
        <f t="shared" si="91"/>
        <v>0</v>
      </c>
      <c r="CA122" s="161">
        <f t="shared" si="91"/>
        <v>0</v>
      </c>
      <c r="CB122" s="161">
        <f t="shared" si="123"/>
        <v>0</v>
      </c>
      <c r="CC122" s="162" t="e">
        <f t="shared" si="92"/>
        <v>#DIV/0!</v>
      </c>
      <c r="CD122" s="162" t="e">
        <f t="shared" si="92"/>
        <v>#DIV/0!</v>
      </c>
      <c r="CE122" s="162" t="e">
        <f t="shared" si="124"/>
        <v>#DIV/0!</v>
      </c>
      <c r="CF122" s="161" t="e">
        <f t="shared" si="95"/>
        <v>#DIV/0!</v>
      </c>
      <c r="CG122" s="651">
        <f t="shared" si="96"/>
        <v>0</v>
      </c>
      <c r="CH122" s="652" t="e">
        <f t="shared" si="125"/>
        <v>#DIV/0!</v>
      </c>
      <c r="CJ122" s="18">
        <f>H122*Z122/1000</f>
        <v>13629.49944</v>
      </c>
      <c r="CK122" s="18">
        <f>N122*AG122/1000</f>
        <v>10766.091280000001</v>
      </c>
      <c r="CL122" s="18">
        <f t="shared" si="84"/>
        <v>24395.59072</v>
      </c>
      <c r="CM122" s="18">
        <f t="shared" si="99"/>
        <v>24395590.719999999</v>
      </c>
      <c r="CN122" s="18">
        <f t="shared" si="100"/>
        <v>22611744.980999999</v>
      </c>
      <c r="CO122" s="18">
        <f t="shared" si="101"/>
        <v>22611744.980999999</v>
      </c>
      <c r="CP122" s="18">
        <f t="shared" si="102"/>
        <v>13629499.439999999</v>
      </c>
      <c r="CQ122" s="18">
        <f t="shared" si="103"/>
        <v>27102366.48</v>
      </c>
      <c r="CR122" s="18">
        <f t="shared" si="104"/>
        <v>27102366.48</v>
      </c>
      <c r="CS122" s="18">
        <f t="shared" si="105"/>
        <v>10766091.280000001</v>
      </c>
      <c r="CT122" s="18">
        <f t="shared" si="126"/>
        <v>49714111.460999995</v>
      </c>
      <c r="CU122" s="29">
        <f t="shared" si="127"/>
        <v>4244443.9999999991</v>
      </c>
      <c r="CV122" s="18">
        <f t="shared" si="106"/>
        <v>0</v>
      </c>
      <c r="CW122" s="18">
        <f t="shared" si="107"/>
        <v>0</v>
      </c>
      <c r="CX122" s="18">
        <f t="shared" si="128"/>
        <v>0</v>
      </c>
      <c r="CY122" s="18">
        <f t="shared" si="108"/>
        <v>22611744.980999999</v>
      </c>
      <c r="CZ122" s="18">
        <f t="shared" si="109"/>
        <v>27102366.48</v>
      </c>
      <c r="DB122" s="653" t="e">
        <f t="shared" si="129"/>
        <v>#DIV/0!</v>
      </c>
      <c r="DG122" s="701">
        <f t="shared" si="110"/>
        <v>0</v>
      </c>
      <c r="DH122" s="701">
        <f t="shared" si="111"/>
        <v>0</v>
      </c>
      <c r="DI122" s="701">
        <f t="shared" si="112"/>
        <v>0</v>
      </c>
    </row>
    <row r="123" spans="1:114" s="13" customFormat="1" ht="63.75" hidden="1" customHeight="1">
      <c r="A123" s="695">
        <f t="shared" si="130"/>
        <v>108</v>
      </c>
      <c r="B123" s="1897"/>
      <c r="C123" s="1897"/>
      <c r="D123" s="696" t="s">
        <v>46</v>
      </c>
      <c r="E123" s="696">
        <v>4633022993</v>
      </c>
      <c r="F123" s="696" t="s">
        <v>8</v>
      </c>
      <c r="G123" s="696" t="s">
        <v>897</v>
      </c>
      <c r="H123" s="697">
        <v>1597.03</v>
      </c>
      <c r="I123" s="697"/>
      <c r="J123" s="697">
        <v>1597.03</v>
      </c>
      <c r="K123" s="697">
        <v>1597.03</v>
      </c>
      <c r="L123" s="697"/>
      <c r="M123" s="698"/>
      <c r="N123" s="714">
        <v>1650.08</v>
      </c>
      <c r="O123" s="714"/>
      <c r="P123" s="714">
        <v>1650.08</v>
      </c>
      <c r="Q123" s="714">
        <v>1650.08</v>
      </c>
      <c r="R123" s="698"/>
      <c r="S123" s="698"/>
      <c r="T123" s="702"/>
      <c r="U123" s="29">
        <v>23407.71</v>
      </c>
      <c r="V123" s="29">
        <v>4867.03</v>
      </c>
      <c r="W123" s="702"/>
      <c r="X123" s="702"/>
      <c r="Y123" s="702"/>
      <c r="Z123" s="99">
        <f t="shared" si="131"/>
        <v>28274.739999999998</v>
      </c>
      <c r="AA123" s="702"/>
      <c r="AB123" s="29">
        <v>16884.23</v>
      </c>
      <c r="AC123" s="29">
        <v>4867.03</v>
      </c>
      <c r="AD123" s="702"/>
      <c r="AE123" s="702"/>
      <c r="AF123" s="702">
        <v>0</v>
      </c>
      <c r="AG123" s="99">
        <f t="shared" si="132"/>
        <v>21751.26</v>
      </c>
      <c r="AH123" s="99">
        <f t="shared" si="113"/>
        <v>50026</v>
      </c>
      <c r="AI123" s="18">
        <f t="shared" si="134"/>
        <v>0</v>
      </c>
      <c r="AJ123" s="759">
        <f t="shared" si="134"/>
        <v>40291.94</v>
      </c>
      <c r="AK123" s="18">
        <f t="shared" si="134"/>
        <v>9734.06</v>
      </c>
      <c r="AL123" s="18">
        <f t="shared" si="134"/>
        <v>0</v>
      </c>
      <c r="AM123" s="18">
        <f t="shared" si="133"/>
        <v>0</v>
      </c>
      <c r="AN123" s="18"/>
      <c r="AO123" s="18">
        <f t="shared" si="85"/>
        <v>50026</v>
      </c>
      <c r="AP123" s="18">
        <f t="shared" si="86"/>
        <v>50026</v>
      </c>
      <c r="AQ123" s="702">
        <f t="shared" si="81"/>
        <v>50026</v>
      </c>
      <c r="AR123" s="99">
        <f t="shared" si="114"/>
        <v>0</v>
      </c>
      <c r="AS123" s="18">
        <f t="shared" si="146"/>
        <v>0</v>
      </c>
      <c r="AT123" s="18">
        <f t="shared" si="146"/>
        <v>64347436.938200004</v>
      </c>
      <c r="AU123" s="18">
        <f t="shared" si="146"/>
        <v>15545585.841799999</v>
      </c>
      <c r="AV123" s="18">
        <f t="shared" si="146"/>
        <v>0</v>
      </c>
      <c r="AW123" s="18">
        <f t="shared" si="146"/>
        <v>0</v>
      </c>
      <c r="AX123" s="18">
        <f t="shared" si="115"/>
        <v>79893022.780000001</v>
      </c>
      <c r="AY123" s="18">
        <f t="shared" si="116"/>
        <v>79893022.780000001</v>
      </c>
      <c r="AZ123" s="18">
        <f t="shared" si="137"/>
        <v>0</v>
      </c>
      <c r="BA123" s="18">
        <f t="shared" si="137"/>
        <v>66484924.3552</v>
      </c>
      <c r="BB123" s="18">
        <f t="shared" si="137"/>
        <v>16061977.724799998</v>
      </c>
      <c r="BC123" s="18">
        <f t="shared" si="137"/>
        <v>0</v>
      </c>
      <c r="BD123" s="18">
        <f t="shared" si="137"/>
        <v>0</v>
      </c>
      <c r="BE123" s="18">
        <f t="shared" si="117"/>
        <v>82546902.079999998</v>
      </c>
      <c r="BF123" s="18">
        <f t="shared" si="118"/>
        <v>82546902.079999998</v>
      </c>
      <c r="BG123" s="18"/>
      <c r="BH123" s="18"/>
      <c r="BI123" s="18">
        <f t="shared" si="80"/>
        <v>0</v>
      </c>
      <c r="BJ123" s="18">
        <v>81046.95</v>
      </c>
      <c r="BK123" s="18">
        <v>81767.48</v>
      </c>
      <c r="BL123" s="18">
        <f t="shared" si="141"/>
        <v>0</v>
      </c>
      <c r="BM123" s="18">
        <f t="shared" si="141"/>
        <v>37382815.101300001</v>
      </c>
      <c r="BN123" s="18">
        <f t="shared" si="141"/>
        <v>7772792.9208999993</v>
      </c>
      <c r="BO123" s="18">
        <f t="shared" si="141"/>
        <v>0</v>
      </c>
      <c r="BP123" s="18">
        <f t="shared" si="141"/>
        <v>0</v>
      </c>
      <c r="BQ123" s="18">
        <f t="shared" si="119"/>
        <v>45155608.022200003</v>
      </c>
      <c r="BR123" s="18">
        <f t="shared" si="120"/>
        <v>45155608.022200003</v>
      </c>
      <c r="BS123" s="18">
        <f t="shared" si="142"/>
        <v>0</v>
      </c>
      <c r="BT123" s="18">
        <f t="shared" si="142"/>
        <v>27860330.238399997</v>
      </c>
      <c r="BU123" s="18">
        <f t="shared" si="142"/>
        <v>8030988.8623999991</v>
      </c>
      <c r="BV123" s="18">
        <f t="shared" si="93"/>
        <v>0</v>
      </c>
      <c r="BW123" s="18">
        <f t="shared" si="94"/>
        <v>0</v>
      </c>
      <c r="BX123" s="18">
        <f t="shared" si="121"/>
        <v>35891319.100799993</v>
      </c>
      <c r="BY123" s="18">
        <f t="shared" si="122"/>
        <v>35891319.100799993</v>
      </c>
      <c r="BZ123" s="161">
        <f t="shared" si="91"/>
        <v>65243145.339699998</v>
      </c>
      <c r="CA123" s="161">
        <f t="shared" si="91"/>
        <v>15803781.783299997</v>
      </c>
      <c r="CB123" s="161">
        <f t="shared" si="123"/>
        <v>81046927.122999996</v>
      </c>
      <c r="CC123" s="162">
        <f t="shared" si="92"/>
        <v>1619.2604610177618</v>
      </c>
      <c r="CD123" s="162">
        <f t="shared" si="92"/>
        <v>1623.5549999999998</v>
      </c>
      <c r="CE123" s="162">
        <f t="shared" si="124"/>
        <v>1620.0960924919041</v>
      </c>
      <c r="CF123" s="162">
        <f t="shared" si="95"/>
        <v>1620.0960924919041</v>
      </c>
      <c r="CG123" s="651">
        <f t="shared" si="96"/>
        <v>0</v>
      </c>
      <c r="CH123" s="652">
        <f t="shared" si="125"/>
        <v>0</v>
      </c>
      <c r="CJ123" s="18">
        <f t="shared" si="97"/>
        <v>45155.608022199995</v>
      </c>
      <c r="CK123" s="18">
        <f t="shared" si="98"/>
        <v>35891.319100799992</v>
      </c>
      <c r="CL123" s="18">
        <f t="shared" si="84"/>
        <v>81046.927122999987</v>
      </c>
      <c r="CM123" s="18">
        <f t="shared" si="99"/>
        <v>81046927.122999996</v>
      </c>
      <c r="CN123" s="18">
        <f t="shared" si="100"/>
        <v>79893022.780000001</v>
      </c>
      <c r="CO123" s="18">
        <f t="shared" si="101"/>
        <v>79893022.780000001</v>
      </c>
      <c r="CP123" s="18">
        <f t="shared" si="102"/>
        <v>45155608.022200003</v>
      </c>
      <c r="CQ123" s="18">
        <f t="shared" si="103"/>
        <v>82546902.079999998</v>
      </c>
      <c r="CR123" s="18">
        <f t="shared" si="104"/>
        <v>82546902.079999998</v>
      </c>
      <c r="CS123" s="18">
        <f t="shared" si="105"/>
        <v>35891319.100799993</v>
      </c>
      <c r="CT123" s="18">
        <f t="shared" si="126"/>
        <v>162439924.86000001</v>
      </c>
      <c r="CU123" s="29">
        <f t="shared" si="127"/>
        <v>3247110</v>
      </c>
      <c r="CV123" s="18">
        <f t="shared" si="106"/>
        <v>79893022.780000001</v>
      </c>
      <c r="CW123" s="18">
        <f t="shared" si="107"/>
        <v>82546902.079999998</v>
      </c>
      <c r="CX123" s="18">
        <f t="shared" si="128"/>
        <v>162439924.86000001</v>
      </c>
      <c r="CY123" s="18">
        <f t="shared" si="108"/>
        <v>79893022.780000001</v>
      </c>
      <c r="CZ123" s="18">
        <f t="shared" si="109"/>
        <v>82546902.079999998</v>
      </c>
      <c r="DB123" s="653">
        <f t="shared" si="129"/>
        <v>103.32179107468238</v>
      </c>
      <c r="DG123" s="701">
        <f t="shared" si="110"/>
        <v>0</v>
      </c>
      <c r="DH123" s="701">
        <f t="shared" si="111"/>
        <v>0</v>
      </c>
      <c r="DI123" s="701">
        <f t="shared" si="112"/>
        <v>0</v>
      </c>
    </row>
    <row r="124" spans="1:114" ht="51" hidden="1" customHeight="1">
      <c r="A124" s="20">
        <f t="shared" si="130"/>
        <v>109</v>
      </c>
      <c r="B124" s="1905"/>
      <c r="C124" s="1905"/>
      <c r="D124" s="696" t="s">
        <v>166</v>
      </c>
      <c r="E124" s="696">
        <v>4633039010</v>
      </c>
      <c r="F124" s="696" t="s">
        <v>8</v>
      </c>
      <c r="G124" s="696" t="s">
        <v>898</v>
      </c>
      <c r="H124" s="38">
        <v>1510.86</v>
      </c>
      <c r="I124" s="38">
        <v>0</v>
      </c>
      <c r="J124" s="38">
        <v>1510.86</v>
      </c>
      <c r="K124" s="38">
        <v>1510.86</v>
      </c>
      <c r="L124" s="38">
        <v>1510.86</v>
      </c>
      <c r="M124" s="10">
        <v>0</v>
      </c>
      <c r="N124" s="10">
        <v>1510.86</v>
      </c>
      <c r="O124" s="10"/>
      <c r="P124" s="10">
        <v>1510.86</v>
      </c>
      <c r="Q124" s="10">
        <v>1510.86</v>
      </c>
      <c r="R124" s="10">
        <v>1510.86</v>
      </c>
      <c r="S124" s="10">
        <v>0</v>
      </c>
      <c r="T124" s="15">
        <v>0</v>
      </c>
      <c r="U124" s="15">
        <v>3828.9</v>
      </c>
      <c r="V124" s="208">
        <v>447.99</v>
      </c>
      <c r="W124" s="15">
        <v>157.97999999999999</v>
      </c>
      <c r="X124" s="15">
        <v>0</v>
      </c>
      <c r="Y124" s="15">
        <v>0</v>
      </c>
      <c r="Z124" s="35">
        <f>SUM(T124:W124)</f>
        <v>4434.87</v>
      </c>
      <c r="AA124" s="15">
        <v>0</v>
      </c>
      <c r="AB124" s="15">
        <v>2897.4</v>
      </c>
      <c r="AC124" s="208">
        <v>740.75</v>
      </c>
      <c r="AD124" s="15">
        <v>131.72999999999999</v>
      </c>
      <c r="AE124" s="15">
        <v>0</v>
      </c>
      <c r="AF124" s="15">
        <v>0</v>
      </c>
      <c r="AG124" s="35">
        <f t="shared" si="132"/>
        <v>3769.88</v>
      </c>
      <c r="AH124" s="35">
        <f>Z124+AG124</f>
        <v>8204.75</v>
      </c>
      <c r="AI124" s="15">
        <f t="shared" si="134"/>
        <v>0</v>
      </c>
      <c r="AJ124" s="15">
        <f t="shared" si="134"/>
        <v>6726.3</v>
      </c>
      <c r="AK124" s="15">
        <f t="shared" si="134"/>
        <v>1188.74</v>
      </c>
      <c r="AL124" s="15">
        <f t="shared" si="134"/>
        <v>289.70999999999998</v>
      </c>
      <c r="AM124" s="15">
        <f t="shared" si="133"/>
        <v>0</v>
      </c>
      <c r="AN124" s="15">
        <v>0</v>
      </c>
      <c r="AO124" s="15">
        <f t="shared" si="85"/>
        <v>8204.75</v>
      </c>
      <c r="AP124" s="15">
        <f t="shared" si="86"/>
        <v>8204.75</v>
      </c>
      <c r="AQ124" s="15">
        <f t="shared" si="81"/>
        <v>8204.75</v>
      </c>
      <c r="AR124" s="127">
        <f t="shared" si="114"/>
        <v>0</v>
      </c>
      <c r="AS124" s="112">
        <f t="shared" si="146"/>
        <v>0</v>
      </c>
      <c r="AT124" s="112">
        <f t="shared" si="146"/>
        <v>10162497.617999999</v>
      </c>
      <c r="AU124" s="112">
        <f t="shared" si="146"/>
        <v>1796019.7163999998</v>
      </c>
      <c r="AV124" s="112">
        <f t="shared" si="146"/>
        <v>437711.25059999991</v>
      </c>
      <c r="AW124" s="112">
        <f t="shared" si="146"/>
        <v>0</v>
      </c>
      <c r="AX124" s="112">
        <f t="shared" si="115"/>
        <v>12396228.584999997</v>
      </c>
      <c r="AY124" s="112">
        <f t="shared" si="116"/>
        <v>12396228.584999997</v>
      </c>
      <c r="AZ124" s="112">
        <f t="shared" ref="AZ124:BD140" si="147">O124*AI124</f>
        <v>0</v>
      </c>
      <c r="BA124" s="112">
        <f t="shared" si="147"/>
        <v>10162497.617999999</v>
      </c>
      <c r="BB124" s="112">
        <f t="shared" si="147"/>
        <v>1796019.7163999998</v>
      </c>
      <c r="BC124" s="112">
        <f t="shared" si="147"/>
        <v>437711.25059999991</v>
      </c>
      <c r="BD124" s="112">
        <f t="shared" si="147"/>
        <v>0</v>
      </c>
      <c r="BE124" s="112">
        <f t="shared" si="117"/>
        <v>12396228.584999997</v>
      </c>
      <c r="BF124" s="112">
        <f t="shared" si="118"/>
        <v>12396228.584999997</v>
      </c>
      <c r="BG124" s="112">
        <v>0</v>
      </c>
      <c r="BH124" s="112">
        <v>0</v>
      </c>
      <c r="BI124" s="112">
        <f t="shared" si="80"/>
        <v>0</v>
      </c>
      <c r="BJ124" s="112">
        <v>12396.27</v>
      </c>
      <c r="BK124" s="112">
        <v>13330.79</v>
      </c>
      <c r="BL124" s="112">
        <f t="shared" si="141"/>
        <v>0</v>
      </c>
      <c r="BM124" s="112">
        <f t="shared" si="141"/>
        <v>5784931.8539999994</v>
      </c>
      <c r="BN124" s="112">
        <f t="shared" si="141"/>
        <v>676850.17139999999</v>
      </c>
      <c r="BO124" s="112">
        <f t="shared" si="141"/>
        <v>238685.66279999996</v>
      </c>
      <c r="BP124" s="112">
        <f t="shared" si="141"/>
        <v>0</v>
      </c>
      <c r="BQ124" s="112">
        <f t="shared" si="119"/>
        <v>6700467.6881999997</v>
      </c>
      <c r="BR124" s="112">
        <f t="shared" si="120"/>
        <v>6700467.6881999997</v>
      </c>
      <c r="BS124" s="112">
        <f t="shared" si="142"/>
        <v>0</v>
      </c>
      <c r="BT124" s="112">
        <f t="shared" si="142"/>
        <v>4377565.7639999995</v>
      </c>
      <c r="BU124" s="112">
        <f t="shared" si="142"/>
        <v>1119169.5449999999</v>
      </c>
      <c r="BV124" s="112">
        <f t="shared" si="93"/>
        <v>238685.66279999996</v>
      </c>
      <c r="BW124" s="112">
        <f t="shared" si="94"/>
        <v>0</v>
      </c>
      <c r="BX124" s="112">
        <f t="shared" si="121"/>
        <v>5735420.9717999995</v>
      </c>
      <c r="BY124" s="112">
        <f t="shared" si="122"/>
        <v>5735420.9717999995</v>
      </c>
      <c r="BZ124" s="113">
        <f t="shared" si="91"/>
        <v>10162497.617999999</v>
      </c>
      <c r="CA124" s="113">
        <f t="shared" si="91"/>
        <v>1796019.7163999998</v>
      </c>
      <c r="CB124" s="113">
        <f t="shared" si="123"/>
        <v>11958517.334399998</v>
      </c>
      <c r="CC124" s="119">
        <f t="shared" si="92"/>
        <v>1510.86</v>
      </c>
      <c r="CD124" s="119">
        <f t="shared" si="92"/>
        <v>1510.86</v>
      </c>
      <c r="CE124" s="119">
        <f t="shared" si="124"/>
        <v>1510.8599999999997</v>
      </c>
      <c r="CF124" s="119">
        <f t="shared" si="95"/>
        <v>1510.8599999999997</v>
      </c>
      <c r="CG124" s="619">
        <f t="shared" si="96"/>
        <v>0</v>
      </c>
      <c r="CH124" s="132">
        <f t="shared" si="125"/>
        <v>0</v>
      </c>
      <c r="CI124" s="106"/>
      <c r="CJ124" s="112">
        <f t="shared" si="97"/>
        <v>6700.4676881999994</v>
      </c>
      <c r="CK124" s="112">
        <f t="shared" si="98"/>
        <v>5695.7608968000004</v>
      </c>
      <c r="CL124" s="112">
        <f t="shared" si="84"/>
        <v>12396.228585000001</v>
      </c>
      <c r="CM124" s="112">
        <f t="shared" si="99"/>
        <v>12396228.585000001</v>
      </c>
      <c r="CN124" s="112">
        <f t="shared" si="100"/>
        <v>12396228.584999997</v>
      </c>
      <c r="CO124" s="112">
        <f t="shared" si="101"/>
        <v>12396228.585000001</v>
      </c>
      <c r="CP124" s="112">
        <f t="shared" si="102"/>
        <v>6700467.6881999997</v>
      </c>
      <c r="CQ124" s="112">
        <f t="shared" si="103"/>
        <v>12396228.584999997</v>
      </c>
      <c r="CR124" s="112">
        <f t="shared" si="104"/>
        <v>12396228.585000001</v>
      </c>
      <c r="CS124" s="112">
        <f t="shared" si="105"/>
        <v>5695760.8967999993</v>
      </c>
      <c r="CT124" s="112">
        <f t="shared" si="126"/>
        <v>24792457.169999994</v>
      </c>
      <c r="CU124" s="124">
        <f t="shared" si="127"/>
        <v>3021719.9999999995</v>
      </c>
      <c r="CV124" s="112">
        <f t="shared" si="106"/>
        <v>11958517.334399998</v>
      </c>
      <c r="CW124" s="112">
        <f t="shared" si="107"/>
        <v>11958517.334399998</v>
      </c>
      <c r="CX124" s="112">
        <f t="shared" si="128"/>
        <v>23917034.668799996</v>
      </c>
      <c r="CY124" s="112">
        <f t="shared" si="108"/>
        <v>12396228.584999997</v>
      </c>
      <c r="CZ124" s="112">
        <f t="shared" si="109"/>
        <v>12396228.584999997</v>
      </c>
      <c r="DA124" s="106"/>
      <c r="DB124" s="128">
        <f t="shared" si="129"/>
        <v>100</v>
      </c>
      <c r="DC124" s="106"/>
      <c r="DD124" s="106"/>
      <c r="DE124" s="106"/>
      <c r="DF124" s="106"/>
      <c r="DG124" s="618">
        <f t="shared" si="110"/>
        <v>0</v>
      </c>
      <c r="DH124" s="618">
        <f t="shared" si="111"/>
        <v>0</v>
      </c>
      <c r="DI124" s="618">
        <f t="shared" si="112"/>
        <v>0</v>
      </c>
      <c r="DJ124" s="106"/>
    </row>
    <row r="125" spans="1:114" s="13" customFormat="1" ht="63.75" hidden="1" customHeight="1">
      <c r="A125" s="695">
        <f t="shared" si="130"/>
        <v>110</v>
      </c>
      <c r="B125" s="1896" t="s">
        <v>47</v>
      </c>
      <c r="C125" s="1896" t="s">
        <v>56</v>
      </c>
      <c r="D125" s="696" t="s">
        <v>48</v>
      </c>
      <c r="E125" s="696">
        <v>4632121159</v>
      </c>
      <c r="F125" s="696" t="s">
        <v>8</v>
      </c>
      <c r="G125" s="808" t="s">
        <v>878</v>
      </c>
      <c r="H125" s="697">
        <v>1845.4</v>
      </c>
      <c r="I125" s="697">
        <v>1845.4</v>
      </c>
      <c r="J125" s="697">
        <v>1845.4</v>
      </c>
      <c r="K125" s="697">
        <v>0</v>
      </c>
      <c r="L125" s="697">
        <v>1845.4</v>
      </c>
      <c r="M125" s="698">
        <v>0</v>
      </c>
      <c r="N125" s="698">
        <v>1910.56</v>
      </c>
      <c r="O125" s="698">
        <v>1910.56</v>
      </c>
      <c r="P125" s="698">
        <v>1910.56</v>
      </c>
      <c r="Q125" s="698">
        <v>0</v>
      </c>
      <c r="R125" s="698">
        <v>1910.56</v>
      </c>
      <c r="S125" s="698">
        <v>0</v>
      </c>
      <c r="T125" s="29">
        <v>1858.19</v>
      </c>
      <c r="U125" s="29">
        <v>74380.7</v>
      </c>
      <c r="V125" s="18">
        <v>0</v>
      </c>
      <c r="W125" s="29">
        <v>5315.51</v>
      </c>
      <c r="X125" s="18">
        <v>0</v>
      </c>
      <c r="Y125" s="18"/>
      <c r="Z125" s="99">
        <f>SUM(T125:W125)</f>
        <v>81554.399999999994</v>
      </c>
      <c r="AA125" s="29">
        <v>1651.81</v>
      </c>
      <c r="AB125" s="29">
        <v>66119.3</v>
      </c>
      <c r="AC125" s="18">
        <v>0</v>
      </c>
      <c r="AD125" s="29">
        <v>4720.04</v>
      </c>
      <c r="AE125" s="18">
        <v>0</v>
      </c>
      <c r="AF125" s="18">
        <v>0</v>
      </c>
      <c r="AG125" s="99">
        <f>SUM(AA125:AD125)</f>
        <v>72491.149999999994</v>
      </c>
      <c r="AH125" s="99">
        <f>Z125+AG125</f>
        <v>154045.54999999999</v>
      </c>
      <c r="AI125" s="29">
        <f>T125+AA125</f>
        <v>3510</v>
      </c>
      <c r="AJ125" s="29">
        <f>U125+AB125</f>
        <v>140500</v>
      </c>
      <c r="AK125" s="18">
        <f>V125+AC125</f>
        <v>0</v>
      </c>
      <c r="AL125" s="29">
        <f>W125+AD125</f>
        <v>10035.549999999999</v>
      </c>
      <c r="AM125" s="18">
        <f t="shared" si="133"/>
        <v>0</v>
      </c>
      <c r="AN125" s="18"/>
      <c r="AO125" s="29">
        <f>SUM(AI125:AN125)</f>
        <v>154045.54999999999</v>
      </c>
      <c r="AP125" s="29">
        <f>SUM(AI125:AM125)</f>
        <v>154045.54999999999</v>
      </c>
      <c r="AQ125" s="29">
        <f>SUM(AI125:AL125)</f>
        <v>154045.54999999999</v>
      </c>
      <c r="AR125" s="99">
        <f t="shared" si="114"/>
        <v>0</v>
      </c>
      <c r="AS125" s="18">
        <f t="shared" si="146"/>
        <v>6477354</v>
      </c>
      <c r="AT125" s="18">
        <f t="shared" si="146"/>
        <v>259278700</v>
      </c>
      <c r="AU125" s="18">
        <f t="shared" si="146"/>
        <v>0</v>
      </c>
      <c r="AV125" s="18">
        <f t="shared" si="146"/>
        <v>18519603.969999999</v>
      </c>
      <c r="AW125" s="18">
        <f t="shared" si="146"/>
        <v>0</v>
      </c>
      <c r="AX125" s="18">
        <f t="shared" si="115"/>
        <v>284275657.97000003</v>
      </c>
      <c r="AY125" s="18">
        <f t="shared" si="116"/>
        <v>284275657.97000003</v>
      </c>
      <c r="AZ125" s="18">
        <f t="shared" si="147"/>
        <v>6706065.5999999996</v>
      </c>
      <c r="BA125" s="18">
        <f t="shared" si="147"/>
        <v>268433680</v>
      </c>
      <c r="BB125" s="18">
        <f t="shared" si="147"/>
        <v>0</v>
      </c>
      <c r="BC125" s="18">
        <f t="shared" si="147"/>
        <v>19173520.408</v>
      </c>
      <c r="BD125" s="18">
        <f t="shared" si="147"/>
        <v>0</v>
      </c>
      <c r="BE125" s="18">
        <f t="shared" si="117"/>
        <v>294313266.00800002</v>
      </c>
      <c r="BF125" s="18">
        <f t="shared" si="118"/>
        <v>294313266.00800002</v>
      </c>
      <c r="BG125" s="18"/>
      <c r="BH125" s="18"/>
      <c r="BI125" s="18">
        <f t="shared" si="80"/>
        <v>0</v>
      </c>
      <c r="BJ125" s="18">
        <v>240832.33</v>
      </c>
      <c r="BK125" s="18">
        <v>280174.7</v>
      </c>
      <c r="BL125" s="18">
        <f>I125*T125</f>
        <v>3429103.8260000004</v>
      </c>
      <c r="BM125" s="18">
        <f>J125*U125</f>
        <v>137262143.78</v>
      </c>
      <c r="BN125" s="18">
        <f t="shared" si="141"/>
        <v>0</v>
      </c>
      <c r="BO125" s="18">
        <f>L125*W125</f>
        <v>9809242.154000001</v>
      </c>
      <c r="BP125" s="18">
        <f t="shared" si="141"/>
        <v>0</v>
      </c>
      <c r="BQ125" s="18">
        <f>BL125+BM125+BN125+BO125+BP125</f>
        <v>150500489.76000002</v>
      </c>
      <c r="BR125" s="18">
        <f>BQ125-BP125</f>
        <v>150500489.76000002</v>
      </c>
      <c r="BS125" s="18">
        <f>O125*AA125</f>
        <v>3155882.1135999998</v>
      </c>
      <c r="BT125" s="18">
        <f>P125*AB125</f>
        <v>126324889.808</v>
      </c>
      <c r="BU125" s="18">
        <f t="shared" si="142"/>
        <v>0</v>
      </c>
      <c r="BV125" s="18">
        <f>R125*W125</f>
        <v>10155600.785600001</v>
      </c>
      <c r="BW125" s="18">
        <f t="shared" si="94"/>
        <v>0</v>
      </c>
      <c r="BX125" s="18">
        <f>BS125+BT125+BU125+BV125+BW125</f>
        <v>139636372.70719999</v>
      </c>
      <c r="BY125" s="18">
        <f>BX125-BW125</f>
        <v>139636372.70719999</v>
      </c>
      <c r="BZ125" s="161">
        <f t="shared" si="91"/>
        <v>263587033.588</v>
      </c>
      <c r="CA125" s="161">
        <f t="shared" si="91"/>
        <v>0</v>
      </c>
      <c r="CB125" s="161">
        <f t="shared" si="123"/>
        <v>263587033.588</v>
      </c>
      <c r="CC125" s="162">
        <f t="shared" si="92"/>
        <v>1876.064296</v>
      </c>
      <c r="CD125" s="162" t="e">
        <f t="shared" si="92"/>
        <v>#DIV/0!</v>
      </c>
      <c r="CE125" s="162">
        <f t="shared" si="124"/>
        <v>1876.064296</v>
      </c>
      <c r="CF125" s="162">
        <f t="shared" si="95"/>
        <v>1876.064296</v>
      </c>
      <c r="CG125" s="651">
        <f t="shared" si="96"/>
        <v>263587033.588</v>
      </c>
      <c r="CH125" s="652">
        <f t="shared" si="125"/>
        <v>1876.064296</v>
      </c>
      <c r="CJ125" s="18">
        <f t="shared" si="97"/>
        <v>150500.48976</v>
      </c>
      <c r="CK125" s="18">
        <f t="shared" si="98"/>
        <v>138498.691544</v>
      </c>
      <c r="CL125" s="18">
        <f t="shared" si="84"/>
        <v>288999.18130399997</v>
      </c>
      <c r="CM125" s="18">
        <f t="shared" si="99"/>
        <v>288999181.30400002</v>
      </c>
      <c r="CN125" s="18">
        <f t="shared" si="100"/>
        <v>284275657.97000003</v>
      </c>
      <c r="CO125" s="18">
        <f t="shared" si="101"/>
        <v>284275657.97000003</v>
      </c>
      <c r="CP125" s="18">
        <f t="shared" si="102"/>
        <v>150500489.76000002</v>
      </c>
      <c r="CQ125" s="18">
        <f t="shared" si="103"/>
        <v>294313266.00800002</v>
      </c>
      <c r="CR125" s="18">
        <f t="shared" si="104"/>
        <v>294313266.00800002</v>
      </c>
      <c r="CS125" s="18">
        <f t="shared" si="105"/>
        <v>138498691.544</v>
      </c>
      <c r="CT125" s="18">
        <f t="shared" si="126"/>
        <v>578588923.97800004</v>
      </c>
      <c r="CU125" s="29">
        <f t="shared" si="127"/>
        <v>3755960.0000000005</v>
      </c>
      <c r="CV125" s="18">
        <f t="shared" si="106"/>
        <v>259278700</v>
      </c>
      <c r="CW125" s="18">
        <f t="shared" si="107"/>
        <v>268433680</v>
      </c>
      <c r="CX125" s="18">
        <f t="shared" si="128"/>
        <v>527712380</v>
      </c>
      <c r="CY125" s="18">
        <f t="shared" si="108"/>
        <v>284275657.97000003</v>
      </c>
      <c r="CZ125" s="18">
        <f t="shared" si="109"/>
        <v>294313266.00800002</v>
      </c>
      <c r="DB125" s="653">
        <f t="shared" si="129"/>
        <v>103.5309418012355</v>
      </c>
      <c r="DG125" s="701">
        <f t="shared" si="110"/>
        <v>0</v>
      </c>
      <c r="DH125" s="701">
        <f t="shared" si="111"/>
        <v>0</v>
      </c>
      <c r="DI125" s="701">
        <f t="shared" si="112"/>
        <v>0</v>
      </c>
    </row>
    <row r="126" spans="1:114" s="128" customFormat="1" ht="56.25" hidden="1" customHeight="1">
      <c r="A126" s="115">
        <f t="shared" si="130"/>
        <v>111</v>
      </c>
      <c r="B126" s="1897"/>
      <c r="C126" s="1897"/>
      <c r="D126" s="710" t="s">
        <v>224</v>
      </c>
      <c r="E126" s="711">
        <v>4632113278</v>
      </c>
      <c r="F126" s="710" t="s">
        <v>8</v>
      </c>
      <c r="G126" s="712" t="s">
        <v>868</v>
      </c>
      <c r="H126" s="707">
        <v>1463.36</v>
      </c>
      <c r="I126" s="707"/>
      <c r="J126" s="707">
        <v>1463.36</v>
      </c>
      <c r="K126" s="707"/>
      <c r="L126" s="707"/>
      <c r="M126" s="708"/>
      <c r="N126" s="708">
        <v>1463.36</v>
      </c>
      <c r="O126" s="708"/>
      <c r="P126" s="708">
        <v>1463.36</v>
      </c>
      <c r="Q126" s="708"/>
      <c r="R126" s="708"/>
      <c r="S126" s="708"/>
      <c r="T126" s="124">
        <v>0</v>
      </c>
      <c r="U126" s="124">
        <v>2651.2730000000001</v>
      </c>
      <c r="V126" s="124">
        <v>0</v>
      </c>
      <c r="W126" s="124">
        <v>0</v>
      </c>
      <c r="X126" s="124"/>
      <c r="Y126" s="124"/>
      <c r="Z126" s="127">
        <f t="shared" si="131"/>
        <v>2651.2730000000001</v>
      </c>
      <c r="AA126" s="124">
        <v>0</v>
      </c>
      <c r="AB126" s="124">
        <v>1946.67</v>
      </c>
      <c r="AC126" s="124">
        <v>0</v>
      </c>
      <c r="AD126" s="124">
        <v>0</v>
      </c>
      <c r="AE126" s="124"/>
      <c r="AF126" s="124">
        <v>0</v>
      </c>
      <c r="AG126" s="127">
        <f t="shared" si="132"/>
        <v>1946.67</v>
      </c>
      <c r="AH126" s="127">
        <f t="shared" si="113"/>
        <v>4597.9430000000002</v>
      </c>
      <c r="AI126" s="112">
        <f t="shared" si="134"/>
        <v>0</v>
      </c>
      <c r="AJ126" s="112">
        <f t="shared" si="134"/>
        <v>4597.9430000000002</v>
      </c>
      <c r="AK126" s="112">
        <f t="shared" si="134"/>
        <v>0</v>
      </c>
      <c r="AL126" s="112">
        <f t="shared" si="134"/>
        <v>0</v>
      </c>
      <c r="AM126" s="112">
        <f t="shared" si="133"/>
        <v>0</v>
      </c>
      <c r="AN126" s="112"/>
      <c r="AO126" s="112">
        <f t="shared" si="85"/>
        <v>4597.9430000000002</v>
      </c>
      <c r="AP126" s="112">
        <f t="shared" si="86"/>
        <v>4597.9430000000002</v>
      </c>
      <c r="AQ126" s="709">
        <f t="shared" si="81"/>
        <v>4597.9430000000002</v>
      </c>
      <c r="AR126" s="127">
        <f t="shared" si="114"/>
        <v>0</v>
      </c>
      <c r="AS126" s="112">
        <f t="shared" si="146"/>
        <v>0</v>
      </c>
      <c r="AT126" s="112">
        <f t="shared" si="146"/>
        <v>6728445.8684799997</v>
      </c>
      <c r="AU126" s="112">
        <f t="shared" si="146"/>
        <v>0</v>
      </c>
      <c r="AV126" s="112">
        <f t="shared" si="146"/>
        <v>0</v>
      </c>
      <c r="AW126" s="112">
        <f t="shared" si="146"/>
        <v>0</v>
      </c>
      <c r="AX126" s="112">
        <f t="shared" si="115"/>
        <v>6728445.8684799997</v>
      </c>
      <c r="AY126" s="112">
        <f t="shared" si="116"/>
        <v>6728445.8684799997</v>
      </c>
      <c r="AZ126" s="112">
        <f t="shared" si="147"/>
        <v>0</v>
      </c>
      <c r="BA126" s="112">
        <f t="shared" si="147"/>
        <v>6728445.8684799997</v>
      </c>
      <c r="BB126" s="112">
        <f t="shared" si="147"/>
        <v>0</v>
      </c>
      <c r="BC126" s="112">
        <f t="shared" si="147"/>
        <v>0</v>
      </c>
      <c r="BD126" s="112">
        <f t="shared" si="147"/>
        <v>0</v>
      </c>
      <c r="BE126" s="112">
        <f t="shared" si="117"/>
        <v>6728445.8684799997</v>
      </c>
      <c r="BF126" s="112">
        <f t="shared" si="118"/>
        <v>6728445.8684799997</v>
      </c>
      <c r="BG126" s="124">
        <v>0</v>
      </c>
      <c r="BH126" s="124">
        <v>0</v>
      </c>
      <c r="BI126" s="112">
        <f t="shared" si="80"/>
        <v>0</v>
      </c>
      <c r="BJ126" s="112">
        <v>6728.46</v>
      </c>
      <c r="BK126" s="112">
        <v>12413.07</v>
      </c>
      <c r="BL126" s="112">
        <f t="shared" si="141"/>
        <v>0</v>
      </c>
      <c r="BM126" s="112">
        <f t="shared" si="141"/>
        <v>3879766.8572800001</v>
      </c>
      <c r="BN126" s="112">
        <f t="shared" si="141"/>
        <v>0</v>
      </c>
      <c r="BO126" s="112">
        <f t="shared" si="141"/>
        <v>0</v>
      </c>
      <c r="BP126" s="112">
        <f t="shared" si="141"/>
        <v>0</v>
      </c>
      <c r="BQ126" s="112">
        <f t="shared" si="119"/>
        <v>3879766.8572800001</v>
      </c>
      <c r="BR126" s="112">
        <f t="shared" si="120"/>
        <v>3879766.8572800001</v>
      </c>
      <c r="BS126" s="112">
        <f t="shared" si="142"/>
        <v>0</v>
      </c>
      <c r="BT126" s="112">
        <f t="shared" si="142"/>
        <v>2848679.0112000001</v>
      </c>
      <c r="BU126" s="112">
        <f t="shared" si="142"/>
        <v>0</v>
      </c>
      <c r="BV126" s="112">
        <f t="shared" si="93"/>
        <v>0</v>
      </c>
      <c r="BW126" s="112">
        <f t="shared" si="94"/>
        <v>0</v>
      </c>
      <c r="BX126" s="112">
        <f t="shared" si="121"/>
        <v>2848679.0112000001</v>
      </c>
      <c r="BY126" s="112">
        <f t="shared" si="122"/>
        <v>2848679.0112000001</v>
      </c>
      <c r="BZ126" s="113">
        <f t="shared" si="91"/>
        <v>6728445.8684800006</v>
      </c>
      <c r="CA126" s="113">
        <f t="shared" si="91"/>
        <v>0</v>
      </c>
      <c r="CB126" s="113">
        <f t="shared" si="123"/>
        <v>6728445.8684800006</v>
      </c>
      <c r="CC126" s="119">
        <f t="shared" si="92"/>
        <v>1463.3600000000001</v>
      </c>
      <c r="CD126" s="119" t="e">
        <f t="shared" si="92"/>
        <v>#DIV/0!</v>
      </c>
      <c r="CE126" s="119">
        <f t="shared" si="124"/>
        <v>1463.3600000000001</v>
      </c>
      <c r="CF126" s="119">
        <f t="shared" si="95"/>
        <v>1463.3600000000001</v>
      </c>
      <c r="CG126" s="619">
        <f t="shared" si="96"/>
        <v>0</v>
      </c>
      <c r="CH126" s="132">
        <f t="shared" si="125"/>
        <v>0</v>
      </c>
      <c r="CJ126" s="112">
        <f t="shared" si="97"/>
        <v>3879.7668572800003</v>
      </c>
      <c r="CK126" s="112">
        <f t="shared" si="98"/>
        <v>2848.6790111999999</v>
      </c>
      <c r="CL126" s="112">
        <f t="shared" si="84"/>
        <v>6728.4458684800002</v>
      </c>
      <c r="CM126" s="112">
        <f t="shared" si="99"/>
        <v>6728445.8684800006</v>
      </c>
      <c r="CN126" s="112">
        <f t="shared" si="100"/>
        <v>6728445.8684799997</v>
      </c>
      <c r="CO126" s="112">
        <f t="shared" si="101"/>
        <v>6728445.8684799997</v>
      </c>
      <c r="CP126" s="112">
        <f t="shared" si="102"/>
        <v>3879766.8572800001</v>
      </c>
      <c r="CQ126" s="112">
        <f t="shared" si="103"/>
        <v>6728445.8684799997</v>
      </c>
      <c r="CR126" s="112">
        <f t="shared" si="104"/>
        <v>6728445.8684799997</v>
      </c>
      <c r="CS126" s="112">
        <f t="shared" si="105"/>
        <v>2848679.0112000001</v>
      </c>
      <c r="CT126" s="112">
        <f t="shared" si="126"/>
        <v>13456891.736959999</v>
      </c>
      <c r="CU126" s="124">
        <f t="shared" si="127"/>
        <v>2926720</v>
      </c>
      <c r="CV126" s="112">
        <f t="shared" si="106"/>
        <v>6728445.8684799997</v>
      </c>
      <c r="CW126" s="112">
        <f t="shared" si="107"/>
        <v>6728445.8684799997</v>
      </c>
      <c r="CX126" s="112">
        <f t="shared" si="128"/>
        <v>13456891.736959999</v>
      </c>
      <c r="CY126" s="112">
        <f t="shared" si="108"/>
        <v>6728445.8684799997</v>
      </c>
      <c r="CZ126" s="112">
        <f t="shared" si="109"/>
        <v>6728445.8684799997</v>
      </c>
      <c r="DB126" s="128">
        <f t="shared" si="129"/>
        <v>100</v>
      </c>
      <c r="DG126" s="118">
        <f t="shared" si="110"/>
        <v>0</v>
      </c>
      <c r="DH126" s="118">
        <f t="shared" si="111"/>
        <v>0</v>
      </c>
      <c r="DI126" s="118">
        <f t="shared" si="112"/>
        <v>0</v>
      </c>
    </row>
    <row r="127" spans="1:114" s="13" customFormat="1" ht="83.25" hidden="1" customHeight="1">
      <c r="A127" s="20">
        <f t="shared" si="130"/>
        <v>112</v>
      </c>
      <c r="B127" s="1897"/>
      <c r="C127" s="1897"/>
      <c r="D127" s="757" t="s">
        <v>162</v>
      </c>
      <c r="E127" s="806">
        <v>5261077695</v>
      </c>
      <c r="F127" s="806" t="s">
        <v>8</v>
      </c>
      <c r="G127" s="812" t="s">
        <v>896</v>
      </c>
      <c r="H127" s="608">
        <f>1898.46*1.2</f>
        <v>2278.152</v>
      </c>
      <c r="I127" s="608">
        <f>1898.46*1.2</f>
        <v>2278.152</v>
      </c>
      <c r="J127" s="608">
        <v>2278.15</v>
      </c>
      <c r="K127" s="608">
        <v>2278.15</v>
      </c>
      <c r="L127" s="608">
        <v>0</v>
      </c>
      <c r="M127" s="608">
        <v>0</v>
      </c>
      <c r="N127" s="820">
        <f>1966.13*1.2</f>
        <v>2359.3560000000002</v>
      </c>
      <c r="O127" s="820">
        <f>1966.13*1.2</f>
        <v>2359.3560000000002</v>
      </c>
      <c r="P127" s="608">
        <v>2359.36</v>
      </c>
      <c r="Q127" s="608">
        <v>2359.36</v>
      </c>
      <c r="R127" s="37"/>
      <c r="S127" s="37"/>
      <c r="T127" s="821">
        <v>1095</v>
      </c>
      <c r="U127" s="175">
        <v>52.94</v>
      </c>
      <c r="V127" s="205">
        <v>25.62</v>
      </c>
      <c r="W127" s="175">
        <v>0</v>
      </c>
      <c r="X127" s="175">
        <v>0</v>
      </c>
      <c r="Y127" s="175">
        <v>1087.72</v>
      </c>
      <c r="Z127" s="35">
        <f>SUM(T127:W127)</f>
        <v>1173.56</v>
      </c>
      <c r="AA127" s="175">
        <v>718.34</v>
      </c>
      <c r="AB127" s="175">
        <v>39.71</v>
      </c>
      <c r="AC127" s="205">
        <v>25.62</v>
      </c>
      <c r="AD127" s="175">
        <v>0</v>
      </c>
      <c r="AE127" s="175">
        <v>0</v>
      </c>
      <c r="AF127" s="175">
        <v>839.65</v>
      </c>
      <c r="AG127" s="35">
        <f>SUM(AA127:AD127)</f>
        <v>783.67000000000007</v>
      </c>
      <c r="AH127" s="35">
        <f t="shared" si="113"/>
        <v>1957.23</v>
      </c>
      <c r="AI127" s="15">
        <f t="shared" si="134"/>
        <v>1813.3400000000001</v>
      </c>
      <c r="AJ127" s="15">
        <f t="shared" si="134"/>
        <v>92.65</v>
      </c>
      <c r="AK127" s="15">
        <f t="shared" si="134"/>
        <v>51.24</v>
      </c>
      <c r="AL127" s="15">
        <f t="shared" si="134"/>
        <v>0</v>
      </c>
      <c r="AM127" s="15">
        <f t="shared" si="133"/>
        <v>0</v>
      </c>
      <c r="AN127" s="15"/>
      <c r="AO127" s="15">
        <f t="shared" si="85"/>
        <v>1957.2300000000002</v>
      </c>
      <c r="AP127" s="15">
        <f t="shared" si="86"/>
        <v>1957.2300000000002</v>
      </c>
      <c r="AQ127" s="15">
        <f t="shared" si="81"/>
        <v>1957.2300000000002</v>
      </c>
      <c r="AR127" s="99">
        <f t="shared" si="114"/>
        <v>0</v>
      </c>
      <c r="AS127" s="18">
        <f t="shared" si="146"/>
        <v>4131064.1476800004</v>
      </c>
      <c r="AT127" s="18">
        <f t="shared" si="146"/>
        <v>211070.59750000003</v>
      </c>
      <c r="AU127" s="18">
        <f t="shared" si="146"/>
        <v>116732.406</v>
      </c>
      <c r="AV127" s="18">
        <f t="shared" si="146"/>
        <v>0</v>
      </c>
      <c r="AW127" s="18">
        <f t="shared" si="146"/>
        <v>0</v>
      </c>
      <c r="AX127" s="18">
        <f t="shared" si="115"/>
        <v>4458867.151180001</v>
      </c>
      <c r="AY127" s="18">
        <f t="shared" si="116"/>
        <v>4458867.151180001</v>
      </c>
      <c r="AZ127" s="18">
        <f t="shared" si="147"/>
        <v>4278314.6090400005</v>
      </c>
      <c r="BA127" s="18">
        <f t="shared" si="147"/>
        <v>218594.70400000003</v>
      </c>
      <c r="BB127" s="18">
        <f t="shared" si="147"/>
        <v>120893.6064</v>
      </c>
      <c r="BC127" s="18">
        <f t="shared" si="147"/>
        <v>0</v>
      </c>
      <c r="BD127" s="18">
        <f t="shared" si="147"/>
        <v>0</v>
      </c>
      <c r="BE127" s="18">
        <f t="shared" si="117"/>
        <v>4617802.9194400003</v>
      </c>
      <c r="BF127" s="18">
        <f t="shared" si="118"/>
        <v>4617802.9194400003</v>
      </c>
      <c r="BG127" s="163">
        <v>0</v>
      </c>
      <c r="BH127" s="163">
        <v>0</v>
      </c>
      <c r="BI127" s="163">
        <f t="shared" si="80"/>
        <v>0</v>
      </c>
      <c r="BJ127" s="163">
        <v>7133.01</v>
      </c>
      <c r="BK127" s="163">
        <v>12931.01</v>
      </c>
      <c r="BL127" s="18">
        <f t="shared" si="141"/>
        <v>2494576.44</v>
      </c>
      <c r="BM127" s="18">
        <f t="shared" si="141"/>
        <v>120605.261</v>
      </c>
      <c r="BN127" s="18">
        <f t="shared" si="141"/>
        <v>58366.203000000001</v>
      </c>
      <c r="BO127" s="18">
        <f t="shared" si="141"/>
        <v>0</v>
      </c>
      <c r="BP127" s="18">
        <f t="shared" si="141"/>
        <v>0</v>
      </c>
      <c r="BQ127" s="18">
        <f t="shared" si="119"/>
        <v>2673547.9040000001</v>
      </c>
      <c r="BR127" s="18">
        <f t="shared" si="120"/>
        <v>2673547.9040000001</v>
      </c>
      <c r="BS127" s="18">
        <f t="shared" si="142"/>
        <v>1694819.7890400002</v>
      </c>
      <c r="BT127" s="18">
        <f t="shared" si="142"/>
        <v>93690.185600000012</v>
      </c>
      <c r="BU127" s="18">
        <f t="shared" si="142"/>
        <v>60446.803200000002</v>
      </c>
      <c r="BV127" s="18">
        <f t="shared" si="93"/>
        <v>0</v>
      </c>
      <c r="BW127" s="18">
        <f t="shared" si="94"/>
        <v>0</v>
      </c>
      <c r="BX127" s="18">
        <f t="shared" si="121"/>
        <v>1848956.7778400001</v>
      </c>
      <c r="BY127" s="18">
        <f t="shared" si="122"/>
        <v>1848956.7778400001</v>
      </c>
      <c r="BZ127" s="161">
        <f t="shared" si="91"/>
        <v>214295.44660000002</v>
      </c>
      <c r="CA127" s="161">
        <f t="shared" si="91"/>
        <v>118813.0062</v>
      </c>
      <c r="CB127" s="161">
        <f t="shared" si="123"/>
        <v>333108.45280000003</v>
      </c>
      <c r="CC127" s="162">
        <f t="shared" si="92"/>
        <v>2312.9567900701568</v>
      </c>
      <c r="CD127" s="162">
        <f t="shared" si="92"/>
        <v>2318.7550000000001</v>
      </c>
      <c r="CE127" s="162">
        <f t="shared" si="124"/>
        <v>2315.0215636944886</v>
      </c>
      <c r="CF127" s="162">
        <f t="shared" si="95"/>
        <v>2315.0215636944886</v>
      </c>
      <c r="CG127" s="651">
        <f t="shared" si="96"/>
        <v>333108.34860000003</v>
      </c>
      <c r="CH127" s="652">
        <f t="shared" si="125"/>
        <v>2315.0208395301966</v>
      </c>
      <c r="CJ127" s="18">
        <f t="shared" si="97"/>
        <v>2673.5480611199996</v>
      </c>
      <c r="CK127" s="18">
        <f t="shared" si="98"/>
        <v>1848.9565165200004</v>
      </c>
      <c r="CL127" s="18">
        <f t="shared" si="84"/>
        <v>4522.5045776400002</v>
      </c>
      <c r="CM127" s="18">
        <f t="shared" si="99"/>
        <v>4522504.5776399998</v>
      </c>
      <c r="CN127" s="18">
        <f t="shared" si="100"/>
        <v>4458867.151180001</v>
      </c>
      <c r="CO127" s="18">
        <f t="shared" si="101"/>
        <v>4458867.15118</v>
      </c>
      <c r="CP127" s="18">
        <f t="shared" si="102"/>
        <v>2673547.9040000001</v>
      </c>
      <c r="CQ127" s="18">
        <f t="shared" si="103"/>
        <v>4617802.9194400003</v>
      </c>
      <c r="CR127" s="18">
        <f t="shared" si="104"/>
        <v>4617802.9194400003</v>
      </c>
      <c r="CS127" s="18">
        <f t="shared" si="105"/>
        <v>1848956.7778400001</v>
      </c>
      <c r="CT127" s="18">
        <f t="shared" si="126"/>
        <v>9076670.0706200004</v>
      </c>
      <c r="CU127" s="29">
        <f t="shared" si="127"/>
        <v>4637508.1470343294</v>
      </c>
      <c r="CV127" s="18">
        <f t="shared" si="106"/>
        <v>327803.00350000005</v>
      </c>
      <c r="CW127" s="18">
        <f t="shared" si="107"/>
        <v>339488.31040000002</v>
      </c>
      <c r="CX127" s="18">
        <f t="shared" si="128"/>
        <v>667291.31390000007</v>
      </c>
      <c r="CY127" s="18">
        <f t="shared" si="108"/>
        <v>4458867.4389600009</v>
      </c>
      <c r="CZ127" s="18">
        <f t="shared" si="109"/>
        <v>4617802.3438800005</v>
      </c>
      <c r="DB127" s="653">
        <f t="shared" si="129"/>
        <v>103.56455896231591</v>
      </c>
      <c r="DG127" s="618">
        <f t="shared" si="110"/>
        <v>0</v>
      </c>
      <c r="DH127" s="618">
        <f t="shared" si="111"/>
        <v>0</v>
      </c>
      <c r="DI127" s="618">
        <f t="shared" si="112"/>
        <v>0</v>
      </c>
    </row>
    <row r="128" spans="1:114" ht="51.75" hidden="1" customHeight="1">
      <c r="A128" s="20">
        <f t="shared" si="130"/>
        <v>113</v>
      </c>
      <c r="B128" s="1897"/>
      <c r="C128" s="1897"/>
      <c r="D128" s="808" t="s">
        <v>254</v>
      </c>
      <c r="E128" s="808">
        <v>4632000330</v>
      </c>
      <c r="F128" s="696" t="s">
        <v>8</v>
      </c>
      <c r="G128" s="808" t="s">
        <v>910</v>
      </c>
      <c r="H128" s="697">
        <f>I128</f>
        <v>2985.3240000000001</v>
      </c>
      <c r="I128" s="697">
        <f>2487.77*1.2</f>
        <v>2985.3240000000001</v>
      </c>
      <c r="J128" s="697">
        <v>1995.31</v>
      </c>
      <c r="K128" s="697">
        <v>0</v>
      </c>
      <c r="L128" s="697">
        <f>I128</f>
        <v>2985.3240000000001</v>
      </c>
      <c r="M128" s="697">
        <f>1946.44*1.2</f>
        <v>2335.7280000000001</v>
      </c>
      <c r="N128" s="697">
        <f>2487.77*1.2</f>
        <v>2985.3240000000001</v>
      </c>
      <c r="O128" s="697">
        <f>N128</f>
        <v>2985.3240000000001</v>
      </c>
      <c r="P128" s="697">
        <v>2125.0100000000002</v>
      </c>
      <c r="Q128" s="697">
        <v>0</v>
      </c>
      <c r="R128" s="697">
        <f>O128</f>
        <v>2985.3240000000001</v>
      </c>
      <c r="S128" s="697">
        <f>2133.33*1.2</f>
        <v>2559.9959999999996</v>
      </c>
      <c r="T128" s="18">
        <v>349</v>
      </c>
      <c r="U128" s="18">
        <v>362</v>
      </c>
      <c r="V128" s="18">
        <v>0</v>
      </c>
      <c r="W128" s="18">
        <v>247</v>
      </c>
      <c r="X128" s="18">
        <v>55718</v>
      </c>
      <c r="Y128" s="18">
        <v>0</v>
      </c>
      <c r="Z128" s="99">
        <f>SUM(T128:W128)</f>
        <v>958</v>
      </c>
      <c r="AA128" s="18">
        <v>304</v>
      </c>
      <c r="AB128" s="18">
        <v>272</v>
      </c>
      <c r="AC128" s="18">
        <v>0</v>
      </c>
      <c r="AD128" s="18">
        <v>199</v>
      </c>
      <c r="AE128" s="18">
        <v>41755</v>
      </c>
      <c r="AF128" s="18">
        <v>0</v>
      </c>
      <c r="AG128" s="99">
        <f>SUM(AA128:AD128)</f>
        <v>775</v>
      </c>
      <c r="AH128" s="99">
        <f>Z128+AG128</f>
        <v>1733</v>
      </c>
      <c r="AI128" s="18">
        <f>T128+AA128</f>
        <v>653</v>
      </c>
      <c r="AJ128" s="18">
        <f>U128+AB128</f>
        <v>634</v>
      </c>
      <c r="AK128" s="18">
        <f t="shared" si="134"/>
        <v>0</v>
      </c>
      <c r="AL128" s="18">
        <f>W128+AD128</f>
        <v>446</v>
      </c>
      <c r="AM128" s="18">
        <f>X128+AE128</f>
        <v>97473</v>
      </c>
      <c r="AN128" s="18"/>
      <c r="AO128" s="18">
        <f>SUM(AI128:AN128)</f>
        <v>99206</v>
      </c>
      <c r="AP128" s="15">
        <f>SUM(AI128:AM128)</f>
        <v>99206</v>
      </c>
      <c r="AQ128" s="15">
        <f>SUM(AI128:AL128)</f>
        <v>1733</v>
      </c>
      <c r="AR128" s="127">
        <f t="shared" si="114"/>
        <v>0</v>
      </c>
      <c r="AS128" s="112">
        <f t="shared" si="146"/>
        <v>1949416.5720000002</v>
      </c>
      <c r="AT128" s="112">
        <f t="shared" si="146"/>
        <v>1265026.54</v>
      </c>
      <c r="AU128" s="112">
        <f t="shared" si="146"/>
        <v>0</v>
      </c>
      <c r="AV128" s="112">
        <f t="shared" si="146"/>
        <v>1331454.504</v>
      </c>
      <c r="AW128" s="112">
        <f t="shared" si="146"/>
        <v>227670415.34400001</v>
      </c>
      <c r="AX128" s="112">
        <f t="shared" si="115"/>
        <v>232216312.96000001</v>
      </c>
      <c r="AY128" s="112">
        <f t="shared" si="116"/>
        <v>4545897.6160000004</v>
      </c>
      <c r="AZ128" s="112">
        <f t="shared" si="147"/>
        <v>1949416.5720000002</v>
      </c>
      <c r="BA128" s="112">
        <f t="shared" si="147"/>
        <v>1347256.34</v>
      </c>
      <c r="BB128" s="112">
        <f t="shared" si="147"/>
        <v>0</v>
      </c>
      <c r="BC128" s="112">
        <f t="shared" si="147"/>
        <v>1331454.504</v>
      </c>
      <c r="BD128" s="112">
        <f t="shared" si="147"/>
        <v>249530490.10799995</v>
      </c>
      <c r="BE128" s="112">
        <f t="shared" si="117"/>
        <v>254158617.52399996</v>
      </c>
      <c r="BF128" s="112">
        <f t="shared" si="118"/>
        <v>4628127.4160000002</v>
      </c>
      <c r="BG128" s="18">
        <v>298.65257705441087</v>
      </c>
      <c r="BH128" s="18">
        <v>195.00433955027563</v>
      </c>
      <c r="BI128" s="18">
        <f>BG128+BH128</f>
        <v>493.6569166046865</v>
      </c>
      <c r="BJ128" s="18">
        <v>201840.45986422937</v>
      </c>
      <c r="BK128" s="18">
        <v>235081.2</v>
      </c>
      <c r="BL128" s="112">
        <f>I128*T128</f>
        <v>1041878.076</v>
      </c>
      <c r="BM128" s="112">
        <f>J128*U128</f>
        <v>722302.22</v>
      </c>
      <c r="BN128" s="112">
        <f>K128*V128</f>
        <v>0</v>
      </c>
      <c r="BO128" s="112">
        <f>L128*W128</f>
        <v>737375.02800000005</v>
      </c>
      <c r="BP128" s="112">
        <f>M128*X128</f>
        <v>130142092.70400001</v>
      </c>
      <c r="BQ128" s="112">
        <f>BL128+BM128+BN128+BO128+BP128</f>
        <v>132643648.02800001</v>
      </c>
      <c r="BR128" s="112">
        <f>BQ128-BP128</f>
        <v>2501555.324000001</v>
      </c>
      <c r="BS128" s="112">
        <f>O128*AA128</f>
        <v>907538.49600000004</v>
      </c>
      <c r="BT128" s="112">
        <f>P128*AB128</f>
        <v>578002.72000000009</v>
      </c>
      <c r="BU128" s="112">
        <f t="shared" si="142"/>
        <v>0</v>
      </c>
      <c r="BV128" s="112">
        <f>R128*W128</f>
        <v>737375.02800000005</v>
      </c>
      <c r="BW128" s="112">
        <f>S128*AE128</f>
        <v>106892632.97999999</v>
      </c>
      <c r="BX128" s="112">
        <f>BS128+BT128+BU128+BV128+BW128</f>
        <v>109115549.22399999</v>
      </c>
      <c r="BY128" s="112">
        <f>BX128-BW128</f>
        <v>2222916.2440000027</v>
      </c>
      <c r="BZ128" s="113">
        <f t="shared" si="91"/>
        <v>1300304.94</v>
      </c>
      <c r="CA128" s="113">
        <f t="shared" si="91"/>
        <v>0</v>
      </c>
      <c r="CB128" s="113">
        <f t="shared" si="123"/>
        <v>1300304.94</v>
      </c>
      <c r="CC128" s="119">
        <f t="shared" si="92"/>
        <v>2050.9541640378548</v>
      </c>
      <c r="CD128" s="119" t="e">
        <f t="shared" si="92"/>
        <v>#DIV/0!</v>
      </c>
      <c r="CE128" s="119">
        <f t="shared" si="124"/>
        <v>2050.9541640378548</v>
      </c>
      <c r="CF128" s="113">
        <f t="shared" si="95"/>
        <v>2050.9541640378548</v>
      </c>
      <c r="CG128" s="619">
        <f t="shared" si="96"/>
        <v>1892695.416</v>
      </c>
      <c r="CH128" s="132">
        <f t="shared" si="125"/>
        <v>2985.3240000000001</v>
      </c>
      <c r="CI128" s="106"/>
      <c r="CJ128" s="112">
        <f t="shared" si="97"/>
        <v>2859.940392</v>
      </c>
      <c r="CK128" s="112">
        <f t="shared" si="98"/>
        <v>2313.6261</v>
      </c>
      <c r="CL128" s="112">
        <f t="shared" si="84"/>
        <v>5173.5664919999999</v>
      </c>
      <c r="CM128" s="112">
        <f t="shared" si="99"/>
        <v>5173566.4920000006</v>
      </c>
      <c r="CN128" s="112">
        <f t="shared" si="100"/>
        <v>4545897.6160000004</v>
      </c>
      <c r="CO128" s="112">
        <f t="shared" si="101"/>
        <v>4545897.6160000004</v>
      </c>
      <c r="CP128" s="112">
        <f t="shared" si="102"/>
        <v>2501555.324</v>
      </c>
      <c r="CQ128" s="112">
        <f t="shared" si="103"/>
        <v>4628127.4160000002</v>
      </c>
      <c r="CR128" s="112">
        <f t="shared" si="104"/>
        <v>4628127.4160000002</v>
      </c>
      <c r="CS128" s="112">
        <f t="shared" si="105"/>
        <v>2079620.692</v>
      </c>
      <c r="CT128" s="112">
        <f t="shared" si="126"/>
        <v>9174025.0320000015</v>
      </c>
      <c r="CU128" s="124">
        <f t="shared" si="127"/>
        <v>5293724.7732256213</v>
      </c>
      <c r="CV128" s="112">
        <f t="shared" si="106"/>
        <v>1265026.54</v>
      </c>
      <c r="CW128" s="112">
        <f t="shared" si="107"/>
        <v>1347256.34</v>
      </c>
      <c r="CX128" s="112">
        <f t="shared" si="128"/>
        <v>2612282.88</v>
      </c>
      <c r="CY128" s="112">
        <f t="shared" si="108"/>
        <v>5173566.4919999996</v>
      </c>
      <c r="CZ128" s="112">
        <f t="shared" si="109"/>
        <v>5173566.4919999996</v>
      </c>
      <c r="DA128" s="106"/>
      <c r="DB128" s="128">
        <f t="shared" si="129"/>
        <v>149.6170519869093</v>
      </c>
      <c r="DC128" s="106"/>
      <c r="DD128" s="106"/>
      <c r="DE128" s="106"/>
      <c r="DF128" s="106"/>
      <c r="DG128" s="618">
        <f t="shared" si="110"/>
        <v>130142.09270400001</v>
      </c>
      <c r="DH128" s="618">
        <f t="shared" si="111"/>
        <v>106892.63297999999</v>
      </c>
      <c r="DI128" s="618">
        <f t="shared" si="112"/>
        <v>237034.725684</v>
      </c>
      <c r="DJ128" s="106"/>
    </row>
    <row r="129" spans="1:114" s="20" customFormat="1" ht="75.75" hidden="1" customHeight="1">
      <c r="A129" s="20">
        <f t="shared" si="130"/>
        <v>114</v>
      </c>
      <c r="B129" s="1974"/>
      <c r="C129" s="1897"/>
      <c r="D129" s="757" t="s">
        <v>154</v>
      </c>
      <c r="E129" s="806">
        <v>7729314745</v>
      </c>
      <c r="F129" s="806" t="s">
        <v>8</v>
      </c>
      <c r="G129" s="812" t="s">
        <v>895</v>
      </c>
      <c r="H129" s="38">
        <f>2847.7*1.2</f>
        <v>3417.24</v>
      </c>
      <c r="I129" s="38">
        <f>2847.7*1.2</f>
        <v>3417.24</v>
      </c>
      <c r="J129" s="38"/>
      <c r="K129" s="38"/>
      <c r="L129" s="38"/>
      <c r="M129" s="10"/>
      <c r="N129" s="38">
        <f>3199.17 *1.2</f>
        <v>3839.0039999999999</v>
      </c>
      <c r="O129" s="38">
        <f>3199.17 *1.2</f>
        <v>3839.0039999999999</v>
      </c>
      <c r="P129" s="10"/>
      <c r="Q129" s="10"/>
      <c r="R129" s="10"/>
      <c r="S129" s="10"/>
      <c r="T129" s="23">
        <v>570.31467900000007</v>
      </c>
      <c r="U129" s="23"/>
      <c r="V129" s="206"/>
      <c r="W129" s="23"/>
      <c r="X129" s="23"/>
      <c r="Y129" s="23"/>
      <c r="Z129" s="23">
        <f t="shared" si="131"/>
        <v>570.31467900000007</v>
      </c>
      <c r="AA129" s="23">
        <v>373.37600699999996</v>
      </c>
      <c r="AB129" s="23"/>
      <c r="AC129" s="206"/>
      <c r="AD129" s="15"/>
      <c r="AE129" s="15"/>
      <c r="AF129" s="15"/>
      <c r="AG129" s="35">
        <f t="shared" si="132"/>
        <v>373.37600699999996</v>
      </c>
      <c r="AH129" s="35">
        <f t="shared" si="113"/>
        <v>943.69068600000003</v>
      </c>
      <c r="AI129" s="15">
        <f t="shared" si="134"/>
        <v>943.69068600000003</v>
      </c>
      <c r="AJ129" s="15">
        <f t="shared" si="134"/>
        <v>0</v>
      </c>
      <c r="AK129" s="15">
        <f t="shared" si="134"/>
        <v>0</v>
      </c>
      <c r="AL129" s="15">
        <f t="shared" si="134"/>
        <v>0</v>
      </c>
      <c r="AM129" s="15">
        <f t="shared" si="133"/>
        <v>0</v>
      </c>
      <c r="AN129" s="15"/>
      <c r="AO129" s="15">
        <f t="shared" si="85"/>
        <v>943.69068600000003</v>
      </c>
      <c r="AP129" s="15">
        <f t="shared" si="86"/>
        <v>943.69068600000003</v>
      </c>
      <c r="AQ129" s="17">
        <f t="shared" si="81"/>
        <v>943.69068600000003</v>
      </c>
      <c r="AR129" s="127">
        <f t="shared" si="114"/>
        <v>0</v>
      </c>
      <c r="AS129" s="112">
        <f t="shared" si="146"/>
        <v>3224817.5598266399</v>
      </c>
      <c r="AT129" s="112">
        <f t="shared" si="146"/>
        <v>0</v>
      </c>
      <c r="AU129" s="112">
        <f t="shared" si="146"/>
        <v>0</v>
      </c>
      <c r="AV129" s="112">
        <f t="shared" si="146"/>
        <v>0</v>
      </c>
      <c r="AW129" s="112">
        <f t="shared" si="146"/>
        <v>0</v>
      </c>
      <c r="AX129" s="112">
        <f t="shared" si="115"/>
        <v>3224817.5598266399</v>
      </c>
      <c r="AY129" s="112">
        <f t="shared" si="116"/>
        <v>3224817.5598266399</v>
      </c>
      <c r="AZ129" s="112">
        <f t="shared" si="147"/>
        <v>3622832.3183167442</v>
      </c>
      <c r="BA129" s="112">
        <f t="shared" si="147"/>
        <v>0</v>
      </c>
      <c r="BB129" s="112">
        <f t="shared" si="147"/>
        <v>0</v>
      </c>
      <c r="BC129" s="112">
        <f t="shared" si="147"/>
        <v>0</v>
      </c>
      <c r="BD129" s="112">
        <f t="shared" si="147"/>
        <v>0</v>
      </c>
      <c r="BE129" s="112">
        <f t="shared" si="117"/>
        <v>3622832.3183167442</v>
      </c>
      <c r="BF129" s="112">
        <f t="shared" si="118"/>
        <v>3622832.3183167442</v>
      </c>
      <c r="BG129" s="623">
        <f>(I129-J129)/1.2*U129/1000+(I129-K129)/1.2*V129/1000</f>
        <v>0</v>
      </c>
      <c r="BH129" s="624">
        <f>(O129-P129)/1.2*AB129/1000+(O129-Q129)/1.2*AC129/1000</f>
        <v>0</v>
      </c>
      <c r="BI129" s="623">
        <f t="shared" ref="BI129:BI140" si="148">BG129+BH129</f>
        <v>0</v>
      </c>
      <c r="BJ129" s="112"/>
      <c r="BK129" s="112"/>
      <c r="BL129" s="112">
        <f t="shared" si="141"/>
        <v>1948902.13366596</v>
      </c>
      <c r="BM129" s="112">
        <f t="shared" si="141"/>
        <v>0</v>
      </c>
      <c r="BN129" s="112">
        <f t="shared" si="141"/>
        <v>0</v>
      </c>
      <c r="BO129" s="112">
        <f t="shared" si="141"/>
        <v>0</v>
      </c>
      <c r="BP129" s="112">
        <f t="shared" si="141"/>
        <v>0</v>
      </c>
      <c r="BQ129" s="112">
        <f t="shared" si="119"/>
        <v>1948902.13366596</v>
      </c>
      <c r="BR129" s="112">
        <f t="shared" si="120"/>
        <v>1948902.13366596</v>
      </c>
      <c r="BS129" s="112">
        <f t="shared" si="142"/>
        <v>1433391.9843770277</v>
      </c>
      <c r="BT129" s="112">
        <f t="shared" si="142"/>
        <v>0</v>
      </c>
      <c r="BU129" s="112">
        <f t="shared" si="142"/>
        <v>0</v>
      </c>
      <c r="BV129" s="112">
        <f t="shared" si="93"/>
        <v>0</v>
      </c>
      <c r="BW129" s="112">
        <f t="shared" si="94"/>
        <v>0</v>
      </c>
      <c r="BX129" s="112">
        <f t="shared" si="121"/>
        <v>1433391.9843770277</v>
      </c>
      <c r="BY129" s="112">
        <f t="shared" si="122"/>
        <v>1433391.9843770277</v>
      </c>
      <c r="BZ129" s="113">
        <f t="shared" si="91"/>
        <v>0</v>
      </c>
      <c r="CA129" s="113">
        <f t="shared" si="91"/>
        <v>0</v>
      </c>
      <c r="CB129" s="113">
        <f t="shared" si="123"/>
        <v>0</v>
      </c>
      <c r="CC129" s="119" t="e">
        <f t="shared" si="92"/>
        <v>#DIV/0!</v>
      </c>
      <c r="CD129" s="119" t="e">
        <f t="shared" si="92"/>
        <v>#DIV/0!</v>
      </c>
      <c r="CE129" s="119" t="e">
        <f t="shared" si="124"/>
        <v>#DIV/0!</v>
      </c>
      <c r="CF129" s="113" t="e">
        <f t="shared" si="95"/>
        <v>#DIV/0!</v>
      </c>
      <c r="CG129" s="619">
        <f t="shared" si="96"/>
        <v>0</v>
      </c>
      <c r="CH129" s="132" t="e">
        <f t="shared" si="125"/>
        <v>#DIV/0!</v>
      </c>
      <c r="CI129" s="106"/>
      <c r="CJ129" s="112">
        <f t="shared" si="97"/>
        <v>1948.90213366596</v>
      </c>
      <c r="CK129" s="112">
        <f t="shared" si="98"/>
        <v>1433.3919843770277</v>
      </c>
      <c r="CL129" s="112">
        <f t="shared" si="84"/>
        <v>3382.294118042988</v>
      </c>
      <c r="CM129" s="112">
        <f t="shared" si="99"/>
        <v>3382294.1180429878</v>
      </c>
      <c r="CN129" s="112">
        <f t="shared" si="100"/>
        <v>3224817.5598266399</v>
      </c>
      <c r="CO129" s="112">
        <f t="shared" si="101"/>
        <v>3224817.5598266399</v>
      </c>
      <c r="CP129" s="112">
        <f t="shared" si="102"/>
        <v>1948902.13366596</v>
      </c>
      <c r="CQ129" s="112">
        <f t="shared" si="103"/>
        <v>3622832.3183167442</v>
      </c>
      <c r="CR129" s="112">
        <f t="shared" si="104"/>
        <v>3622832.3183167442</v>
      </c>
      <c r="CS129" s="112">
        <f t="shared" si="105"/>
        <v>1433391.9843770277</v>
      </c>
      <c r="CT129" s="112">
        <f t="shared" si="126"/>
        <v>6847649.8781433841</v>
      </c>
      <c r="CU129" s="124">
        <f t="shared" si="127"/>
        <v>7256244</v>
      </c>
      <c r="CV129" s="112">
        <f t="shared" si="106"/>
        <v>0</v>
      </c>
      <c r="CW129" s="112">
        <f t="shared" si="107"/>
        <v>0</v>
      </c>
      <c r="CX129" s="112">
        <f t="shared" si="128"/>
        <v>0</v>
      </c>
      <c r="CY129" s="112">
        <f t="shared" si="108"/>
        <v>3224817.5598266399</v>
      </c>
      <c r="CZ129" s="112">
        <f t="shared" si="109"/>
        <v>3622832.3183167442</v>
      </c>
      <c r="DA129" s="106"/>
      <c r="DB129" s="128" t="e">
        <f t="shared" si="129"/>
        <v>#DIV/0!</v>
      </c>
      <c r="DC129" s="106"/>
      <c r="DD129" s="106"/>
      <c r="DE129" s="106"/>
      <c r="DF129" s="106"/>
      <c r="DG129" s="618">
        <f t="shared" si="110"/>
        <v>0</v>
      </c>
      <c r="DH129" s="618">
        <f t="shared" si="111"/>
        <v>0</v>
      </c>
      <c r="DI129" s="618">
        <f t="shared" si="112"/>
        <v>0</v>
      </c>
      <c r="DJ129" s="115"/>
    </row>
    <row r="130" spans="1:114" s="13" customFormat="1" ht="60" hidden="1" customHeight="1">
      <c r="A130" s="695">
        <f t="shared" si="130"/>
        <v>115</v>
      </c>
      <c r="B130" s="1897"/>
      <c r="C130" s="1897"/>
      <c r="D130" s="808" t="s">
        <v>137</v>
      </c>
      <c r="E130" s="808">
        <v>4632001454</v>
      </c>
      <c r="F130" s="696" t="s">
        <v>8</v>
      </c>
      <c r="G130" s="808" t="s">
        <v>906</v>
      </c>
      <c r="H130" s="697">
        <v>3125.12</v>
      </c>
      <c r="I130" s="697">
        <v>0</v>
      </c>
      <c r="J130" s="697">
        <v>0</v>
      </c>
      <c r="K130" s="697">
        <v>0</v>
      </c>
      <c r="L130" s="697">
        <v>3125.12</v>
      </c>
      <c r="M130" s="698">
        <v>0</v>
      </c>
      <c r="N130" s="698">
        <v>3535.64</v>
      </c>
      <c r="O130" s="698">
        <v>0</v>
      </c>
      <c r="P130" s="698">
        <v>0</v>
      </c>
      <c r="Q130" s="698">
        <v>0</v>
      </c>
      <c r="R130" s="698">
        <v>3535.64</v>
      </c>
      <c r="S130" s="698">
        <v>0</v>
      </c>
      <c r="T130" s="699">
        <v>0</v>
      </c>
      <c r="U130" s="699">
        <v>0</v>
      </c>
      <c r="V130" s="699">
        <v>0</v>
      </c>
      <c r="W130" s="704">
        <v>472</v>
      </c>
      <c r="X130" s="699">
        <v>0</v>
      </c>
      <c r="Y130" s="704">
        <v>3563.5</v>
      </c>
      <c r="Z130" s="99">
        <f t="shared" si="131"/>
        <v>472</v>
      </c>
      <c r="AA130" s="699">
        <v>0</v>
      </c>
      <c r="AB130" s="699">
        <v>0</v>
      </c>
      <c r="AC130" s="699">
        <v>0</v>
      </c>
      <c r="AD130" s="704">
        <v>275</v>
      </c>
      <c r="AE130" s="699">
        <v>0</v>
      </c>
      <c r="AF130" s="704">
        <v>2915.6</v>
      </c>
      <c r="AG130" s="99">
        <f t="shared" si="132"/>
        <v>275</v>
      </c>
      <c r="AH130" s="99">
        <f t="shared" si="113"/>
        <v>747</v>
      </c>
      <c r="AI130" s="18">
        <f t="shared" si="134"/>
        <v>0</v>
      </c>
      <c r="AJ130" s="18">
        <f t="shared" si="134"/>
        <v>0</v>
      </c>
      <c r="AK130" s="18">
        <f t="shared" si="134"/>
        <v>0</v>
      </c>
      <c r="AL130" s="702">
        <f t="shared" si="134"/>
        <v>747</v>
      </c>
      <c r="AM130" s="18">
        <f t="shared" si="133"/>
        <v>0</v>
      </c>
      <c r="AN130" s="18"/>
      <c r="AO130" s="702">
        <f>SUM(AI130:AN130)</f>
        <v>747</v>
      </c>
      <c r="AP130" s="702">
        <f t="shared" si="86"/>
        <v>747</v>
      </c>
      <c r="AQ130" s="703">
        <f t="shared" si="81"/>
        <v>747</v>
      </c>
      <c r="AR130" s="99">
        <f t="shared" si="114"/>
        <v>0</v>
      </c>
      <c r="AS130" s="18">
        <f t="shared" si="146"/>
        <v>0</v>
      </c>
      <c r="AT130" s="18">
        <f t="shared" si="146"/>
        <v>0</v>
      </c>
      <c r="AU130" s="18">
        <f t="shared" si="146"/>
        <v>0</v>
      </c>
      <c r="AV130" s="18">
        <f t="shared" si="146"/>
        <v>2334464.64</v>
      </c>
      <c r="AW130" s="18">
        <f t="shared" si="146"/>
        <v>0</v>
      </c>
      <c r="AX130" s="18">
        <f t="shared" si="115"/>
        <v>2334464.64</v>
      </c>
      <c r="AY130" s="18">
        <f t="shared" si="116"/>
        <v>2334464.64</v>
      </c>
      <c r="AZ130" s="18">
        <f t="shared" si="147"/>
        <v>0</v>
      </c>
      <c r="BA130" s="18">
        <f t="shared" si="147"/>
        <v>0</v>
      </c>
      <c r="BB130" s="18">
        <f t="shared" si="147"/>
        <v>0</v>
      </c>
      <c r="BC130" s="18">
        <f t="shared" si="147"/>
        <v>2641123.08</v>
      </c>
      <c r="BD130" s="18">
        <f t="shared" si="147"/>
        <v>0</v>
      </c>
      <c r="BE130" s="18">
        <f t="shared" si="117"/>
        <v>2641123.08</v>
      </c>
      <c r="BF130" s="18">
        <f t="shared" si="118"/>
        <v>2641123.08</v>
      </c>
      <c r="BG130" s="18">
        <v>0</v>
      </c>
      <c r="BH130" s="18">
        <v>0</v>
      </c>
      <c r="BI130" s="18">
        <f t="shared" si="148"/>
        <v>0</v>
      </c>
      <c r="BJ130" s="29">
        <v>19909.953029100812</v>
      </c>
      <c r="BK130" s="29">
        <v>14252.69</v>
      </c>
      <c r="BL130" s="18">
        <f t="shared" si="141"/>
        <v>0</v>
      </c>
      <c r="BM130" s="18">
        <f t="shared" si="141"/>
        <v>0</v>
      </c>
      <c r="BN130" s="18">
        <f t="shared" si="141"/>
        <v>0</v>
      </c>
      <c r="BO130" s="18">
        <f t="shared" si="141"/>
        <v>1475056.6399999999</v>
      </c>
      <c r="BP130" s="18">
        <f t="shared" si="141"/>
        <v>0</v>
      </c>
      <c r="BQ130" s="18">
        <f t="shared" si="119"/>
        <v>1475056.6399999999</v>
      </c>
      <c r="BR130" s="18">
        <f t="shared" si="120"/>
        <v>1475056.6399999999</v>
      </c>
      <c r="BS130" s="18">
        <f t="shared" si="142"/>
        <v>0</v>
      </c>
      <c r="BT130" s="18">
        <f t="shared" si="142"/>
        <v>0</v>
      </c>
      <c r="BU130" s="18">
        <f t="shared" si="142"/>
        <v>0</v>
      </c>
      <c r="BV130" s="18">
        <f t="shared" si="93"/>
        <v>1668822.0799999998</v>
      </c>
      <c r="BW130" s="18">
        <f t="shared" si="94"/>
        <v>0</v>
      </c>
      <c r="BX130" s="18">
        <f t="shared" si="121"/>
        <v>1668822.0799999998</v>
      </c>
      <c r="BY130" s="18">
        <f t="shared" si="122"/>
        <v>1668822.0799999998</v>
      </c>
      <c r="BZ130" s="161">
        <f t="shared" si="91"/>
        <v>0</v>
      </c>
      <c r="CA130" s="161">
        <f t="shared" si="91"/>
        <v>0</v>
      </c>
      <c r="CB130" s="161">
        <f t="shared" si="123"/>
        <v>0</v>
      </c>
      <c r="CC130" s="162" t="e">
        <f t="shared" si="92"/>
        <v>#DIV/0!</v>
      </c>
      <c r="CD130" s="162" t="e">
        <f t="shared" si="92"/>
        <v>#DIV/0!</v>
      </c>
      <c r="CE130" s="162" t="e">
        <f t="shared" si="124"/>
        <v>#DIV/0!</v>
      </c>
      <c r="CF130" s="161" t="e">
        <f t="shared" si="95"/>
        <v>#DIV/0!</v>
      </c>
      <c r="CG130" s="651">
        <f t="shared" si="96"/>
        <v>0</v>
      </c>
      <c r="CH130" s="652" t="e">
        <f t="shared" si="125"/>
        <v>#DIV/0!</v>
      </c>
      <c r="CJ130" s="18">
        <f t="shared" si="97"/>
        <v>1475.0566399999998</v>
      </c>
      <c r="CK130" s="18">
        <f t="shared" si="98"/>
        <v>972.30100000000004</v>
      </c>
      <c r="CL130" s="18">
        <f t="shared" si="84"/>
        <v>2447.3576399999997</v>
      </c>
      <c r="CM130" s="18">
        <f t="shared" si="99"/>
        <v>2447357.6399999997</v>
      </c>
      <c r="CN130" s="18">
        <f t="shared" si="100"/>
        <v>2334464.64</v>
      </c>
      <c r="CO130" s="18">
        <f t="shared" si="101"/>
        <v>2334464.64</v>
      </c>
      <c r="CP130" s="18">
        <f t="shared" si="102"/>
        <v>1475056.6399999999</v>
      </c>
      <c r="CQ130" s="18">
        <f t="shared" si="103"/>
        <v>2641123.08</v>
      </c>
      <c r="CR130" s="18">
        <f t="shared" si="104"/>
        <v>2641123.08</v>
      </c>
      <c r="CS130" s="18">
        <f t="shared" si="105"/>
        <v>972301</v>
      </c>
      <c r="CT130" s="18">
        <f t="shared" si="126"/>
        <v>4975587.7200000007</v>
      </c>
      <c r="CU130" s="29">
        <f t="shared" si="127"/>
        <v>6660760.0000000009</v>
      </c>
      <c r="CV130" s="18">
        <f t="shared" si="106"/>
        <v>0</v>
      </c>
      <c r="CW130" s="18">
        <f t="shared" si="107"/>
        <v>0</v>
      </c>
      <c r="CX130" s="18">
        <f t="shared" si="128"/>
        <v>0</v>
      </c>
      <c r="CY130" s="18">
        <f t="shared" si="108"/>
        <v>2334464.64</v>
      </c>
      <c r="CZ130" s="18">
        <f t="shared" si="109"/>
        <v>2641123.08</v>
      </c>
      <c r="DB130" s="653" t="e">
        <f t="shared" si="129"/>
        <v>#DIV/0!</v>
      </c>
      <c r="DG130" s="701">
        <f t="shared" si="110"/>
        <v>0</v>
      </c>
      <c r="DH130" s="701">
        <f t="shared" si="111"/>
        <v>0</v>
      </c>
      <c r="DI130" s="701">
        <f t="shared" si="112"/>
        <v>0</v>
      </c>
    </row>
    <row r="131" spans="1:114" s="100" customFormat="1" ht="63.75" hidden="1" customHeight="1">
      <c r="A131" s="20">
        <f t="shared" si="130"/>
        <v>116</v>
      </c>
      <c r="B131" s="1969"/>
      <c r="C131" s="1897"/>
      <c r="D131" s="696" t="s">
        <v>49</v>
      </c>
      <c r="E131" s="696">
        <v>4632033706</v>
      </c>
      <c r="F131" s="696" t="s">
        <v>184</v>
      </c>
      <c r="G131" s="808" t="s">
        <v>908</v>
      </c>
      <c r="H131" s="697">
        <f>160.37*1.2</f>
        <v>192.44399999999999</v>
      </c>
      <c r="I131" s="697">
        <v>0</v>
      </c>
      <c r="J131" s="697">
        <v>0</v>
      </c>
      <c r="K131" s="697">
        <v>0</v>
      </c>
      <c r="L131" s="697">
        <f>H131</f>
        <v>192.44399999999999</v>
      </c>
      <c r="M131" s="698">
        <v>0</v>
      </c>
      <c r="N131" s="698">
        <f>H131</f>
        <v>192.44399999999999</v>
      </c>
      <c r="O131" s="698">
        <v>0</v>
      </c>
      <c r="P131" s="698">
        <v>0</v>
      </c>
      <c r="Q131" s="698">
        <v>0</v>
      </c>
      <c r="R131" s="653">
        <f>N131</f>
        <v>192.44399999999999</v>
      </c>
      <c r="S131" s="10">
        <v>0</v>
      </c>
      <c r="T131" s="15"/>
      <c r="U131" s="15"/>
      <c r="V131" s="208"/>
      <c r="W131" s="15"/>
      <c r="X131" s="15"/>
      <c r="Y131" s="15"/>
      <c r="Z131" s="35">
        <f t="shared" si="131"/>
        <v>0</v>
      </c>
      <c r="AA131" s="15"/>
      <c r="AB131" s="15"/>
      <c r="AC131" s="208"/>
      <c r="AD131" s="15"/>
      <c r="AE131" s="15"/>
      <c r="AF131" s="15">
        <v>0</v>
      </c>
      <c r="AG131" s="35">
        <f t="shared" si="132"/>
        <v>0</v>
      </c>
      <c r="AH131" s="35">
        <f t="shared" si="113"/>
        <v>0</v>
      </c>
      <c r="AI131" s="15">
        <f t="shared" si="134"/>
        <v>0</v>
      </c>
      <c r="AJ131" s="15">
        <f t="shared" si="134"/>
        <v>0</v>
      </c>
      <c r="AK131" s="15">
        <f t="shared" si="134"/>
        <v>0</v>
      </c>
      <c r="AL131" s="15">
        <f t="shared" si="134"/>
        <v>0</v>
      </c>
      <c r="AM131" s="15">
        <f t="shared" si="133"/>
        <v>0</v>
      </c>
      <c r="AN131" s="15"/>
      <c r="AO131" s="15">
        <f t="shared" si="85"/>
        <v>0</v>
      </c>
      <c r="AP131" s="15">
        <f t="shared" si="86"/>
        <v>0</v>
      </c>
      <c r="AQ131" s="15">
        <f t="shared" si="81"/>
        <v>0</v>
      </c>
      <c r="AR131" s="127">
        <f t="shared" si="114"/>
        <v>0</v>
      </c>
      <c r="AS131" s="112">
        <f t="shared" si="146"/>
        <v>0</v>
      </c>
      <c r="AT131" s="112">
        <f t="shared" si="146"/>
        <v>0</v>
      </c>
      <c r="AU131" s="112">
        <f t="shared" si="146"/>
        <v>0</v>
      </c>
      <c r="AV131" s="112">
        <f t="shared" si="146"/>
        <v>0</v>
      </c>
      <c r="AW131" s="112">
        <f t="shared" si="146"/>
        <v>0</v>
      </c>
      <c r="AX131" s="112">
        <f t="shared" si="115"/>
        <v>0</v>
      </c>
      <c r="AY131" s="112">
        <f t="shared" si="116"/>
        <v>0</v>
      </c>
      <c r="AZ131" s="112">
        <f t="shared" si="147"/>
        <v>0</v>
      </c>
      <c r="BA131" s="112">
        <f t="shared" si="147"/>
        <v>0</v>
      </c>
      <c r="BB131" s="112">
        <f t="shared" si="147"/>
        <v>0</v>
      </c>
      <c r="BC131" s="112">
        <f t="shared" si="147"/>
        <v>0</v>
      </c>
      <c r="BD131" s="112">
        <f t="shared" si="147"/>
        <v>0</v>
      </c>
      <c r="BE131" s="112">
        <f t="shared" si="117"/>
        <v>0</v>
      </c>
      <c r="BF131" s="112">
        <f t="shared" si="118"/>
        <v>0</v>
      </c>
      <c r="BG131" s="112"/>
      <c r="BH131" s="112"/>
      <c r="BI131" s="112">
        <f t="shared" si="148"/>
        <v>0</v>
      </c>
      <c r="BJ131" s="124">
        <v>30669.495915401152</v>
      </c>
      <c r="BK131" s="112">
        <v>30733.289999999997</v>
      </c>
      <c r="BL131" s="112">
        <f t="shared" ref="BL131:BP140" si="149">I131*T131</f>
        <v>0</v>
      </c>
      <c r="BM131" s="112">
        <f t="shared" si="149"/>
        <v>0</v>
      </c>
      <c r="BN131" s="112">
        <f t="shared" si="149"/>
        <v>0</v>
      </c>
      <c r="BO131" s="112">
        <f t="shared" si="149"/>
        <v>0</v>
      </c>
      <c r="BP131" s="112">
        <v>0</v>
      </c>
      <c r="BQ131" s="112">
        <f t="shared" si="119"/>
        <v>0</v>
      </c>
      <c r="BR131" s="112">
        <f t="shared" si="120"/>
        <v>0</v>
      </c>
      <c r="BS131" s="112">
        <f t="shared" si="142"/>
        <v>0</v>
      </c>
      <c r="BT131" s="112">
        <f t="shared" si="142"/>
        <v>0</v>
      </c>
      <c r="BU131" s="112">
        <f t="shared" si="142"/>
        <v>0</v>
      </c>
      <c r="BV131" s="112">
        <f t="shared" si="93"/>
        <v>0</v>
      </c>
      <c r="BW131" s="112">
        <v>0</v>
      </c>
      <c r="BX131" s="112">
        <f t="shared" si="121"/>
        <v>0</v>
      </c>
      <c r="BY131" s="112">
        <f t="shared" si="122"/>
        <v>0</v>
      </c>
      <c r="BZ131" s="113">
        <f t="shared" si="91"/>
        <v>0</v>
      </c>
      <c r="CA131" s="113">
        <f t="shared" si="91"/>
        <v>0</v>
      </c>
      <c r="CB131" s="113">
        <f t="shared" si="123"/>
        <v>0</v>
      </c>
      <c r="CC131" s="119" t="e">
        <f t="shared" si="92"/>
        <v>#DIV/0!</v>
      </c>
      <c r="CD131" s="119" t="e">
        <f t="shared" si="92"/>
        <v>#DIV/0!</v>
      </c>
      <c r="CE131" s="119" t="e">
        <f t="shared" si="124"/>
        <v>#DIV/0!</v>
      </c>
      <c r="CF131" s="113" t="e">
        <f t="shared" si="95"/>
        <v>#DIV/0!</v>
      </c>
      <c r="CG131" s="619">
        <f t="shared" si="96"/>
        <v>0</v>
      </c>
      <c r="CH131" s="132" t="e">
        <f t="shared" si="125"/>
        <v>#DIV/0!</v>
      </c>
      <c r="CI131" s="106"/>
      <c r="CJ131" s="112">
        <f t="shared" si="97"/>
        <v>0</v>
      </c>
      <c r="CK131" s="112">
        <f t="shared" si="98"/>
        <v>0</v>
      </c>
      <c r="CL131" s="112">
        <f t="shared" si="84"/>
        <v>0</v>
      </c>
      <c r="CM131" s="112">
        <f t="shared" si="99"/>
        <v>0</v>
      </c>
      <c r="CN131" s="112">
        <f t="shared" si="100"/>
        <v>0</v>
      </c>
      <c r="CO131" s="112">
        <f t="shared" si="101"/>
        <v>0</v>
      </c>
      <c r="CP131" s="112">
        <f t="shared" si="102"/>
        <v>0</v>
      </c>
      <c r="CQ131" s="112">
        <f t="shared" si="103"/>
        <v>0</v>
      </c>
      <c r="CR131" s="112">
        <f t="shared" si="104"/>
        <v>0</v>
      </c>
      <c r="CS131" s="112">
        <f t="shared" si="105"/>
        <v>0</v>
      </c>
      <c r="CT131" s="112">
        <f t="shared" si="126"/>
        <v>0</v>
      </c>
      <c r="CU131" s="124" t="e">
        <f t="shared" si="127"/>
        <v>#DIV/0!</v>
      </c>
      <c r="CV131" s="112">
        <f t="shared" si="106"/>
        <v>0</v>
      </c>
      <c r="CW131" s="112">
        <f t="shared" si="107"/>
        <v>0</v>
      </c>
      <c r="CX131" s="112">
        <f t="shared" si="128"/>
        <v>0</v>
      </c>
      <c r="CY131" s="112">
        <f t="shared" si="108"/>
        <v>0</v>
      </c>
      <c r="CZ131" s="112">
        <f t="shared" si="109"/>
        <v>0</v>
      </c>
      <c r="DA131" s="106"/>
      <c r="DB131" s="128" t="e">
        <f t="shared" si="129"/>
        <v>#DIV/0!</v>
      </c>
      <c r="DC131" s="106"/>
      <c r="DD131" s="106"/>
      <c r="DE131" s="106"/>
      <c r="DF131" s="106"/>
      <c r="DG131" s="618">
        <f t="shared" si="110"/>
        <v>0</v>
      </c>
      <c r="DH131" s="618">
        <f t="shared" si="111"/>
        <v>0</v>
      </c>
      <c r="DI131" s="618">
        <f t="shared" si="112"/>
        <v>0</v>
      </c>
      <c r="DJ131" s="172"/>
    </row>
    <row r="132" spans="1:114" s="13" customFormat="1" ht="62.25" hidden="1" customHeight="1">
      <c r="A132" s="695">
        <f t="shared" si="130"/>
        <v>117</v>
      </c>
      <c r="B132" s="1897"/>
      <c r="C132" s="1897"/>
      <c r="D132" s="696" t="s">
        <v>50</v>
      </c>
      <c r="E132" s="696">
        <v>4632032678</v>
      </c>
      <c r="F132" s="696" t="s">
        <v>8</v>
      </c>
      <c r="G132" s="808" t="s">
        <v>863</v>
      </c>
      <c r="H132" s="697">
        <v>2257.9299999999998</v>
      </c>
      <c r="I132" s="697">
        <v>2257.9299999999998</v>
      </c>
      <c r="J132" s="697">
        <v>0</v>
      </c>
      <c r="K132" s="697">
        <v>0</v>
      </c>
      <c r="L132" s="697">
        <v>2257.9299999999998</v>
      </c>
      <c r="M132" s="698">
        <v>0</v>
      </c>
      <c r="N132" s="698">
        <f>2004.66*1.2</f>
        <v>2405.5920000000001</v>
      </c>
      <c r="O132" s="698">
        <f>N132</f>
        <v>2405.5920000000001</v>
      </c>
      <c r="P132" s="698">
        <v>0</v>
      </c>
      <c r="Q132" s="698">
        <v>0</v>
      </c>
      <c r="R132" s="698">
        <f>N132</f>
        <v>2405.5920000000001</v>
      </c>
      <c r="S132" s="698">
        <v>0</v>
      </c>
      <c r="T132" s="699">
        <v>201.3</v>
      </c>
      <c r="U132" s="699">
        <v>0</v>
      </c>
      <c r="V132" s="699">
        <v>0</v>
      </c>
      <c r="W132" s="700">
        <v>3840.48</v>
      </c>
      <c r="X132" s="699">
        <v>0</v>
      </c>
      <c r="Y132" s="699">
        <v>0</v>
      </c>
      <c r="Z132" s="99">
        <f>SUM(T132:W132)</f>
        <v>4041.78</v>
      </c>
      <c r="AA132" s="699">
        <v>128.69999999999999</v>
      </c>
      <c r="AB132" s="699">
        <v>0</v>
      </c>
      <c r="AC132" s="699">
        <v>0</v>
      </c>
      <c r="AD132" s="700">
        <v>3271.52</v>
      </c>
      <c r="AE132" s="699">
        <v>0</v>
      </c>
      <c r="AF132" s="699">
        <v>0</v>
      </c>
      <c r="AG132" s="99">
        <f>SUM(AA132:AD132)</f>
        <v>3400.22</v>
      </c>
      <c r="AH132" s="99">
        <f t="shared" si="113"/>
        <v>7442</v>
      </c>
      <c r="AI132" s="18">
        <f t="shared" si="134"/>
        <v>330</v>
      </c>
      <c r="AJ132" s="18">
        <f t="shared" si="134"/>
        <v>0</v>
      </c>
      <c r="AK132" s="18">
        <f t="shared" si="134"/>
        <v>0</v>
      </c>
      <c r="AL132" s="702">
        <f t="shared" si="134"/>
        <v>7112</v>
      </c>
      <c r="AM132" s="18">
        <f t="shared" si="133"/>
        <v>0</v>
      </c>
      <c r="AN132" s="18"/>
      <c r="AO132" s="702">
        <f t="shared" si="85"/>
        <v>7442</v>
      </c>
      <c r="AP132" s="702">
        <f t="shared" si="86"/>
        <v>7442</v>
      </c>
      <c r="AQ132" s="703">
        <f t="shared" si="81"/>
        <v>7442</v>
      </c>
      <c r="AR132" s="99">
        <f t="shared" si="114"/>
        <v>0</v>
      </c>
      <c r="AS132" s="18">
        <f t="shared" si="146"/>
        <v>745116.89999999991</v>
      </c>
      <c r="AT132" s="18">
        <f t="shared" si="146"/>
        <v>0</v>
      </c>
      <c r="AU132" s="18">
        <f t="shared" si="146"/>
        <v>0</v>
      </c>
      <c r="AV132" s="12">
        <f t="shared" si="146"/>
        <v>16058398.159999998</v>
      </c>
      <c r="AW132" s="12">
        <f t="shared" si="146"/>
        <v>0</v>
      </c>
      <c r="AX132" s="18">
        <f t="shared" si="115"/>
        <v>16803515.059999999</v>
      </c>
      <c r="AY132" s="18">
        <f t="shared" si="116"/>
        <v>16803515.059999999</v>
      </c>
      <c r="AZ132" s="18">
        <f t="shared" si="147"/>
        <v>793845.36</v>
      </c>
      <c r="BA132" s="18">
        <f t="shared" si="147"/>
        <v>0</v>
      </c>
      <c r="BB132" s="18">
        <f t="shared" si="147"/>
        <v>0</v>
      </c>
      <c r="BC132" s="18">
        <f t="shared" si="147"/>
        <v>17108570.304000001</v>
      </c>
      <c r="BD132" s="18">
        <f t="shared" si="147"/>
        <v>0</v>
      </c>
      <c r="BE132" s="18">
        <f t="shared" si="117"/>
        <v>17902415.664000001</v>
      </c>
      <c r="BF132" s="18">
        <f t="shared" si="118"/>
        <v>17902415.664000001</v>
      </c>
      <c r="BG132" s="18">
        <v>0</v>
      </c>
      <c r="BH132" s="18">
        <v>0</v>
      </c>
      <c r="BI132" s="18">
        <f t="shared" si="148"/>
        <v>0</v>
      </c>
      <c r="BJ132" s="29">
        <v>14421.328978950489</v>
      </c>
      <c r="BK132" s="29">
        <v>13244.1</v>
      </c>
      <c r="BL132" s="18">
        <f t="shared" si="149"/>
        <v>454521.30900000001</v>
      </c>
      <c r="BM132" s="18">
        <f t="shared" si="149"/>
        <v>0</v>
      </c>
      <c r="BN132" s="18">
        <f t="shared" si="149"/>
        <v>0</v>
      </c>
      <c r="BO132" s="18">
        <f t="shared" si="149"/>
        <v>8671535.0064000003</v>
      </c>
      <c r="BP132" s="18">
        <f t="shared" si="149"/>
        <v>0</v>
      </c>
      <c r="BQ132" s="18">
        <f t="shared" si="119"/>
        <v>9126056.3154000007</v>
      </c>
      <c r="BR132" s="18">
        <f t="shared" si="120"/>
        <v>9126056.3154000007</v>
      </c>
      <c r="BS132" s="18">
        <f t="shared" si="142"/>
        <v>309599.69039999996</v>
      </c>
      <c r="BT132" s="18">
        <f t="shared" si="142"/>
        <v>0</v>
      </c>
      <c r="BU132" s="18">
        <f t="shared" si="142"/>
        <v>0</v>
      </c>
      <c r="BV132" s="18">
        <f t="shared" si="93"/>
        <v>9238627.9641600009</v>
      </c>
      <c r="BW132" s="18">
        <f t="shared" ref="BW132:BW141" si="150">S132*AE132</f>
        <v>0</v>
      </c>
      <c r="BX132" s="18">
        <f t="shared" si="121"/>
        <v>9548227.6545600016</v>
      </c>
      <c r="BY132" s="18">
        <f t="shared" si="122"/>
        <v>9548227.6545600016</v>
      </c>
      <c r="BZ132" s="161">
        <f t="shared" si="91"/>
        <v>0</v>
      </c>
      <c r="CA132" s="161">
        <f t="shared" si="91"/>
        <v>0</v>
      </c>
      <c r="CB132" s="161">
        <f t="shared" si="123"/>
        <v>0</v>
      </c>
      <c r="CC132" s="162" t="e">
        <f t="shared" si="92"/>
        <v>#DIV/0!</v>
      </c>
      <c r="CD132" s="162" t="e">
        <f t="shared" si="92"/>
        <v>#DIV/0!</v>
      </c>
      <c r="CE132" s="162" t="e">
        <f t="shared" si="124"/>
        <v>#DIV/0!</v>
      </c>
      <c r="CF132" s="161" t="e">
        <f t="shared" si="95"/>
        <v>#DIV/0!</v>
      </c>
      <c r="CG132" s="651">
        <f t="shared" si="96"/>
        <v>0</v>
      </c>
      <c r="CH132" s="652" t="e">
        <f t="shared" si="125"/>
        <v>#DIV/0!</v>
      </c>
      <c r="CJ132" s="18">
        <f t="shared" si="97"/>
        <v>9126.056315400001</v>
      </c>
      <c r="CK132" s="18">
        <f t="shared" si="98"/>
        <v>8179.5420302399998</v>
      </c>
      <c r="CL132" s="18">
        <f t="shared" si="84"/>
        <v>17305.598345639999</v>
      </c>
      <c r="CM132" s="18">
        <f t="shared" si="99"/>
        <v>17305598.34564</v>
      </c>
      <c r="CN132" s="18">
        <f t="shared" si="100"/>
        <v>16803515.059999999</v>
      </c>
      <c r="CO132" s="18">
        <f t="shared" si="101"/>
        <v>16803515.059999999</v>
      </c>
      <c r="CP132" s="18">
        <f t="shared" si="102"/>
        <v>9126056.3154000007</v>
      </c>
      <c r="CQ132" s="18">
        <f t="shared" si="103"/>
        <v>17902415.664000001</v>
      </c>
      <c r="CR132" s="18">
        <f t="shared" si="104"/>
        <v>17902415.664000001</v>
      </c>
      <c r="CS132" s="18">
        <f t="shared" si="105"/>
        <v>8179542.0302400002</v>
      </c>
      <c r="CT132" s="18">
        <f t="shared" si="126"/>
        <v>34705930.723999999</v>
      </c>
      <c r="CU132" s="29">
        <f t="shared" si="127"/>
        <v>4663522</v>
      </c>
      <c r="CV132" s="18">
        <f t="shared" si="106"/>
        <v>0</v>
      </c>
      <c r="CW132" s="18">
        <f t="shared" si="107"/>
        <v>0</v>
      </c>
      <c r="CX132" s="18">
        <f t="shared" si="128"/>
        <v>0</v>
      </c>
      <c r="CY132" s="18">
        <f t="shared" si="108"/>
        <v>16803515.059999999</v>
      </c>
      <c r="CZ132" s="18">
        <f t="shared" si="109"/>
        <v>17902415.664000001</v>
      </c>
      <c r="DB132" s="653" t="e">
        <f t="shared" si="129"/>
        <v>#DIV/0!</v>
      </c>
      <c r="DG132" s="701">
        <f t="shared" si="110"/>
        <v>0</v>
      </c>
      <c r="DH132" s="701">
        <f t="shared" si="111"/>
        <v>0</v>
      </c>
      <c r="DI132" s="701">
        <f t="shared" si="112"/>
        <v>0</v>
      </c>
    </row>
    <row r="133" spans="1:114" s="13" customFormat="1" ht="77.25" hidden="1" customHeight="1">
      <c r="A133" s="695">
        <f t="shared" si="130"/>
        <v>118</v>
      </c>
      <c r="B133" s="1897"/>
      <c r="C133" s="1897"/>
      <c r="D133" s="696" t="s">
        <v>51</v>
      </c>
      <c r="E133" s="696">
        <v>4632077904</v>
      </c>
      <c r="F133" s="696" t="s">
        <v>8</v>
      </c>
      <c r="G133" s="808" t="s">
        <v>864</v>
      </c>
      <c r="H133" s="697">
        <v>1069.8</v>
      </c>
      <c r="I133" s="697">
        <v>1069.8</v>
      </c>
      <c r="J133" s="697">
        <v>0</v>
      </c>
      <c r="K133" s="697">
        <v>0</v>
      </c>
      <c r="L133" s="697">
        <v>1069.8</v>
      </c>
      <c r="M133" s="698">
        <v>0</v>
      </c>
      <c r="N133" s="698">
        <f>949.42*1.2</f>
        <v>1139.3039999999999</v>
      </c>
      <c r="O133" s="698">
        <f>N133</f>
        <v>1139.3039999999999</v>
      </c>
      <c r="P133" s="698">
        <v>0</v>
      </c>
      <c r="Q133" s="698">
        <v>0</v>
      </c>
      <c r="R133" s="698">
        <f>N133</f>
        <v>1139.3039999999999</v>
      </c>
      <c r="S133" s="698">
        <v>0</v>
      </c>
      <c r="T133" s="699">
        <v>57</v>
      </c>
      <c r="U133" s="699">
        <v>0</v>
      </c>
      <c r="V133" s="699">
        <v>0</v>
      </c>
      <c r="W133" s="704">
        <v>5107.6000000000004</v>
      </c>
      <c r="X133" s="699">
        <v>0</v>
      </c>
      <c r="Y133" s="699">
        <v>0</v>
      </c>
      <c r="Z133" s="99">
        <f>SUM(T133:W133)</f>
        <v>5164.6000000000004</v>
      </c>
      <c r="AA133" s="699">
        <v>51</v>
      </c>
      <c r="AB133" s="699">
        <v>0</v>
      </c>
      <c r="AC133" s="699">
        <v>0</v>
      </c>
      <c r="AD133" s="704">
        <v>3130.4</v>
      </c>
      <c r="AE133" s="699">
        <v>0</v>
      </c>
      <c r="AF133" s="699">
        <v>0</v>
      </c>
      <c r="AG133" s="99">
        <f>SUM(AA133:AD133)</f>
        <v>3181.4</v>
      </c>
      <c r="AH133" s="99">
        <f>Z133+AG133</f>
        <v>8346</v>
      </c>
      <c r="AI133" s="18">
        <f t="shared" si="134"/>
        <v>108</v>
      </c>
      <c r="AJ133" s="18">
        <f t="shared" si="134"/>
        <v>0</v>
      </c>
      <c r="AK133" s="18">
        <f t="shared" si="134"/>
        <v>0</v>
      </c>
      <c r="AL133" s="702">
        <f>W133+AD133</f>
        <v>8238</v>
      </c>
      <c r="AM133" s="18">
        <f t="shared" si="133"/>
        <v>0</v>
      </c>
      <c r="AN133" s="18"/>
      <c r="AO133" s="18">
        <f>SUM(AI133:AN133)</f>
        <v>8346</v>
      </c>
      <c r="AP133" s="18">
        <f>SUM(AI133:AM133)</f>
        <v>8346</v>
      </c>
      <c r="AQ133" s="12">
        <f>SUM(AI133:AL133)</f>
        <v>8346</v>
      </c>
      <c r="AR133" s="99">
        <f t="shared" si="114"/>
        <v>0</v>
      </c>
      <c r="AS133" s="18">
        <f t="shared" si="146"/>
        <v>115538.4</v>
      </c>
      <c r="AT133" s="18">
        <f t="shared" si="146"/>
        <v>0</v>
      </c>
      <c r="AU133" s="18">
        <f t="shared" si="146"/>
        <v>0</v>
      </c>
      <c r="AV133" s="12">
        <f t="shared" si="146"/>
        <v>8813012.4000000004</v>
      </c>
      <c r="AW133" s="12">
        <f t="shared" si="146"/>
        <v>0</v>
      </c>
      <c r="AX133" s="18">
        <f t="shared" si="115"/>
        <v>8928550.8000000007</v>
      </c>
      <c r="AY133" s="18">
        <f t="shared" si="116"/>
        <v>8928550.8000000007</v>
      </c>
      <c r="AZ133" s="18">
        <f t="shared" si="147"/>
        <v>123044.83199999998</v>
      </c>
      <c r="BA133" s="18">
        <f t="shared" si="147"/>
        <v>0</v>
      </c>
      <c r="BB133" s="18">
        <f t="shared" si="147"/>
        <v>0</v>
      </c>
      <c r="BC133" s="18">
        <f t="shared" si="147"/>
        <v>9385586.3519999981</v>
      </c>
      <c r="BD133" s="18">
        <f t="shared" si="147"/>
        <v>0</v>
      </c>
      <c r="BE133" s="18">
        <f t="shared" si="117"/>
        <v>9508631.1839999985</v>
      </c>
      <c r="BF133" s="18">
        <f t="shared" si="118"/>
        <v>9508631.1839999985</v>
      </c>
      <c r="BG133" s="18">
        <v>0</v>
      </c>
      <c r="BH133" s="18">
        <v>0</v>
      </c>
      <c r="BI133" s="18">
        <f t="shared" si="148"/>
        <v>0</v>
      </c>
      <c r="BJ133" s="29">
        <v>7624.7214919875332</v>
      </c>
      <c r="BK133" s="29">
        <v>11522.3</v>
      </c>
      <c r="BL133" s="18">
        <f>I133*T133</f>
        <v>60978.6</v>
      </c>
      <c r="BM133" s="18">
        <f t="shared" si="149"/>
        <v>0</v>
      </c>
      <c r="BN133" s="18">
        <f t="shared" si="149"/>
        <v>0</v>
      </c>
      <c r="BO133" s="18">
        <f t="shared" si="149"/>
        <v>5464110.4800000004</v>
      </c>
      <c r="BP133" s="18">
        <f t="shared" si="149"/>
        <v>0</v>
      </c>
      <c r="BQ133" s="18">
        <f t="shared" si="119"/>
        <v>5525089.0800000001</v>
      </c>
      <c r="BR133" s="18">
        <f t="shared" si="120"/>
        <v>5525089.0800000001</v>
      </c>
      <c r="BS133" s="18">
        <f t="shared" si="142"/>
        <v>58104.503999999994</v>
      </c>
      <c r="BT133" s="18">
        <f t="shared" si="142"/>
        <v>0</v>
      </c>
      <c r="BU133" s="18">
        <f t="shared" si="142"/>
        <v>0</v>
      </c>
      <c r="BV133" s="18">
        <f t="shared" si="93"/>
        <v>5819109.1103999997</v>
      </c>
      <c r="BW133" s="18">
        <f t="shared" si="150"/>
        <v>0</v>
      </c>
      <c r="BX133" s="18">
        <f t="shared" si="121"/>
        <v>5877213.6143999994</v>
      </c>
      <c r="BY133" s="18">
        <f t="shared" si="122"/>
        <v>5877213.6143999994</v>
      </c>
      <c r="BZ133" s="161">
        <f t="shared" si="91"/>
        <v>0</v>
      </c>
      <c r="CA133" s="161">
        <f t="shared" si="91"/>
        <v>0</v>
      </c>
      <c r="CB133" s="161">
        <f t="shared" si="123"/>
        <v>0</v>
      </c>
      <c r="CC133" s="162" t="e">
        <f t="shared" si="92"/>
        <v>#DIV/0!</v>
      </c>
      <c r="CD133" s="162" t="e">
        <f t="shared" si="92"/>
        <v>#DIV/0!</v>
      </c>
      <c r="CE133" s="162" t="e">
        <f t="shared" si="124"/>
        <v>#DIV/0!</v>
      </c>
      <c r="CF133" s="161" t="e">
        <f t="shared" si="95"/>
        <v>#DIV/0!</v>
      </c>
      <c r="CG133" s="651">
        <f t="shared" si="96"/>
        <v>0</v>
      </c>
      <c r="CH133" s="652" t="e">
        <f t="shared" si="125"/>
        <v>#DIV/0!</v>
      </c>
      <c r="CJ133" s="18">
        <f t="shared" si="97"/>
        <v>5525.0890799999997</v>
      </c>
      <c r="CK133" s="18">
        <f t="shared" si="98"/>
        <v>3624.5817455999995</v>
      </c>
      <c r="CL133" s="18">
        <f t="shared" si="84"/>
        <v>9149.6708255999984</v>
      </c>
      <c r="CM133" s="18">
        <f t="shared" si="99"/>
        <v>9149670.8256000001</v>
      </c>
      <c r="CN133" s="18">
        <f t="shared" si="100"/>
        <v>8928550.8000000007</v>
      </c>
      <c r="CO133" s="18">
        <f t="shared" si="101"/>
        <v>8928550.8000000007</v>
      </c>
      <c r="CP133" s="18">
        <f t="shared" si="102"/>
        <v>5525089.0800000001</v>
      </c>
      <c r="CQ133" s="18">
        <f t="shared" si="103"/>
        <v>9508631.1839999985</v>
      </c>
      <c r="CR133" s="18">
        <f t="shared" si="104"/>
        <v>9508631.1839999985</v>
      </c>
      <c r="CS133" s="18">
        <f t="shared" si="105"/>
        <v>3624581.7456</v>
      </c>
      <c r="CT133" s="18">
        <f t="shared" si="126"/>
        <v>18437181.983999997</v>
      </c>
      <c r="CU133" s="29">
        <f t="shared" si="127"/>
        <v>2209104</v>
      </c>
      <c r="CV133" s="18">
        <f t="shared" si="106"/>
        <v>0</v>
      </c>
      <c r="CW133" s="18">
        <f t="shared" si="107"/>
        <v>0</v>
      </c>
      <c r="CX133" s="18">
        <f t="shared" si="128"/>
        <v>0</v>
      </c>
      <c r="CY133" s="18">
        <f t="shared" si="108"/>
        <v>8928550.8000000007</v>
      </c>
      <c r="CZ133" s="18">
        <f t="shared" si="109"/>
        <v>9508631.1839999985</v>
      </c>
      <c r="DB133" s="653" t="e">
        <f t="shared" si="129"/>
        <v>#DIV/0!</v>
      </c>
      <c r="DG133" s="701">
        <f t="shared" si="110"/>
        <v>0</v>
      </c>
      <c r="DH133" s="701">
        <f t="shared" si="111"/>
        <v>0</v>
      </c>
      <c r="DI133" s="701">
        <f t="shared" si="112"/>
        <v>0</v>
      </c>
    </row>
    <row r="134" spans="1:114" s="13" customFormat="1" ht="67.5" hidden="1" customHeight="1">
      <c r="A134" s="695">
        <f t="shared" si="130"/>
        <v>119</v>
      </c>
      <c r="B134" s="1897"/>
      <c r="C134" s="1897"/>
      <c r="D134" s="696" t="s">
        <v>54</v>
      </c>
      <c r="E134" s="696">
        <v>4632068226</v>
      </c>
      <c r="F134" s="696" t="s">
        <v>8</v>
      </c>
      <c r="G134" s="808" t="s">
        <v>881</v>
      </c>
      <c r="H134" s="733">
        <v>1587.05</v>
      </c>
      <c r="I134" s="733">
        <v>1587.05</v>
      </c>
      <c r="J134" s="733">
        <v>1502.17</v>
      </c>
      <c r="K134" s="733">
        <v>1502.17</v>
      </c>
      <c r="L134" s="733">
        <v>1587.05</v>
      </c>
      <c r="M134" s="733">
        <v>1587.05</v>
      </c>
      <c r="N134" s="734">
        <v>1657.9977495314727</v>
      </c>
      <c r="O134" s="734">
        <v>1657.9977495314727</v>
      </c>
      <c r="P134" s="29">
        <v>1599.8</v>
      </c>
      <c r="Q134" s="29">
        <v>1599.8</v>
      </c>
      <c r="R134" s="734">
        <v>1657.9977495314699</v>
      </c>
      <c r="S134" s="734">
        <v>1657.9977495314699</v>
      </c>
      <c r="T134" s="704">
        <v>159.19999999999999</v>
      </c>
      <c r="U134" s="704">
        <v>83.5</v>
      </c>
      <c r="V134" s="704">
        <v>14</v>
      </c>
      <c r="W134" s="704">
        <v>2705.48</v>
      </c>
      <c r="X134" s="700">
        <v>128791.05</v>
      </c>
      <c r="Y134" s="699">
        <v>0</v>
      </c>
      <c r="Z134" s="99">
        <f>SUM(T134:W134)</f>
        <v>2962.18</v>
      </c>
      <c r="AA134" s="704">
        <v>96.8</v>
      </c>
      <c r="AB134" s="704">
        <v>50.7</v>
      </c>
      <c r="AC134" s="704">
        <v>12</v>
      </c>
      <c r="AD134" s="704">
        <v>2074.52</v>
      </c>
      <c r="AE134" s="700">
        <v>102017.28</v>
      </c>
      <c r="AF134" s="699">
        <v>0</v>
      </c>
      <c r="AG134" s="99">
        <f>SUM(AA134:AD134)</f>
        <v>2234.02</v>
      </c>
      <c r="AH134" s="99">
        <f>Z134+AG134</f>
        <v>5196.2</v>
      </c>
      <c r="AI134" s="702">
        <f>T134+AA134</f>
        <v>256</v>
      </c>
      <c r="AJ134" s="702">
        <f>U134+AB134</f>
        <v>134.19999999999999</v>
      </c>
      <c r="AK134" s="702">
        <f>V134+AC134</f>
        <v>26</v>
      </c>
      <c r="AL134" s="702">
        <f>W134+AD134</f>
        <v>4780</v>
      </c>
      <c r="AM134" s="29">
        <f>X134+AE134</f>
        <v>230808.33000000002</v>
      </c>
      <c r="AN134" s="18"/>
      <c r="AO134" s="702">
        <f>SUM(AI134:AN134)</f>
        <v>236004.53000000003</v>
      </c>
      <c r="AP134" s="702">
        <f>SUM(AI134:AM134)</f>
        <v>236004.53000000003</v>
      </c>
      <c r="AQ134" s="703">
        <f>SUM(AI134:AL134)</f>
        <v>5196.2</v>
      </c>
      <c r="AR134" s="99">
        <f t="shared" si="114"/>
        <v>0</v>
      </c>
      <c r="AS134" s="18">
        <f t="shared" si="146"/>
        <v>406284.79999999999</v>
      </c>
      <c r="AT134" s="18">
        <f t="shared" si="146"/>
        <v>201591.21400000001</v>
      </c>
      <c r="AU134" s="18">
        <f t="shared" si="146"/>
        <v>39056.42</v>
      </c>
      <c r="AV134" s="12">
        <f t="shared" si="146"/>
        <v>7586099</v>
      </c>
      <c r="AW134" s="12">
        <f t="shared" si="146"/>
        <v>366304360.12650001</v>
      </c>
      <c r="AX134" s="18">
        <f t="shared" si="115"/>
        <v>374537391.56050003</v>
      </c>
      <c r="AY134" s="18">
        <f t="shared" si="116"/>
        <v>8233031.4340000004</v>
      </c>
      <c r="AZ134" s="18">
        <f t="shared" si="147"/>
        <v>424447.423880057</v>
      </c>
      <c r="BA134" s="18">
        <f t="shared" si="147"/>
        <v>214693.15999999997</v>
      </c>
      <c r="BB134" s="18">
        <f t="shared" si="147"/>
        <v>41594.799999999996</v>
      </c>
      <c r="BC134" s="18">
        <f t="shared" si="147"/>
        <v>7925229.2427604264</v>
      </c>
      <c r="BD134" s="18">
        <f t="shared" si="147"/>
        <v>382679691.71311688</v>
      </c>
      <c r="BE134" s="18">
        <f t="shared" si="117"/>
        <v>391285656.33975738</v>
      </c>
      <c r="BF134" s="18">
        <f t="shared" si="118"/>
        <v>8605964.6266404837</v>
      </c>
      <c r="BG134" s="163">
        <v>6.8959999999999999</v>
      </c>
      <c r="BH134" s="164">
        <v>3.0409999999999999</v>
      </c>
      <c r="BI134" s="164">
        <f>BG134+BH134</f>
        <v>9.9369999999999994</v>
      </c>
      <c r="BJ134" s="738">
        <v>318289.23863198026</v>
      </c>
      <c r="BK134" s="163">
        <v>328659.75</v>
      </c>
      <c r="BL134" s="18">
        <f>I134*T134</f>
        <v>252658.36</v>
      </c>
      <c r="BM134" s="18">
        <f>J134*U134</f>
        <v>125431.19500000001</v>
      </c>
      <c r="BN134" s="18">
        <f>K134*V134</f>
        <v>21030.38</v>
      </c>
      <c r="BO134" s="18">
        <f>L134*W134</f>
        <v>4293732.034</v>
      </c>
      <c r="BP134" s="18">
        <f>M134*X134</f>
        <v>204397835.9025</v>
      </c>
      <c r="BQ134" s="18">
        <f>BL134+BM134+BN134+BO134+BP134</f>
        <v>209090687.87150002</v>
      </c>
      <c r="BR134" s="18">
        <f>BQ134-BP134</f>
        <v>4692851.9690000117</v>
      </c>
      <c r="BS134" s="18">
        <f>O134*AA134</f>
        <v>160494.18215464655</v>
      </c>
      <c r="BT134" s="18">
        <f>P134*AB134</f>
        <v>81109.86</v>
      </c>
      <c r="BU134" s="18">
        <f>Q134*AC134</f>
        <v>19197.599999999999</v>
      </c>
      <c r="BV134" s="18">
        <f>R134*W134</f>
        <v>4485679.7514024014</v>
      </c>
      <c r="BW134" s="18">
        <f>S134*AE134</f>
        <v>169144420.65332183</v>
      </c>
      <c r="BX134" s="18">
        <f>BS134+BT134+BU134+BV134+BW134</f>
        <v>173890902.04687887</v>
      </c>
      <c r="BY134" s="18">
        <f>BX134-BW134</f>
        <v>4746481.3935570419</v>
      </c>
      <c r="BZ134" s="161">
        <f t="shared" si="91"/>
        <v>206541.05499999999</v>
      </c>
      <c r="CA134" s="161">
        <f t="shared" si="91"/>
        <v>40227.979999999996</v>
      </c>
      <c r="CB134" s="161">
        <f t="shared" si="123"/>
        <v>246769.03499999997</v>
      </c>
      <c r="CC134" s="162">
        <f t="shared" si="92"/>
        <v>1539.0540611028316</v>
      </c>
      <c r="CD134" s="162">
        <f t="shared" si="92"/>
        <v>1547.2299999999998</v>
      </c>
      <c r="CE134" s="162">
        <f t="shared" si="124"/>
        <v>1540.3809925093633</v>
      </c>
      <c r="CF134" s="162">
        <f t="shared" si="95"/>
        <v>1540.3809925093633</v>
      </c>
      <c r="CG134" s="651">
        <f t="shared" si="96"/>
        <v>258693.83389562333</v>
      </c>
      <c r="CH134" s="652">
        <f t="shared" si="125"/>
        <v>1614.8179394233669</v>
      </c>
      <c r="CJ134" s="18">
        <f t="shared" si="97"/>
        <v>4701.1277689999997</v>
      </c>
      <c r="CK134" s="18">
        <f t="shared" si="98"/>
        <v>3704.0001324083005</v>
      </c>
      <c r="CL134" s="18">
        <f t="shared" si="84"/>
        <v>8405.1279014083011</v>
      </c>
      <c r="CM134" s="18">
        <f t="shared" si="99"/>
        <v>8405127.9014082998</v>
      </c>
      <c r="CN134" s="18">
        <f t="shared" si="100"/>
        <v>8233031.4340000004</v>
      </c>
      <c r="CO134" s="18">
        <f t="shared" si="101"/>
        <v>8233031.4340000004</v>
      </c>
      <c r="CP134" s="18">
        <f t="shared" si="102"/>
        <v>4692851.9689999996</v>
      </c>
      <c r="CQ134" s="18">
        <f t="shared" si="103"/>
        <v>8605964.6266404837</v>
      </c>
      <c r="CR134" s="18">
        <f t="shared" si="104"/>
        <v>8605964.6266404837</v>
      </c>
      <c r="CS134" s="18">
        <f t="shared" si="105"/>
        <v>3700351.1335126716</v>
      </c>
      <c r="CT134" s="18">
        <f t="shared" si="126"/>
        <v>16838996.060640484</v>
      </c>
      <c r="CU134" s="29">
        <f t="shared" si="127"/>
        <v>3240636.6307379403</v>
      </c>
      <c r="CV134" s="18">
        <f t="shared" si="106"/>
        <v>240647.63400000002</v>
      </c>
      <c r="CW134" s="18">
        <f t="shared" si="107"/>
        <v>256287.95999999996</v>
      </c>
      <c r="CX134" s="18">
        <f t="shared" si="128"/>
        <v>496935.59399999998</v>
      </c>
      <c r="CY134" s="18">
        <f t="shared" si="108"/>
        <v>8246629.21</v>
      </c>
      <c r="CZ134" s="18">
        <f t="shared" si="109"/>
        <v>8615287.9061154388</v>
      </c>
      <c r="DB134" s="653">
        <f t="shared" si="129"/>
        <v>110.37350962484089</v>
      </c>
      <c r="DG134" s="701">
        <f t="shared" si="110"/>
        <v>204397.8359025</v>
      </c>
      <c r="DH134" s="701">
        <f t="shared" si="111"/>
        <v>169144.42065332184</v>
      </c>
      <c r="DI134" s="701">
        <f t="shared" si="112"/>
        <v>373542.25655582186</v>
      </c>
    </row>
    <row r="135" spans="1:114" s="98" customFormat="1" ht="63.75" customHeight="1">
      <c r="A135" s="20">
        <f t="shared" si="130"/>
        <v>120</v>
      </c>
      <c r="B135" s="1897"/>
      <c r="C135" s="1897"/>
      <c r="D135" s="749" t="s">
        <v>141</v>
      </c>
      <c r="E135" s="617">
        <v>4632024035</v>
      </c>
      <c r="F135" s="806" t="s">
        <v>8</v>
      </c>
      <c r="G135" s="752" t="s">
        <v>890</v>
      </c>
      <c r="H135" s="819">
        <f>2653.36*1.2</f>
        <v>3184.0320000000002</v>
      </c>
      <c r="I135" s="819">
        <f>2653.36*1.2</f>
        <v>3184.0320000000002</v>
      </c>
      <c r="J135" s="38">
        <v>2732.57</v>
      </c>
      <c r="K135" s="38">
        <v>2732.57</v>
      </c>
      <c r="L135" s="819">
        <f>2653.36*1.2</f>
        <v>3184.0320000000002</v>
      </c>
      <c r="M135" s="38"/>
      <c r="N135" s="622">
        <f>2749.3*1.2</f>
        <v>3299.1600000000003</v>
      </c>
      <c r="O135" s="622">
        <f>2749.3*1.2</f>
        <v>3299.1600000000003</v>
      </c>
      <c r="P135" s="38">
        <v>2896.52</v>
      </c>
      <c r="Q135" s="38">
        <v>2896.52</v>
      </c>
      <c r="R135" s="622">
        <f>2749.3*1.2</f>
        <v>3299.1600000000003</v>
      </c>
      <c r="S135" s="38"/>
      <c r="T135" s="620">
        <f>4851.363+716.268+113.936</f>
        <v>5681.567</v>
      </c>
      <c r="U135" s="664">
        <v>60.8</v>
      </c>
      <c r="V135" s="665">
        <v>14.75</v>
      </c>
      <c r="W135" s="606"/>
      <c r="X135" s="606"/>
      <c r="Y135" s="606"/>
      <c r="Z135" s="648">
        <f>SUM(T135:W135)</f>
        <v>5757.1170000000002</v>
      </c>
      <c r="AA135" s="620">
        <f>3036.764+506.476+72.266</f>
        <v>3615.5060000000003</v>
      </c>
      <c r="AB135" s="606">
        <v>45.599999999999994</v>
      </c>
      <c r="AC135" s="669">
        <v>13.870000000000001</v>
      </c>
      <c r="AD135" s="606"/>
      <c r="AE135" s="606"/>
      <c r="AF135" s="606"/>
      <c r="AG135" s="178">
        <f t="shared" si="132"/>
        <v>3674.9760000000001</v>
      </c>
      <c r="AH135" s="178">
        <f t="shared" si="113"/>
        <v>9432.0930000000008</v>
      </c>
      <c r="AI135" s="16">
        <f t="shared" si="134"/>
        <v>9297.0730000000003</v>
      </c>
      <c r="AJ135" s="16">
        <f t="shared" si="134"/>
        <v>106.39999999999999</v>
      </c>
      <c r="AK135" s="16">
        <f t="shared" si="134"/>
        <v>28.62</v>
      </c>
      <c r="AL135" s="16">
        <f t="shared" si="134"/>
        <v>0</v>
      </c>
      <c r="AM135" s="16">
        <f t="shared" si="133"/>
        <v>0</v>
      </c>
      <c r="AN135" s="16"/>
      <c r="AO135" s="16">
        <f t="shared" si="85"/>
        <v>9432.0930000000008</v>
      </c>
      <c r="AP135" s="16">
        <f t="shared" si="86"/>
        <v>9432.0930000000008</v>
      </c>
      <c r="AQ135" s="16">
        <f t="shared" si="81"/>
        <v>9432.0930000000008</v>
      </c>
      <c r="AR135" s="127">
        <f t="shared" si="114"/>
        <v>0</v>
      </c>
      <c r="AS135" s="112">
        <f t="shared" si="146"/>
        <v>29602177.938336004</v>
      </c>
      <c r="AT135" s="112">
        <f t="shared" si="146"/>
        <v>290745.44799999997</v>
      </c>
      <c r="AU135" s="112">
        <f t="shared" si="146"/>
        <v>78206.15340000001</v>
      </c>
      <c r="AV135" s="112">
        <f t="shared" si="146"/>
        <v>0</v>
      </c>
      <c r="AW135" s="112">
        <f t="shared" si="146"/>
        <v>0</v>
      </c>
      <c r="AX135" s="112">
        <f t="shared" si="115"/>
        <v>29971129.539736003</v>
      </c>
      <c r="AY135" s="112">
        <f t="shared" si="116"/>
        <v>29971129.539736003</v>
      </c>
      <c r="AZ135" s="112">
        <f t="shared" si="147"/>
        <v>30672531.358680002</v>
      </c>
      <c r="BA135" s="112">
        <f t="shared" si="147"/>
        <v>308189.72799999994</v>
      </c>
      <c r="BB135" s="112">
        <f t="shared" si="147"/>
        <v>82898.402400000006</v>
      </c>
      <c r="BC135" s="112">
        <f t="shared" si="147"/>
        <v>0</v>
      </c>
      <c r="BD135" s="112">
        <f t="shared" si="147"/>
        <v>0</v>
      </c>
      <c r="BE135" s="112">
        <f t="shared" si="117"/>
        <v>31063619.489080001</v>
      </c>
      <c r="BF135" s="112">
        <f t="shared" si="118"/>
        <v>31063619.489080001</v>
      </c>
      <c r="BG135" s="623">
        <f>(I135-J135)/1.2*U135/1000+(I135-K135)/1.2*V135/1000</f>
        <v>28.423295083333336</v>
      </c>
      <c r="BH135" s="624">
        <f>(O135-P135)/1.2*AB135/1000+(O135-Q135)/1.2*AC135/1000</f>
        <v>19.954167333333348</v>
      </c>
      <c r="BI135" s="623">
        <f>BG135+BH135</f>
        <v>48.377462416666688</v>
      </c>
      <c r="BJ135" s="169"/>
      <c r="BK135" s="169"/>
      <c r="BL135" s="112">
        <f t="shared" si="149"/>
        <v>18090291.138144001</v>
      </c>
      <c r="BM135" s="112">
        <f t="shared" si="149"/>
        <v>166140.25599999999</v>
      </c>
      <c r="BN135" s="112">
        <f t="shared" si="149"/>
        <v>40305.407500000001</v>
      </c>
      <c r="BO135" s="112">
        <f t="shared" si="149"/>
        <v>0</v>
      </c>
      <c r="BP135" s="112">
        <f t="shared" si="149"/>
        <v>0</v>
      </c>
      <c r="BQ135" s="112">
        <f t="shared" si="119"/>
        <v>18296736.801644001</v>
      </c>
      <c r="BR135" s="112">
        <f t="shared" si="120"/>
        <v>18296736.801644001</v>
      </c>
      <c r="BS135" s="112">
        <f t="shared" si="142"/>
        <v>11928132.774960002</v>
      </c>
      <c r="BT135" s="112">
        <f t="shared" si="142"/>
        <v>132081.31199999998</v>
      </c>
      <c r="BU135" s="112">
        <f t="shared" si="142"/>
        <v>40174.732400000001</v>
      </c>
      <c r="BV135" s="112">
        <f t="shared" si="93"/>
        <v>0</v>
      </c>
      <c r="BW135" s="112">
        <f t="shared" si="150"/>
        <v>0</v>
      </c>
      <c r="BX135" s="112">
        <f t="shared" si="121"/>
        <v>12100388.819360003</v>
      </c>
      <c r="BY135" s="112">
        <f t="shared" si="122"/>
        <v>12100388.819360003</v>
      </c>
      <c r="BZ135" s="113">
        <f t="shared" si="91"/>
        <v>298221.56799999997</v>
      </c>
      <c r="CA135" s="113">
        <f t="shared" si="91"/>
        <v>80480.139900000009</v>
      </c>
      <c r="CB135" s="113">
        <f t="shared" si="123"/>
        <v>378701.70789999998</v>
      </c>
      <c r="CC135" s="119">
        <f t="shared" si="92"/>
        <v>2802.8342857142857</v>
      </c>
      <c r="CD135" s="119">
        <f t="shared" si="92"/>
        <v>2812.0244549266249</v>
      </c>
      <c r="CE135" s="119">
        <f t="shared" si="124"/>
        <v>2804.7823129906683</v>
      </c>
      <c r="CF135" s="119">
        <f t="shared" si="95"/>
        <v>2804.7823129906683</v>
      </c>
      <c r="CG135" s="619">
        <f t="shared" si="96"/>
        <v>436754.66280000005</v>
      </c>
      <c r="CH135" s="132">
        <f t="shared" si="125"/>
        <v>3234.7405036290929</v>
      </c>
      <c r="CI135" s="625"/>
      <c r="CJ135" s="227">
        <f t="shared" si="97"/>
        <v>18330.844755744001</v>
      </c>
      <c r="CK135" s="227">
        <f t="shared" si="98"/>
        <v>12124.333820160002</v>
      </c>
      <c r="CL135" s="227">
        <f>CJ135+CK135</f>
        <v>30455.178575904003</v>
      </c>
      <c r="CM135" s="126">
        <f t="shared" si="99"/>
        <v>30455178.575904004</v>
      </c>
      <c r="CN135" s="126">
        <f t="shared" si="100"/>
        <v>29971129.539736003</v>
      </c>
      <c r="CO135" s="126">
        <f t="shared" si="101"/>
        <v>29971129.539736003</v>
      </c>
      <c r="CP135" s="126">
        <f t="shared" si="102"/>
        <v>18296736.801644001</v>
      </c>
      <c r="CQ135" s="126">
        <f t="shared" si="103"/>
        <v>31063619.489080001</v>
      </c>
      <c r="CR135" s="126">
        <f t="shared" si="104"/>
        <v>31063619.489080001</v>
      </c>
      <c r="CS135" s="126">
        <f t="shared" si="105"/>
        <v>12100388.819360003</v>
      </c>
      <c r="CT135" s="126">
        <f t="shared" si="126"/>
        <v>61034749.028816</v>
      </c>
      <c r="CU135" s="679">
        <f t="shared" si="127"/>
        <v>6470965.567113894</v>
      </c>
      <c r="CV135" s="126">
        <f t="shared" si="106"/>
        <v>368951.60139999999</v>
      </c>
      <c r="CW135" s="126">
        <f t="shared" si="107"/>
        <v>391088.13039999997</v>
      </c>
      <c r="CX135" s="126">
        <f t="shared" si="128"/>
        <v>760039.73179999995</v>
      </c>
      <c r="CY135" s="126">
        <f t="shared" si="108"/>
        <v>30032085.938976005</v>
      </c>
      <c r="CZ135" s="126">
        <f t="shared" si="109"/>
        <v>31117983.941880003</v>
      </c>
      <c r="DA135" s="625"/>
      <c r="DB135" s="680">
        <f t="shared" si="129"/>
        <v>120.73469298133259</v>
      </c>
      <c r="DC135" s="625"/>
      <c r="DD135" s="625"/>
      <c r="DE135" s="625"/>
      <c r="DF135" s="625"/>
      <c r="DG135" s="618">
        <f t="shared" si="110"/>
        <v>0</v>
      </c>
      <c r="DH135" s="618">
        <f t="shared" si="111"/>
        <v>0</v>
      </c>
      <c r="DI135" s="618">
        <f t="shared" si="112"/>
        <v>0</v>
      </c>
      <c r="DJ135" s="123"/>
    </row>
    <row r="136" spans="1:114" ht="76.5" hidden="1" customHeight="1">
      <c r="A136" s="20">
        <f t="shared" si="130"/>
        <v>121</v>
      </c>
      <c r="B136" s="1897"/>
      <c r="C136" s="1897"/>
      <c r="D136" s="726" t="s">
        <v>279</v>
      </c>
      <c r="E136" s="768">
        <v>6829012680</v>
      </c>
      <c r="F136" s="696" t="s">
        <v>8</v>
      </c>
      <c r="G136" s="696" t="s">
        <v>907</v>
      </c>
      <c r="H136" s="697">
        <v>1958.86</v>
      </c>
      <c r="I136" s="697">
        <v>1958.86</v>
      </c>
      <c r="J136" s="697">
        <v>1958.86</v>
      </c>
      <c r="K136" s="697">
        <v>1958.86</v>
      </c>
      <c r="L136" s="697">
        <v>1958.86</v>
      </c>
      <c r="M136" s="697">
        <f>L136</f>
        <v>1958.86</v>
      </c>
      <c r="N136" s="714">
        <f>1844.59*1.2</f>
        <v>2213.5079999999998</v>
      </c>
      <c r="O136" s="697">
        <f>N136</f>
        <v>2213.5079999999998</v>
      </c>
      <c r="P136" s="697">
        <v>2047</v>
      </c>
      <c r="Q136" s="697">
        <f>P136</f>
        <v>2047</v>
      </c>
      <c r="R136" s="697">
        <f>O136</f>
        <v>2213.5079999999998</v>
      </c>
      <c r="S136" s="697">
        <f>R136</f>
        <v>2213.5079999999998</v>
      </c>
      <c r="T136" s="771">
        <f>178829.2</f>
        <v>178829.2</v>
      </c>
      <c r="U136" s="771">
        <v>720341.5</v>
      </c>
      <c r="V136" s="772">
        <f>851709.6-U136</f>
        <v>131368.09999999998</v>
      </c>
      <c r="W136" s="163">
        <f>172569.7-X136</f>
        <v>166356.25</v>
      </c>
      <c r="X136" s="163">
        <f>6213.45</f>
        <v>6213.45</v>
      </c>
      <c r="Y136" s="163"/>
      <c r="Z136" s="770">
        <f>SUM(T136:W136)</f>
        <v>1196895.0499999998</v>
      </c>
      <c r="AA136" s="701">
        <f>104209.7</f>
        <v>104209.7</v>
      </c>
      <c r="AB136" s="176">
        <v>528655.6</v>
      </c>
      <c r="AC136" s="226">
        <f>647496.1-AB136</f>
        <v>118840.5</v>
      </c>
      <c r="AD136" s="17">
        <f>104166.4-AE136</f>
        <v>99639.849999999991</v>
      </c>
      <c r="AE136" s="15">
        <v>4526.55</v>
      </c>
      <c r="AF136" s="15"/>
      <c r="AG136" s="662">
        <f>SUM(AA136:AD136)</f>
        <v>851345.64999999991</v>
      </c>
      <c r="AH136" s="17">
        <f t="shared" si="113"/>
        <v>2048240.6999999997</v>
      </c>
      <c r="AI136" s="15">
        <f t="shared" si="134"/>
        <v>283038.90000000002</v>
      </c>
      <c r="AJ136" s="15">
        <f t="shared" si="134"/>
        <v>1248997.1000000001</v>
      </c>
      <c r="AK136" s="15">
        <f t="shared" si="134"/>
        <v>250208.59999999998</v>
      </c>
      <c r="AL136" s="15">
        <f t="shared" si="134"/>
        <v>265996.09999999998</v>
      </c>
      <c r="AM136" s="15">
        <f t="shared" si="133"/>
        <v>10740</v>
      </c>
      <c r="AN136" s="15"/>
      <c r="AO136" s="15">
        <f t="shared" si="85"/>
        <v>2058980.7000000002</v>
      </c>
      <c r="AP136" s="15">
        <f t="shared" si="86"/>
        <v>2058980.7000000002</v>
      </c>
      <c r="AQ136" s="15">
        <f t="shared" ref="AQ136:AQ141" si="151">SUM(AI136:AL136)</f>
        <v>2048240.7000000002</v>
      </c>
      <c r="AR136" s="127">
        <f t="shared" si="114"/>
        <v>0</v>
      </c>
      <c r="AS136" s="112">
        <f t="shared" si="146"/>
        <v>554433579.65400004</v>
      </c>
      <c r="AT136" s="112">
        <f t="shared" si="146"/>
        <v>2446610459.3060002</v>
      </c>
      <c r="AU136" s="112">
        <f t="shared" si="146"/>
        <v>490123618.19599992</v>
      </c>
      <c r="AV136" s="112">
        <f t="shared" si="146"/>
        <v>521049120.44599992</v>
      </c>
      <c r="AW136" s="112">
        <f t="shared" si="146"/>
        <v>21038156.399999999</v>
      </c>
      <c r="AX136" s="112">
        <f t="shared" si="115"/>
        <v>4033254934.0020003</v>
      </c>
      <c r="AY136" s="112">
        <f t="shared" si="116"/>
        <v>4012216777.6020002</v>
      </c>
      <c r="AZ136" s="112">
        <f t="shared" si="147"/>
        <v>626508869.4612</v>
      </c>
      <c r="BA136" s="112">
        <f t="shared" si="147"/>
        <v>2556697063.7000003</v>
      </c>
      <c r="BB136" s="112">
        <f t="shared" si="147"/>
        <v>512177004.19999993</v>
      </c>
      <c r="BC136" s="112">
        <f t="shared" si="147"/>
        <v>588784495.31879985</v>
      </c>
      <c r="BD136" s="112">
        <f t="shared" si="147"/>
        <v>23773075.919999998</v>
      </c>
      <c r="BE136" s="112">
        <f t="shared" si="117"/>
        <v>4307940508.6000004</v>
      </c>
      <c r="BF136" s="112">
        <f t="shared" si="118"/>
        <v>4284167432.6800003</v>
      </c>
      <c r="BG136" s="112"/>
      <c r="BH136" s="99">
        <v>89845.975000000006</v>
      </c>
      <c r="BI136" s="99">
        <f t="shared" si="148"/>
        <v>89845.975000000006</v>
      </c>
      <c r="BJ136" s="18">
        <v>3561288.1563654612</v>
      </c>
      <c r="BK136" s="18">
        <v>5114795.505462857</v>
      </c>
      <c r="BL136" s="112">
        <f t="shared" si="149"/>
        <v>350301366.71200001</v>
      </c>
      <c r="BM136" s="112">
        <f t="shared" si="149"/>
        <v>1411048150.6899998</v>
      </c>
      <c r="BN136" s="112">
        <f t="shared" si="149"/>
        <v>257331716.36599994</v>
      </c>
      <c r="BO136" s="112">
        <f t="shared" si="149"/>
        <v>325868603.875</v>
      </c>
      <c r="BP136" s="112">
        <f t="shared" si="149"/>
        <v>12171278.666999999</v>
      </c>
      <c r="BQ136" s="112">
        <f t="shared" si="119"/>
        <v>2356721116.3099995</v>
      </c>
      <c r="BR136" s="112">
        <f t="shared" si="120"/>
        <v>2344549837.6429996</v>
      </c>
      <c r="BS136" s="112">
        <f t="shared" si="142"/>
        <v>230669004.62759998</v>
      </c>
      <c r="BT136" s="112">
        <f t="shared" si="142"/>
        <v>1082158013.2</v>
      </c>
      <c r="BU136" s="112">
        <f t="shared" si="142"/>
        <v>243266503.5</v>
      </c>
      <c r="BV136" s="112">
        <f t="shared" si="93"/>
        <v>368230890.22499996</v>
      </c>
      <c r="BW136" s="112">
        <f t="shared" si="150"/>
        <v>10019554.637399999</v>
      </c>
      <c r="BX136" s="112">
        <f t="shared" si="121"/>
        <v>1934343966.1899998</v>
      </c>
      <c r="BY136" s="112">
        <f t="shared" si="122"/>
        <v>1924324411.5525999</v>
      </c>
      <c r="BZ136" s="113">
        <f t="shared" si="91"/>
        <v>2493206163.8899999</v>
      </c>
      <c r="CA136" s="113">
        <f t="shared" si="91"/>
        <v>500598219.86599994</v>
      </c>
      <c r="CB136" s="113">
        <f t="shared" si="123"/>
        <v>2993804383.7559996</v>
      </c>
      <c r="CC136" s="119">
        <f t="shared" si="92"/>
        <v>1996.1664954146008</v>
      </c>
      <c r="CD136" s="119">
        <f t="shared" si="92"/>
        <v>2000.7234757957958</v>
      </c>
      <c r="CE136" s="119">
        <f t="shared" si="124"/>
        <v>1996.9270285965422</v>
      </c>
      <c r="CF136" s="119">
        <f t="shared" si="95"/>
        <v>1996.9270285965426</v>
      </c>
      <c r="CG136" s="619">
        <f t="shared" si="96"/>
        <v>3101617664.3747997</v>
      </c>
      <c r="CH136" s="132">
        <f t="shared" si="125"/>
        <v>2068.8406296579578</v>
      </c>
      <c r="CI136" s="106"/>
      <c r="CJ136" s="112">
        <f t="shared" si="97"/>
        <v>2344549.8376429998</v>
      </c>
      <c r="CK136" s="112">
        <f t="shared" si="98"/>
        <v>1884460.4070401995</v>
      </c>
      <c r="CL136" s="112">
        <f t="shared" si="84"/>
        <v>4229010.2446831996</v>
      </c>
      <c r="CM136" s="112">
        <f t="shared" si="99"/>
        <v>4229010244.6831989</v>
      </c>
      <c r="CN136" s="112">
        <f t="shared" si="100"/>
        <v>4012216777.6020002</v>
      </c>
      <c r="CO136" s="112">
        <f t="shared" si="101"/>
        <v>4012216777.6020002</v>
      </c>
      <c r="CP136" s="112">
        <f t="shared" si="102"/>
        <v>2344549837.6429996</v>
      </c>
      <c r="CQ136" s="112">
        <f t="shared" si="103"/>
        <v>4284167432.6800003</v>
      </c>
      <c r="CR136" s="112">
        <f t="shared" si="104"/>
        <v>4284167432.6800003</v>
      </c>
      <c r="CS136" s="112">
        <f t="shared" si="105"/>
        <v>1776647126.4214001</v>
      </c>
      <c r="CT136" s="112">
        <f t="shared" si="126"/>
        <v>8296384210.2820005</v>
      </c>
      <c r="CU136" s="124">
        <f t="shared" si="127"/>
        <v>4050492.8011058471</v>
      </c>
      <c r="CV136" s="112">
        <f t="shared" si="106"/>
        <v>2936734077.5020003</v>
      </c>
      <c r="CW136" s="112">
        <f t="shared" si="107"/>
        <v>3068874067.9000001</v>
      </c>
      <c r="CX136" s="112">
        <f t="shared" si="128"/>
        <v>6005608145.4020004</v>
      </c>
      <c r="CY136" s="112">
        <f t="shared" si="108"/>
        <v>4012216777.6020002</v>
      </c>
      <c r="CZ136" s="112">
        <f t="shared" si="109"/>
        <v>4533797175.3755999</v>
      </c>
      <c r="DA136" s="106"/>
      <c r="DB136" s="128">
        <f t="shared" si="129"/>
        <v>112.99980600961783</v>
      </c>
      <c r="DC136" s="106"/>
      <c r="DD136" s="106"/>
      <c r="DE136" s="106"/>
      <c r="DF136" s="106"/>
      <c r="DG136" s="618">
        <f t="shared" si="110"/>
        <v>12171.278666999999</v>
      </c>
      <c r="DH136" s="618">
        <f t="shared" si="111"/>
        <v>10019.554637399999</v>
      </c>
      <c r="DI136" s="618">
        <f t="shared" si="112"/>
        <v>22190.833304399996</v>
      </c>
      <c r="DJ136" s="106"/>
    </row>
    <row r="137" spans="1:114" s="13" customFormat="1" ht="60.75" hidden="1" customHeight="1">
      <c r="A137" s="695">
        <f t="shared" si="130"/>
        <v>122</v>
      </c>
      <c r="B137" s="1897"/>
      <c r="C137" s="1897"/>
      <c r="D137" s="726" t="s">
        <v>272</v>
      </c>
      <c r="E137" s="727">
        <v>4630001280</v>
      </c>
      <c r="F137" s="696" t="s">
        <v>8</v>
      </c>
      <c r="G137" s="808" t="s">
        <v>871</v>
      </c>
      <c r="H137" s="697">
        <v>2031.86</v>
      </c>
      <c r="I137" s="697">
        <v>0</v>
      </c>
      <c r="J137" s="697">
        <v>2031.86</v>
      </c>
      <c r="K137" s="697">
        <v>0</v>
      </c>
      <c r="L137" s="697">
        <v>0</v>
      </c>
      <c r="M137" s="698">
        <v>0</v>
      </c>
      <c r="N137" s="698">
        <v>2138.9899999999998</v>
      </c>
      <c r="O137" s="698">
        <v>0</v>
      </c>
      <c r="P137" s="698">
        <v>2138.9899999999998</v>
      </c>
      <c r="Q137" s="698">
        <v>0</v>
      </c>
      <c r="R137" s="698">
        <v>0</v>
      </c>
      <c r="S137" s="698">
        <v>0</v>
      </c>
      <c r="T137" s="18">
        <v>0</v>
      </c>
      <c r="U137" s="18">
        <v>44.88</v>
      </c>
      <c r="V137" s="18">
        <v>0</v>
      </c>
      <c r="W137" s="18">
        <v>0</v>
      </c>
      <c r="X137" s="18">
        <v>0</v>
      </c>
      <c r="Y137" s="18">
        <v>6010.71</v>
      </c>
      <c r="Z137" s="99">
        <f>U137</f>
        <v>44.88</v>
      </c>
      <c r="AA137" s="18">
        <v>0</v>
      </c>
      <c r="AB137" s="18">
        <v>33.659999999999997</v>
      </c>
      <c r="AC137" s="18">
        <v>0</v>
      </c>
      <c r="AD137" s="18">
        <v>0</v>
      </c>
      <c r="AE137" s="18">
        <v>0</v>
      </c>
      <c r="AF137" s="18">
        <v>6021.93</v>
      </c>
      <c r="AG137" s="99">
        <f>AB137</f>
        <v>33.659999999999997</v>
      </c>
      <c r="AH137" s="99">
        <f>Z137+AG137</f>
        <v>78.539999999999992</v>
      </c>
      <c r="AI137" s="18">
        <f t="shared" si="134"/>
        <v>0</v>
      </c>
      <c r="AJ137" s="18">
        <f t="shared" si="134"/>
        <v>78.539999999999992</v>
      </c>
      <c r="AK137" s="18">
        <f t="shared" si="134"/>
        <v>0</v>
      </c>
      <c r="AL137" s="18">
        <f t="shared" si="134"/>
        <v>0</v>
      </c>
      <c r="AM137" s="18">
        <f t="shared" si="133"/>
        <v>0</v>
      </c>
      <c r="AN137" s="18">
        <f>AF137+Y137</f>
        <v>12032.64</v>
      </c>
      <c r="AO137" s="18">
        <f>SUM(AI137:AN137)</f>
        <v>12111.18</v>
      </c>
      <c r="AP137" s="18">
        <f t="shared" si="86"/>
        <v>78.539999999999992</v>
      </c>
      <c r="AQ137" s="18">
        <f t="shared" si="151"/>
        <v>78.539999999999992</v>
      </c>
      <c r="AR137" s="99">
        <f t="shared" si="114"/>
        <v>0</v>
      </c>
      <c r="AS137" s="18">
        <f t="shared" si="146"/>
        <v>0</v>
      </c>
      <c r="AT137" s="18">
        <f t="shared" si="146"/>
        <v>159582.28439999997</v>
      </c>
      <c r="AU137" s="18">
        <f t="shared" si="146"/>
        <v>0</v>
      </c>
      <c r="AV137" s="18">
        <f t="shared" si="146"/>
        <v>0</v>
      </c>
      <c r="AW137" s="18">
        <f t="shared" si="146"/>
        <v>0</v>
      </c>
      <c r="AX137" s="18">
        <f t="shared" si="115"/>
        <v>159582.28439999997</v>
      </c>
      <c r="AY137" s="18">
        <f t="shared" si="116"/>
        <v>159582.28439999997</v>
      </c>
      <c r="AZ137" s="18">
        <f t="shared" si="147"/>
        <v>0</v>
      </c>
      <c r="BA137" s="18">
        <f t="shared" si="147"/>
        <v>167996.27459999998</v>
      </c>
      <c r="BB137" s="18">
        <f t="shared" si="147"/>
        <v>0</v>
      </c>
      <c r="BC137" s="18">
        <f t="shared" si="147"/>
        <v>0</v>
      </c>
      <c r="BD137" s="18">
        <f t="shared" si="147"/>
        <v>0</v>
      </c>
      <c r="BE137" s="18">
        <f t="shared" si="117"/>
        <v>167996.27459999998</v>
      </c>
      <c r="BF137" s="18">
        <f t="shared" si="118"/>
        <v>167996.27459999998</v>
      </c>
      <c r="BG137" s="18">
        <v>0</v>
      </c>
      <c r="BH137" s="18">
        <v>0</v>
      </c>
      <c r="BI137" s="18">
        <v>0</v>
      </c>
      <c r="BJ137" s="29">
        <v>21047.5</v>
      </c>
      <c r="BK137" s="18">
        <v>21012.7</v>
      </c>
      <c r="BL137" s="18">
        <f t="shared" si="149"/>
        <v>0</v>
      </c>
      <c r="BM137" s="18">
        <f t="shared" si="149"/>
        <v>91189.876799999998</v>
      </c>
      <c r="BN137" s="18">
        <f t="shared" si="149"/>
        <v>0</v>
      </c>
      <c r="BO137" s="18">
        <f t="shared" si="149"/>
        <v>0</v>
      </c>
      <c r="BP137" s="18">
        <f t="shared" si="149"/>
        <v>0</v>
      </c>
      <c r="BQ137" s="18">
        <f t="shared" si="119"/>
        <v>91189.876799999998</v>
      </c>
      <c r="BR137" s="18">
        <f t="shared" si="120"/>
        <v>91189.876799999998</v>
      </c>
      <c r="BS137" s="18">
        <f t="shared" si="142"/>
        <v>0</v>
      </c>
      <c r="BT137" s="18">
        <f t="shared" si="142"/>
        <v>71998.403399999981</v>
      </c>
      <c r="BU137" s="18">
        <f t="shared" si="142"/>
        <v>0</v>
      </c>
      <c r="BV137" s="18">
        <f t="shared" si="93"/>
        <v>0</v>
      </c>
      <c r="BW137" s="18">
        <f t="shared" si="150"/>
        <v>0</v>
      </c>
      <c r="BX137" s="18">
        <f t="shared" si="121"/>
        <v>71998.403399999981</v>
      </c>
      <c r="BY137" s="18">
        <f t="shared" si="122"/>
        <v>71998.403399999981</v>
      </c>
      <c r="BZ137" s="161">
        <f t="shared" si="91"/>
        <v>163188.28019999998</v>
      </c>
      <c r="CA137" s="161">
        <f t="shared" si="91"/>
        <v>0</v>
      </c>
      <c r="CB137" s="161">
        <f t="shared" si="123"/>
        <v>163188.28019999998</v>
      </c>
      <c r="CC137" s="162">
        <f t="shared" si="92"/>
        <v>2077.772857142857</v>
      </c>
      <c r="CD137" s="162" t="e">
        <f t="shared" si="92"/>
        <v>#DIV/0!</v>
      </c>
      <c r="CE137" s="162">
        <f t="shared" si="124"/>
        <v>2077.772857142857</v>
      </c>
      <c r="CF137" s="162">
        <f t="shared" si="95"/>
        <v>2077.772857142857</v>
      </c>
      <c r="CG137" s="651">
        <f t="shared" si="96"/>
        <v>0</v>
      </c>
      <c r="CH137" s="652">
        <f t="shared" si="125"/>
        <v>0</v>
      </c>
      <c r="CJ137" s="18">
        <f t="shared" si="97"/>
        <v>91.189876799999993</v>
      </c>
      <c r="CK137" s="18">
        <f t="shared" si="98"/>
        <v>71.998403399999987</v>
      </c>
      <c r="CL137" s="18">
        <f t="shared" si="84"/>
        <v>163.18828019999998</v>
      </c>
      <c r="CM137" s="18">
        <f t="shared" si="99"/>
        <v>163188.28019999998</v>
      </c>
      <c r="CN137" s="18">
        <f t="shared" si="100"/>
        <v>159582.28439999997</v>
      </c>
      <c r="CO137" s="18">
        <f t="shared" si="101"/>
        <v>159582.28439999997</v>
      </c>
      <c r="CP137" s="18">
        <f t="shared" si="102"/>
        <v>91189.876799999998</v>
      </c>
      <c r="CQ137" s="18">
        <f t="shared" si="103"/>
        <v>167996.27459999998</v>
      </c>
      <c r="CR137" s="18">
        <f t="shared" si="104"/>
        <v>167996.27459999998</v>
      </c>
      <c r="CS137" s="18">
        <f t="shared" si="105"/>
        <v>71998.403399999981</v>
      </c>
      <c r="CT137" s="18">
        <f t="shared" si="126"/>
        <v>327578.55899999995</v>
      </c>
      <c r="CU137" s="29">
        <f t="shared" si="127"/>
        <v>4170849.9999999995</v>
      </c>
      <c r="CV137" s="18">
        <f t="shared" si="106"/>
        <v>159582.28439999997</v>
      </c>
      <c r="CW137" s="18">
        <f t="shared" si="107"/>
        <v>167996.27459999998</v>
      </c>
      <c r="CX137" s="18">
        <f t="shared" si="128"/>
        <v>327578.55899999995</v>
      </c>
      <c r="CY137" s="18">
        <f t="shared" si="108"/>
        <v>159582.28439999997</v>
      </c>
      <c r="CZ137" s="18">
        <f t="shared" si="109"/>
        <v>167996.27459999998</v>
      </c>
      <c r="DB137" s="653">
        <f t="shared" si="129"/>
        <v>105.27250893270205</v>
      </c>
      <c r="DG137" s="701">
        <f t="shared" si="110"/>
        <v>0</v>
      </c>
      <c r="DH137" s="701">
        <f t="shared" si="111"/>
        <v>0</v>
      </c>
      <c r="DI137" s="701">
        <f t="shared" si="112"/>
        <v>0</v>
      </c>
    </row>
    <row r="138" spans="1:114" s="13" customFormat="1" ht="60.75" hidden="1" customHeight="1">
      <c r="A138" s="695">
        <f t="shared" si="130"/>
        <v>123</v>
      </c>
      <c r="B138" s="1905"/>
      <c r="C138" s="1905"/>
      <c r="D138" s="726" t="s">
        <v>189</v>
      </c>
      <c r="E138" s="727">
        <v>3666120176</v>
      </c>
      <c r="F138" s="696" t="s">
        <v>8</v>
      </c>
      <c r="G138" s="808" t="s">
        <v>905</v>
      </c>
      <c r="H138" s="697">
        <v>1728.42</v>
      </c>
      <c r="I138" s="697">
        <v>0</v>
      </c>
      <c r="J138" s="697">
        <v>1728.42</v>
      </c>
      <c r="K138" s="697">
        <v>1728.42</v>
      </c>
      <c r="L138" s="697">
        <v>1728.42</v>
      </c>
      <c r="M138" s="698">
        <v>0</v>
      </c>
      <c r="N138" s="698">
        <v>1764.88</v>
      </c>
      <c r="O138" s="698">
        <v>0</v>
      </c>
      <c r="P138" s="698">
        <v>1764.88</v>
      </c>
      <c r="Q138" s="698">
        <v>1764.88</v>
      </c>
      <c r="R138" s="698">
        <v>1764.88</v>
      </c>
      <c r="S138" s="698">
        <v>0</v>
      </c>
      <c r="T138" s="18">
        <v>0</v>
      </c>
      <c r="U138" s="18">
        <v>8884.9500000000007</v>
      </c>
      <c r="V138" s="18">
        <v>5430.6</v>
      </c>
      <c r="W138" s="18">
        <v>254.72</v>
      </c>
      <c r="X138" s="18">
        <v>0</v>
      </c>
      <c r="Y138" s="18">
        <v>0</v>
      </c>
      <c r="Z138" s="99">
        <f>SUM(T138:W138)</f>
        <v>14570.27</v>
      </c>
      <c r="AA138" s="18">
        <v>0</v>
      </c>
      <c r="AB138" s="18">
        <v>6215.17</v>
      </c>
      <c r="AC138" s="18">
        <v>4379.3100000000004</v>
      </c>
      <c r="AD138" s="18">
        <v>113.99</v>
      </c>
      <c r="AE138" s="18">
        <v>0</v>
      </c>
      <c r="AF138" s="18">
        <v>0</v>
      </c>
      <c r="AG138" s="99">
        <f>SUM(AA138:AD138)</f>
        <v>10708.47</v>
      </c>
      <c r="AH138" s="99">
        <f>Z138+AG138</f>
        <v>25278.739999999998</v>
      </c>
      <c r="AI138" s="18">
        <f t="shared" si="134"/>
        <v>0</v>
      </c>
      <c r="AJ138" s="18">
        <f>U138+AB138</f>
        <v>15100.12</v>
      </c>
      <c r="AK138" s="18">
        <f>V138+AC138</f>
        <v>9809.91</v>
      </c>
      <c r="AL138" s="18">
        <f>W138+AD138</f>
        <v>368.71</v>
      </c>
      <c r="AM138" s="18">
        <f t="shared" si="133"/>
        <v>0</v>
      </c>
      <c r="AN138" s="18"/>
      <c r="AO138" s="18">
        <f>SUM(AI138:AN138)</f>
        <v>25278.739999999998</v>
      </c>
      <c r="AP138" s="18">
        <f>SUM(AI138:AM138)</f>
        <v>25278.739999999998</v>
      </c>
      <c r="AQ138" s="18">
        <f t="shared" si="151"/>
        <v>25278.739999999998</v>
      </c>
      <c r="AR138" s="99">
        <f t="shared" si="114"/>
        <v>0</v>
      </c>
      <c r="AS138" s="18">
        <f t="shared" si="146"/>
        <v>0</v>
      </c>
      <c r="AT138" s="18">
        <f t="shared" si="146"/>
        <v>26099349.410400003</v>
      </c>
      <c r="AU138" s="18">
        <f t="shared" si="146"/>
        <v>16955644.642200001</v>
      </c>
      <c r="AV138" s="18">
        <f t="shared" si="146"/>
        <v>637285.73820000002</v>
      </c>
      <c r="AW138" s="18">
        <f t="shared" si="146"/>
        <v>0</v>
      </c>
      <c r="AX138" s="18">
        <f t="shared" si="115"/>
        <v>43692279.790800005</v>
      </c>
      <c r="AY138" s="18">
        <f t="shared" si="116"/>
        <v>43692279.790800005</v>
      </c>
      <c r="AZ138" s="18">
        <f t="shared" si="147"/>
        <v>0</v>
      </c>
      <c r="BA138" s="18">
        <f t="shared" si="147"/>
        <v>26649899.785600003</v>
      </c>
      <c r="BB138" s="18">
        <f t="shared" si="147"/>
        <v>17313313.9608</v>
      </c>
      <c r="BC138" s="18">
        <f t="shared" si="147"/>
        <v>650728.90480000002</v>
      </c>
      <c r="BD138" s="18">
        <f t="shared" si="147"/>
        <v>0</v>
      </c>
      <c r="BE138" s="18">
        <f t="shared" si="117"/>
        <v>44613942.651199996</v>
      </c>
      <c r="BF138" s="18">
        <f t="shared" si="118"/>
        <v>44613942.651199996</v>
      </c>
      <c r="BG138" s="18">
        <v>0</v>
      </c>
      <c r="BH138" s="18">
        <v>0</v>
      </c>
      <c r="BI138" s="18">
        <v>0</v>
      </c>
      <c r="BJ138" s="29">
        <v>44082.70845870427</v>
      </c>
      <c r="BK138" s="29">
        <v>48858.748879999999</v>
      </c>
      <c r="BL138" s="18">
        <f t="shared" si="149"/>
        <v>0</v>
      </c>
      <c r="BM138" s="18">
        <f>J138*U138</f>
        <v>15356925.279000001</v>
      </c>
      <c r="BN138" s="18">
        <f t="shared" si="149"/>
        <v>9386357.6520000007</v>
      </c>
      <c r="BO138" s="18">
        <f t="shared" si="149"/>
        <v>440263.14240000001</v>
      </c>
      <c r="BP138" s="18">
        <f t="shared" si="149"/>
        <v>0</v>
      </c>
      <c r="BQ138" s="18">
        <f t="shared" si="119"/>
        <v>25183546.073400002</v>
      </c>
      <c r="BR138" s="18">
        <f t="shared" si="120"/>
        <v>25183546.073400002</v>
      </c>
      <c r="BS138" s="18">
        <f t="shared" si="142"/>
        <v>0</v>
      </c>
      <c r="BT138" s="18">
        <f t="shared" si="142"/>
        <v>10969029.229600001</v>
      </c>
      <c r="BU138" s="18">
        <f>Q138*AC138</f>
        <v>7728956.6328000007</v>
      </c>
      <c r="BV138" s="18">
        <f>R138*W138</f>
        <v>449550.23360000004</v>
      </c>
      <c r="BW138" s="18">
        <f t="shared" si="150"/>
        <v>0</v>
      </c>
      <c r="BX138" s="18">
        <f>BS138+BT138+BU138+BV138+BW138</f>
        <v>19147536.096000005</v>
      </c>
      <c r="BY138" s="18">
        <f>BX138-BW138</f>
        <v>19147536.096000005</v>
      </c>
      <c r="BZ138" s="161">
        <f t="shared" si="91"/>
        <v>26325954.508600004</v>
      </c>
      <c r="CA138" s="161">
        <f t="shared" si="91"/>
        <v>17115314.2848</v>
      </c>
      <c r="CB138" s="161">
        <f t="shared" si="123"/>
        <v>43441268.793400005</v>
      </c>
      <c r="CC138" s="162">
        <f t="shared" si="92"/>
        <v>1743.4268408860328</v>
      </c>
      <c r="CD138" s="162">
        <f t="shared" si="92"/>
        <v>1744.6963616179967</v>
      </c>
      <c r="CE138" s="162">
        <f t="shared" si="124"/>
        <v>1743.9267954876011</v>
      </c>
      <c r="CF138" s="162">
        <f t="shared" si="95"/>
        <v>1743.9267954876009</v>
      </c>
      <c r="CG138" s="651">
        <f t="shared" si="96"/>
        <v>0</v>
      </c>
      <c r="CH138" s="652">
        <f t="shared" si="125"/>
        <v>0</v>
      </c>
      <c r="CJ138" s="18">
        <f t="shared" si="97"/>
        <v>25183.546073400001</v>
      </c>
      <c r="CK138" s="18">
        <f t="shared" si="98"/>
        <v>18899.1645336</v>
      </c>
      <c r="CL138" s="18">
        <f>CJ138+CK138</f>
        <v>44082.710607000001</v>
      </c>
      <c r="CM138" s="18">
        <f t="shared" si="99"/>
        <v>44082710.607000001</v>
      </c>
      <c r="CN138" s="18">
        <f t="shared" si="100"/>
        <v>43692279.790800005</v>
      </c>
      <c r="CO138" s="18">
        <f t="shared" si="101"/>
        <v>43692279.790799998</v>
      </c>
      <c r="CP138" s="18">
        <f t="shared" si="102"/>
        <v>25183546.073400002</v>
      </c>
      <c r="CQ138" s="18">
        <f t="shared" si="103"/>
        <v>44613942.651199996</v>
      </c>
      <c r="CR138" s="18">
        <f t="shared" si="104"/>
        <v>44613942.651199996</v>
      </c>
      <c r="CS138" s="18">
        <f t="shared" si="105"/>
        <v>18899164.533600003</v>
      </c>
      <c r="CT138" s="18">
        <f t="shared" si="126"/>
        <v>88306222.442000002</v>
      </c>
      <c r="CU138" s="29">
        <f t="shared" si="127"/>
        <v>3493300</v>
      </c>
      <c r="CV138" s="18">
        <f t="shared" si="106"/>
        <v>43054994.052600004</v>
      </c>
      <c r="CW138" s="18">
        <f t="shared" si="107"/>
        <v>43963213.746399999</v>
      </c>
      <c r="CX138" s="18">
        <f t="shared" si="128"/>
        <v>87018207.798999995</v>
      </c>
      <c r="CY138" s="18">
        <f t="shared" si="108"/>
        <v>43692279.790800005</v>
      </c>
      <c r="CZ138" s="18">
        <f t="shared" si="109"/>
        <v>44613942.651199996</v>
      </c>
      <c r="DB138" s="653">
        <f t="shared" si="129"/>
        <v>102.1094409923514</v>
      </c>
      <c r="DG138" s="701">
        <f t="shared" si="110"/>
        <v>0</v>
      </c>
      <c r="DH138" s="701">
        <f t="shared" si="111"/>
        <v>0</v>
      </c>
      <c r="DI138" s="701">
        <f t="shared" si="112"/>
        <v>0</v>
      </c>
    </row>
    <row r="139" spans="1:114" ht="63.75" hidden="1" customHeight="1">
      <c r="A139" s="20">
        <f t="shared" si="130"/>
        <v>124</v>
      </c>
      <c r="B139" s="1900" t="s">
        <v>52</v>
      </c>
      <c r="C139" s="1981" t="s">
        <v>52</v>
      </c>
      <c r="D139" s="1064" t="s">
        <v>255</v>
      </c>
      <c r="E139" s="696">
        <v>4634002573</v>
      </c>
      <c r="F139" s="696" t="s">
        <v>8</v>
      </c>
      <c r="G139" s="696" t="s">
        <v>885</v>
      </c>
      <c r="H139" s="697">
        <v>721.93</v>
      </c>
      <c r="I139" s="743">
        <v>721.93</v>
      </c>
      <c r="J139" s="743">
        <v>721.93</v>
      </c>
      <c r="K139" s="743">
        <v>721.93</v>
      </c>
      <c r="L139" s="743">
        <v>721.93</v>
      </c>
      <c r="M139" s="743">
        <v>0</v>
      </c>
      <c r="N139" s="163">
        <v>748.15</v>
      </c>
      <c r="O139" s="163">
        <v>748.15</v>
      </c>
      <c r="P139" s="163">
        <v>748.15</v>
      </c>
      <c r="Q139" s="163">
        <v>748.15</v>
      </c>
      <c r="R139" s="163">
        <v>748.15</v>
      </c>
      <c r="S139" s="163">
        <v>0</v>
      </c>
      <c r="T139" s="18">
        <v>23563.62</v>
      </c>
      <c r="U139" s="18">
        <f>96704.2+3282.57-U59</f>
        <v>95803.16</v>
      </c>
      <c r="V139" s="18">
        <f>24271-V59</f>
        <v>23318.638218200002</v>
      </c>
      <c r="W139" s="702">
        <f>24618.96-W59-0.6</f>
        <v>23793.23</v>
      </c>
      <c r="X139" s="702"/>
      <c r="Y139" s="18"/>
      <c r="Z139" s="99">
        <f t="shared" si="131"/>
        <v>166478.64821820002</v>
      </c>
      <c r="AA139" s="18">
        <v>15040.38</v>
      </c>
      <c r="AB139" s="18">
        <f>73902.3-3281.75-0.82-0.6-AB59</f>
        <v>67526.889999999985</v>
      </c>
      <c r="AC139" s="18">
        <f>24338+0.82-AC59</f>
        <v>23267.932520599999</v>
      </c>
      <c r="AD139" s="18">
        <f>17061.32-AD59+0.6</f>
        <v>16236.79</v>
      </c>
      <c r="AE139" s="18"/>
      <c r="AF139" s="18"/>
      <c r="AG139" s="99">
        <f t="shared" si="132"/>
        <v>122071.9925206</v>
      </c>
      <c r="AH139" s="99">
        <f t="shared" si="113"/>
        <v>288550.64073880005</v>
      </c>
      <c r="AI139" s="685">
        <f t="shared" si="134"/>
        <v>38604</v>
      </c>
      <c r="AJ139" s="35">
        <f t="shared" si="134"/>
        <v>163330.04999999999</v>
      </c>
      <c r="AK139" s="35">
        <f t="shared" si="134"/>
        <v>46586.570738800001</v>
      </c>
      <c r="AL139" s="686">
        <f t="shared" si="134"/>
        <v>40030.020000000004</v>
      </c>
      <c r="AM139" s="15">
        <f t="shared" si="133"/>
        <v>0</v>
      </c>
      <c r="AN139" s="15"/>
      <c r="AO139" s="179">
        <f>SUM(AI139:AN139)</f>
        <v>288550.64073879999</v>
      </c>
      <c r="AP139" s="15">
        <f>SUM(AI139:AM139)</f>
        <v>288550.64073879999</v>
      </c>
      <c r="AQ139" s="15">
        <f t="shared" si="151"/>
        <v>288550.64073879999</v>
      </c>
      <c r="AR139" s="127">
        <f t="shared" si="114"/>
        <v>0</v>
      </c>
      <c r="AS139" s="112">
        <f t="shared" si="146"/>
        <v>27869385.719999999</v>
      </c>
      <c r="AT139" s="112">
        <f t="shared" si="146"/>
        <v>117912862.99649999</v>
      </c>
      <c r="AU139" s="112">
        <f t="shared" si="146"/>
        <v>33632243.01346188</v>
      </c>
      <c r="AV139" s="112">
        <f t="shared" si="146"/>
        <v>28898872.338600002</v>
      </c>
      <c r="AW139" s="112">
        <f t="shared" si="146"/>
        <v>0</v>
      </c>
      <c r="AX139" s="112">
        <f t="shared" si="115"/>
        <v>208313364.06856188</v>
      </c>
      <c r="AY139" s="112">
        <f t="shared" si="116"/>
        <v>208313364.06856188</v>
      </c>
      <c r="AZ139" s="112">
        <f t="shared" si="147"/>
        <v>28881582.599999998</v>
      </c>
      <c r="BA139" s="112">
        <f t="shared" si="147"/>
        <v>122195376.90749998</v>
      </c>
      <c r="BB139" s="112">
        <f t="shared" si="147"/>
        <v>34853742.89823322</v>
      </c>
      <c r="BC139" s="112">
        <f t="shared" si="147"/>
        <v>29948459.463000003</v>
      </c>
      <c r="BD139" s="112">
        <f t="shared" si="147"/>
        <v>0</v>
      </c>
      <c r="BE139" s="112">
        <f t="shared" si="117"/>
        <v>215879161.86873323</v>
      </c>
      <c r="BF139" s="112">
        <f t="shared" si="118"/>
        <v>215879161.86873323</v>
      </c>
      <c r="BG139" s="112">
        <v>0</v>
      </c>
      <c r="BH139" s="112">
        <v>0</v>
      </c>
      <c r="BI139" s="112">
        <f t="shared" si="148"/>
        <v>0</v>
      </c>
      <c r="BJ139" s="18">
        <v>182958.40368140512</v>
      </c>
      <c r="BK139" s="18">
        <v>188399.90999999997</v>
      </c>
      <c r="BL139" s="112">
        <f t="shared" si="149"/>
        <v>17011284.1866</v>
      </c>
      <c r="BM139" s="112">
        <f t="shared" si="149"/>
        <v>69163175.298799992</v>
      </c>
      <c r="BN139" s="112">
        <f>K139*V139</f>
        <v>16834424.488865126</v>
      </c>
      <c r="BO139" s="112">
        <f>L139*W139</f>
        <v>17177046.5339</v>
      </c>
      <c r="BP139" s="112">
        <f t="shared" si="149"/>
        <v>0</v>
      </c>
      <c r="BQ139" s="112">
        <f>BL139+BM139+BN139+BO139+BP139</f>
        <v>120185930.50816512</v>
      </c>
      <c r="BR139" s="112">
        <f>BQ139-BP139</f>
        <v>120185930.50816512</v>
      </c>
      <c r="BS139" s="112">
        <f>O139*AA139</f>
        <v>11252460.296999998</v>
      </c>
      <c r="BT139" s="112">
        <f>P139*AB139</f>
        <v>50520242.753499985</v>
      </c>
      <c r="BU139" s="112">
        <f t="shared" si="142"/>
        <v>17407903.715286888</v>
      </c>
      <c r="BV139" s="112">
        <f t="shared" si="93"/>
        <v>17800905.024499997</v>
      </c>
      <c r="BW139" s="112">
        <f t="shared" si="150"/>
        <v>0</v>
      </c>
      <c r="BX139" s="112">
        <f t="shared" si="121"/>
        <v>96981511.790286869</v>
      </c>
      <c r="BY139" s="112">
        <f t="shared" si="122"/>
        <v>96981511.790286869</v>
      </c>
      <c r="BZ139" s="113">
        <f t="shared" si="91"/>
        <v>119683418.05229998</v>
      </c>
      <c r="CA139" s="113">
        <f t="shared" si="91"/>
        <v>34242328.204152018</v>
      </c>
      <c r="CB139" s="113">
        <f t="shared" si="123"/>
        <v>153925746.25645199</v>
      </c>
      <c r="CC139" s="119">
        <f t="shared" si="92"/>
        <v>732.77035090787024</v>
      </c>
      <c r="CD139" s="119">
        <f t="shared" si="92"/>
        <v>735.02573083004404</v>
      </c>
      <c r="CE139" s="119">
        <f t="shared" si="124"/>
        <v>733.27088495761552</v>
      </c>
      <c r="CF139" s="119">
        <f t="shared" si="95"/>
        <v>733.27088495761541</v>
      </c>
      <c r="CG139" s="619">
        <f t="shared" si="96"/>
        <v>153925746.25645202</v>
      </c>
      <c r="CH139" s="132">
        <f t="shared" si="125"/>
        <v>733.27088495761564</v>
      </c>
      <c r="CI139" s="106"/>
      <c r="CJ139" s="112">
        <f t="shared" si="97"/>
        <v>120185.93050816514</v>
      </c>
      <c r="CK139" s="112">
        <f t="shared" si="98"/>
        <v>91328.161204286895</v>
      </c>
      <c r="CL139" s="112">
        <f>CJ139+CK139</f>
        <v>211514.09171245203</v>
      </c>
      <c r="CM139" s="112">
        <f t="shared" si="99"/>
        <v>211514091.71245202</v>
      </c>
      <c r="CN139" s="112">
        <f t="shared" si="100"/>
        <v>208313364.06856188</v>
      </c>
      <c r="CO139" s="112">
        <f t="shared" si="101"/>
        <v>208313364.06856185</v>
      </c>
      <c r="CP139" s="112">
        <f t="shared" si="102"/>
        <v>120185930.50816512</v>
      </c>
      <c r="CQ139" s="112">
        <f t="shared" si="103"/>
        <v>215879161.86873323</v>
      </c>
      <c r="CR139" s="112">
        <f t="shared" si="104"/>
        <v>215879161.8687332</v>
      </c>
      <c r="CS139" s="112">
        <f t="shared" si="105"/>
        <v>91328161.204286873</v>
      </c>
      <c r="CT139" s="112">
        <f t="shared" si="126"/>
        <v>424192525.93729508</v>
      </c>
      <c r="CU139" s="124">
        <f t="shared" si="127"/>
        <v>1470079.9999999998</v>
      </c>
      <c r="CV139" s="112">
        <f t="shared" si="106"/>
        <v>151545106.00996187</v>
      </c>
      <c r="CW139" s="112">
        <f t="shared" si="107"/>
        <v>157049119.8057332</v>
      </c>
      <c r="CX139" s="112">
        <f t="shared" si="128"/>
        <v>308594225.81569505</v>
      </c>
      <c r="CY139" s="112">
        <f t="shared" si="108"/>
        <v>208313364.06856188</v>
      </c>
      <c r="CZ139" s="112">
        <f t="shared" si="109"/>
        <v>215879161.86873323</v>
      </c>
      <c r="DA139" s="106"/>
      <c r="DB139" s="128">
        <f t="shared" si="129"/>
        <v>103.63193107364981</v>
      </c>
      <c r="DC139" s="106"/>
      <c r="DD139" s="106"/>
      <c r="DE139" s="106"/>
      <c r="DF139" s="106"/>
      <c r="DG139" s="618">
        <f t="shared" si="110"/>
        <v>0</v>
      </c>
      <c r="DH139" s="618">
        <f t="shared" si="111"/>
        <v>0</v>
      </c>
      <c r="DI139" s="618">
        <f t="shared" si="112"/>
        <v>0</v>
      </c>
      <c r="DJ139" s="106"/>
    </row>
    <row r="140" spans="1:114" ht="87" hidden="1" customHeight="1">
      <c r="A140" s="20">
        <f t="shared" si="130"/>
        <v>125</v>
      </c>
      <c r="B140" s="1900"/>
      <c r="C140" s="1900"/>
      <c r="D140" s="1064" t="s">
        <v>135</v>
      </c>
      <c r="E140" s="696">
        <v>7721632827</v>
      </c>
      <c r="F140" s="696" t="s">
        <v>8</v>
      </c>
      <c r="G140" s="696" t="s">
        <v>880</v>
      </c>
      <c r="H140" s="697">
        <v>289.52</v>
      </c>
      <c r="I140" s="697">
        <v>0</v>
      </c>
      <c r="J140" s="697">
        <v>289.52</v>
      </c>
      <c r="K140" s="697">
        <v>289.52</v>
      </c>
      <c r="L140" s="697">
        <v>289.52</v>
      </c>
      <c r="M140" s="697">
        <f>L140</f>
        <v>289.52</v>
      </c>
      <c r="N140" s="738">
        <v>301.2</v>
      </c>
      <c r="O140" s="697">
        <v>0</v>
      </c>
      <c r="P140" s="738">
        <v>301.2</v>
      </c>
      <c r="Q140" s="738">
        <v>301.2</v>
      </c>
      <c r="R140" s="738">
        <v>301.2</v>
      </c>
      <c r="S140" s="738">
        <v>301.2</v>
      </c>
      <c r="T140" s="15"/>
      <c r="U140" s="29">
        <f>323-V140-15.4+0.1</f>
        <v>228.7</v>
      </c>
      <c r="V140" s="29">
        <v>79</v>
      </c>
      <c r="W140" s="1066">
        <v>41655.26</v>
      </c>
      <c r="X140" s="1067">
        <v>211631.04</v>
      </c>
      <c r="Y140" s="15"/>
      <c r="Z140" s="35">
        <f t="shared" si="131"/>
        <v>41962.96</v>
      </c>
      <c r="AA140" s="18"/>
      <c r="AB140" s="29">
        <f>196.3-AC140</f>
        <v>116.30000000000001</v>
      </c>
      <c r="AC140" s="29">
        <v>80</v>
      </c>
      <c r="AD140" s="1066">
        <v>14671.62</v>
      </c>
      <c r="AE140" s="1068">
        <v>156967.07999999999</v>
      </c>
      <c r="AF140" s="15"/>
      <c r="AG140" s="35">
        <f t="shared" si="132"/>
        <v>14867.92</v>
      </c>
      <c r="AH140" s="35">
        <f t="shared" si="113"/>
        <v>56830.879999999997</v>
      </c>
      <c r="AI140" s="15">
        <f t="shared" si="134"/>
        <v>0</v>
      </c>
      <c r="AJ140" s="18">
        <f t="shared" si="134"/>
        <v>345</v>
      </c>
      <c r="AK140" s="18">
        <f t="shared" si="134"/>
        <v>159</v>
      </c>
      <c r="AL140" s="15">
        <f t="shared" si="134"/>
        <v>56326.880000000005</v>
      </c>
      <c r="AM140" s="15">
        <f t="shared" si="133"/>
        <v>368598.12</v>
      </c>
      <c r="AN140" s="15"/>
      <c r="AO140" s="15">
        <f>SUM(AI140:AN140)</f>
        <v>425429</v>
      </c>
      <c r="AP140" s="15">
        <f>SUM(AI140:AM140)</f>
        <v>425429</v>
      </c>
      <c r="AQ140" s="15">
        <f t="shared" si="151"/>
        <v>56830.880000000005</v>
      </c>
      <c r="AR140" s="127">
        <f t="shared" si="114"/>
        <v>0</v>
      </c>
      <c r="AS140" s="112">
        <f t="shared" si="146"/>
        <v>0</v>
      </c>
      <c r="AT140" s="112">
        <f t="shared" si="146"/>
        <v>99884.4</v>
      </c>
      <c r="AU140" s="112">
        <f t="shared" si="146"/>
        <v>46033.68</v>
      </c>
      <c r="AV140" s="112">
        <f t="shared" si="146"/>
        <v>16307758.297600001</v>
      </c>
      <c r="AW140" s="112">
        <f t="shared" si="146"/>
        <v>106716527.7024</v>
      </c>
      <c r="AX140" s="112">
        <f t="shared" si="115"/>
        <v>123170204.08</v>
      </c>
      <c r="AY140" s="112">
        <f t="shared" si="116"/>
        <v>16453676.377600001</v>
      </c>
      <c r="AZ140" s="112">
        <f t="shared" si="147"/>
        <v>0</v>
      </c>
      <c r="BA140" s="112">
        <f t="shared" si="147"/>
        <v>103914</v>
      </c>
      <c r="BB140" s="112">
        <f t="shared" si="147"/>
        <v>47890.799999999996</v>
      </c>
      <c r="BC140" s="112">
        <f t="shared" si="147"/>
        <v>16965656.256000001</v>
      </c>
      <c r="BD140" s="112">
        <f t="shared" si="147"/>
        <v>111021753.74399999</v>
      </c>
      <c r="BE140" s="112">
        <f t="shared" si="117"/>
        <v>128139214.79999998</v>
      </c>
      <c r="BF140" s="112">
        <f t="shared" si="118"/>
        <v>17117461.056000002</v>
      </c>
      <c r="BG140" s="112"/>
      <c r="BH140" s="112"/>
      <c r="BI140" s="112">
        <f t="shared" si="148"/>
        <v>0</v>
      </c>
      <c r="BJ140" s="13">
        <v>104315.89720512618</v>
      </c>
      <c r="BK140" s="18">
        <v>141708.48045865499</v>
      </c>
      <c r="BL140" s="112">
        <f t="shared" si="149"/>
        <v>0</v>
      </c>
      <c r="BM140" s="112">
        <f t="shared" si="149"/>
        <v>66213.223999999987</v>
      </c>
      <c r="BN140" s="112">
        <f t="shared" si="149"/>
        <v>22872.079999999998</v>
      </c>
      <c r="BO140" s="112">
        <f t="shared" si="149"/>
        <v>12060030.8752</v>
      </c>
      <c r="BP140" s="112">
        <f t="shared" si="149"/>
        <v>61271418.700800002</v>
      </c>
      <c r="BQ140" s="112">
        <f>BL140+BM140+BN140+BO140+BP140</f>
        <v>73420534.879999995</v>
      </c>
      <c r="BR140" s="112">
        <f>BQ140-BP140</f>
        <v>12149116.179199994</v>
      </c>
      <c r="BS140" s="112">
        <f t="shared" si="142"/>
        <v>0</v>
      </c>
      <c r="BT140" s="112">
        <f t="shared" si="142"/>
        <v>35029.560000000005</v>
      </c>
      <c r="BU140" s="112">
        <f t="shared" si="142"/>
        <v>24096</v>
      </c>
      <c r="BV140" s="112">
        <f t="shared" si="93"/>
        <v>12546564.312000001</v>
      </c>
      <c r="BW140" s="112">
        <f t="shared" si="150"/>
        <v>47278484.495999992</v>
      </c>
      <c r="BX140" s="112">
        <f t="shared" si="121"/>
        <v>59884174.367999993</v>
      </c>
      <c r="BY140" s="112">
        <f t="shared" si="122"/>
        <v>12605689.872000001</v>
      </c>
      <c r="BZ140" s="113">
        <f>BM140+BT140</f>
        <v>101242.78399999999</v>
      </c>
      <c r="CA140" s="113">
        <f>BN140+BU140</f>
        <v>46968.08</v>
      </c>
      <c r="CB140" s="113">
        <f t="shared" si="123"/>
        <v>148210.864</v>
      </c>
      <c r="CC140" s="119">
        <f>BZ140/AJ140</f>
        <v>293.45734492753621</v>
      </c>
      <c r="CD140" s="119">
        <f>CA140/AK140</f>
        <v>295.39672955974845</v>
      </c>
      <c r="CE140" s="119">
        <f t="shared" si="124"/>
        <v>294.06917460317459</v>
      </c>
      <c r="CF140" s="119">
        <f t="shared" si="95"/>
        <v>294.06917460317459</v>
      </c>
      <c r="CG140" s="619">
        <f t="shared" si="96"/>
        <v>0</v>
      </c>
      <c r="CH140" s="132">
        <f t="shared" si="125"/>
        <v>0</v>
      </c>
      <c r="CI140" s="106"/>
      <c r="CJ140" s="112">
        <f t="shared" si="97"/>
        <v>12149.116179199998</v>
      </c>
      <c r="CK140" s="112">
        <f t="shared" si="98"/>
        <v>4478.2175039999993</v>
      </c>
      <c r="CL140" s="112">
        <f>CJ140+CK140</f>
        <v>16627.333683199999</v>
      </c>
      <c r="CM140" s="112">
        <f t="shared" si="99"/>
        <v>16627333.683199998</v>
      </c>
      <c r="CN140" s="112">
        <f t="shared" si="100"/>
        <v>16453676.377600001</v>
      </c>
      <c r="CO140" s="112">
        <f t="shared" si="101"/>
        <v>16453676.377600001</v>
      </c>
      <c r="CP140" s="112">
        <f t="shared" si="102"/>
        <v>12149116.179199999</v>
      </c>
      <c r="CQ140" s="112">
        <f t="shared" si="103"/>
        <v>17117461.056000002</v>
      </c>
      <c r="CR140" s="112">
        <f t="shared" si="104"/>
        <v>17117461.056000002</v>
      </c>
      <c r="CS140" s="112">
        <f t="shared" si="105"/>
        <v>4478217.5039999997</v>
      </c>
      <c r="CT140" s="112">
        <f t="shared" si="126"/>
        <v>33571137.433600001</v>
      </c>
      <c r="CU140" s="124">
        <f>CT140/AH140*1000</f>
        <v>590720</v>
      </c>
      <c r="CV140" s="112">
        <f t="shared" si="106"/>
        <v>145918.07999999999</v>
      </c>
      <c r="CW140" s="112">
        <f t="shared" si="107"/>
        <v>151804.79999999999</v>
      </c>
      <c r="CX140" s="112">
        <f t="shared" si="128"/>
        <v>297722.88</v>
      </c>
      <c r="CY140" s="112">
        <f t="shared" si="108"/>
        <v>16453676.377600001</v>
      </c>
      <c r="CZ140" s="112">
        <f t="shared" si="109"/>
        <v>17117461.056000002</v>
      </c>
      <c r="DA140" s="106"/>
      <c r="DB140" s="128">
        <f t="shared" si="129"/>
        <v>104.03426360873169</v>
      </c>
      <c r="DC140" s="106"/>
      <c r="DD140" s="106"/>
      <c r="DE140" s="106"/>
      <c r="DF140" s="106"/>
      <c r="DG140" s="618">
        <f t="shared" si="110"/>
        <v>61271.418700800001</v>
      </c>
      <c r="DH140" s="618">
        <f t="shared" si="111"/>
        <v>47278.48449599999</v>
      </c>
      <c r="DI140" s="618">
        <f t="shared" si="112"/>
        <v>108549.90319679999</v>
      </c>
      <c r="DJ140" s="106"/>
    </row>
    <row r="141" spans="1:114" ht="66.75" hidden="1" customHeight="1" thickBot="1">
      <c r="A141" s="20">
        <f t="shared" si="130"/>
        <v>126</v>
      </c>
      <c r="B141" s="1900"/>
      <c r="C141" s="1900"/>
      <c r="D141" s="739" t="s">
        <v>188</v>
      </c>
      <c r="E141" s="696">
        <v>4629043694</v>
      </c>
      <c r="F141" s="696" t="s">
        <v>8</v>
      </c>
      <c r="G141" s="696" t="s">
        <v>911</v>
      </c>
      <c r="H141" s="697">
        <v>162.32400000000001</v>
      </c>
      <c r="I141" s="740">
        <v>0</v>
      </c>
      <c r="J141" s="740">
        <v>0</v>
      </c>
      <c r="K141" s="740">
        <v>0</v>
      </c>
      <c r="L141" s="697">
        <v>162.32400000000001</v>
      </c>
      <c r="M141" s="163">
        <v>0</v>
      </c>
      <c r="N141" s="738">
        <f>145.03*1.2</f>
        <v>174.036</v>
      </c>
      <c r="O141" s="163">
        <v>0</v>
      </c>
      <c r="P141" s="163">
        <v>0</v>
      </c>
      <c r="Q141" s="163">
        <v>0</v>
      </c>
      <c r="R141" s="738">
        <f>N141</f>
        <v>174.036</v>
      </c>
      <c r="S141" s="163">
        <v>0</v>
      </c>
      <c r="T141" s="35"/>
      <c r="U141" s="15"/>
      <c r="V141" s="600"/>
      <c r="W141" s="180"/>
      <c r="X141" s="15"/>
      <c r="Y141" s="15"/>
      <c r="Z141" s="35">
        <f>SUM(T141:W141)</f>
        <v>0</v>
      </c>
      <c r="AA141" s="35"/>
      <c r="AB141" s="15"/>
      <c r="AC141" s="600"/>
      <c r="AD141" s="15"/>
      <c r="AE141" s="15"/>
      <c r="AF141" s="15"/>
      <c r="AG141" s="35">
        <f>SUM(AA141:AD141)</f>
        <v>0</v>
      </c>
      <c r="AH141" s="35">
        <f t="shared" si="113"/>
        <v>0</v>
      </c>
      <c r="AI141" s="15"/>
      <c r="AJ141" s="15"/>
      <c r="AK141" s="15"/>
      <c r="AL141" s="179">
        <f>AD141+W141</f>
        <v>0</v>
      </c>
      <c r="AM141" s="15"/>
      <c r="AN141" s="15"/>
      <c r="AO141" s="15"/>
      <c r="AP141" s="15"/>
      <c r="AQ141" s="15">
        <f t="shared" si="151"/>
        <v>0</v>
      </c>
      <c r="AR141" s="127">
        <f t="shared" si="114"/>
        <v>0</v>
      </c>
      <c r="AS141" s="112"/>
      <c r="AT141" s="112"/>
      <c r="AU141" s="112"/>
      <c r="AV141" s="112">
        <f>L141*AL141</f>
        <v>0</v>
      </c>
      <c r="AW141" s="112"/>
      <c r="AX141" s="112"/>
      <c r="AY141" s="112"/>
      <c r="AZ141" s="112"/>
      <c r="BA141" s="112"/>
      <c r="BB141" s="112"/>
      <c r="BC141" s="112">
        <f>R141*AL141</f>
        <v>0</v>
      </c>
      <c r="BD141" s="112"/>
      <c r="BE141" s="112"/>
      <c r="BF141" s="112"/>
      <c r="BG141" s="112"/>
      <c r="BH141" s="112"/>
      <c r="BI141" s="112"/>
      <c r="BJ141" s="18">
        <v>811.32227</v>
      </c>
      <c r="BK141" s="18">
        <v>1212.72</v>
      </c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>
        <f t="shared" si="150"/>
        <v>0</v>
      </c>
      <c r="BX141" s="112">
        <f t="shared" si="121"/>
        <v>0</v>
      </c>
      <c r="BY141" s="112">
        <f t="shared" si="122"/>
        <v>0</v>
      </c>
      <c r="BZ141" s="113">
        <f>BM141+BT141</f>
        <v>0</v>
      </c>
      <c r="CA141" s="113">
        <f>BN141+BU141</f>
        <v>0</v>
      </c>
      <c r="CB141" s="113">
        <f t="shared" si="123"/>
        <v>0</v>
      </c>
      <c r="CC141" s="119" t="e">
        <f>BZ141/AJ141</f>
        <v>#DIV/0!</v>
      </c>
      <c r="CD141" s="119" t="e">
        <f>CA141/AK141</f>
        <v>#DIV/0!</v>
      </c>
      <c r="CE141" s="119" t="e">
        <f t="shared" si="124"/>
        <v>#DIV/0!</v>
      </c>
      <c r="CF141" s="113" t="e">
        <f t="shared" si="95"/>
        <v>#DIV/0!</v>
      </c>
      <c r="CG141" s="619">
        <f t="shared" si="96"/>
        <v>0</v>
      </c>
      <c r="CH141" s="132" t="e">
        <f t="shared" si="125"/>
        <v>#DIV/0!</v>
      </c>
      <c r="CI141" s="106"/>
      <c r="CJ141" s="112">
        <f t="shared" si="97"/>
        <v>0</v>
      </c>
      <c r="CK141" s="112">
        <f t="shared" si="98"/>
        <v>0</v>
      </c>
      <c r="CL141" s="112">
        <f>CJ141+CK141</f>
        <v>0</v>
      </c>
      <c r="CM141" s="112">
        <f t="shared" si="99"/>
        <v>0</v>
      </c>
      <c r="CN141" s="112">
        <v>0</v>
      </c>
      <c r="CO141" s="112"/>
      <c r="CP141" s="112"/>
      <c r="CQ141" s="112">
        <v>0</v>
      </c>
      <c r="CR141" s="112"/>
      <c r="CS141" s="112"/>
      <c r="CT141" s="112">
        <f t="shared" si="126"/>
        <v>0</v>
      </c>
      <c r="CU141" s="124"/>
      <c r="CV141" s="112"/>
      <c r="CW141" s="112"/>
      <c r="CX141" s="112"/>
      <c r="CY141" s="112"/>
      <c r="CZ141" s="112"/>
      <c r="DA141" s="106"/>
      <c r="DB141" s="128" t="e">
        <f t="shared" si="129"/>
        <v>#DIV/0!</v>
      </c>
      <c r="DC141" s="106"/>
      <c r="DD141" s="106"/>
      <c r="DE141" s="106"/>
      <c r="DF141" s="106"/>
      <c r="DG141" s="618">
        <f t="shared" si="110"/>
        <v>0</v>
      </c>
      <c r="DH141" s="618">
        <f t="shared" si="111"/>
        <v>0</v>
      </c>
      <c r="DI141" s="618">
        <f t="shared" si="112"/>
        <v>0</v>
      </c>
      <c r="DJ141" s="106"/>
    </row>
    <row r="142" spans="1:114" s="27" customFormat="1" ht="66.75" hidden="1" customHeight="1" thickBot="1">
      <c r="A142" s="28"/>
      <c r="B142" s="189"/>
      <c r="C142" s="189"/>
      <c r="D142" s="190"/>
      <c r="E142" s="189"/>
      <c r="F142" s="189"/>
      <c r="G142" s="189"/>
      <c r="H142" s="40"/>
      <c r="L142" s="40"/>
      <c r="N142" s="40"/>
      <c r="R142" s="40"/>
      <c r="T142" s="39"/>
      <c r="V142" s="601">
        <f>SUM(V14:V141)</f>
        <v>221738.3961519881</v>
      </c>
      <c r="W142" s="598"/>
      <c r="X142" s="599"/>
      <c r="Y142" s="599"/>
      <c r="Z142" s="599"/>
      <c r="AA142" s="599"/>
      <c r="AB142" s="599"/>
      <c r="AC142" s="601">
        <f>SUM(AC14:AC141)</f>
        <v>206040.46853611013</v>
      </c>
      <c r="AG142" s="39"/>
      <c r="AH142" s="601">
        <f>SUM(AH14:AH141)</f>
        <v>3665789.3969098451</v>
      </c>
      <c r="AJ142" s="601">
        <f>SUM(AJ14:AJ141)</f>
        <v>2151743.3423429844</v>
      </c>
      <c r="AK142" s="601">
        <f>SUM(AK14:AK141)</f>
        <v>427778.86468809814</v>
      </c>
      <c r="AL142" s="192"/>
      <c r="AR142" s="122"/>
      <c r="AS142" s="113"/>
      <c r="AT142" s="113"/>
      <c r="AU142" s="113"/>
      <c r="AV142" s="113"/>
      <c r="AW142" s="113"/>
      <c r="AX142" s="113"/>
      <c r="AY142" s="113"/>
      <c r="AZ142" s="113"/>
      <c r="BA142" s="113"/>
      <c r="BB142" s="113"/>
      <c r="BC142" s="113"/>
      <c r="BD142" s="113"/>
      <c r="BE142" s="113"/>
      <c r="BF142" s="113"/>
      <c r="BG142" s="113"/>
      <c r="BH142" s="113"/>
      <c r="BI142" s="113"/>
      <c r="BJ142" s="161"/>
      <c r="BK142" s="161"/>
      <c r="BL142" s="113"/>
      <c r="BM142" s="113"/>
      <c r="BN142" s="113"/>
      <c r="BO142" s="113"/>
      <c r="BP142" s="113"/>
      <c r="BQ142" s="113"/>
      <c r="BR142" s="113"/>
      <c r="BS142" s="113"/>
      <c r="BT142" s="113"/>
      <c r="BU142" s="113"/>
      <c r="BV142" s="113"/>
      <c r="BW142" s="113"/>
      <c r="BX142" s="113"/>
      <c r="BY142" s="113"/>
      <c r="BZ142" s="113"/>
      <c r="CA142" s="113"/>
      <c r="CB142" s="113"/>
      <c r="CC142" s="119"/>
      <c r="CD142" s="119"/>
      <c r="CE142" s="119"/>
      <c r="CF142" s="113"/>
      <c r="CG142" s="619"/>
      <c r="CH142" s="619"/>
      <c r="CI142" s="113"/>
      <c r="CJ142" s="112"/>
      <c r="CK142" s="112"/>
      <c r="CL142" s="112"/>
      <c r="CM142" s="112"/>
      <c r="CN142" s="112"/>
      <c r="CO142" s="112"/>
      <c r="CP142" s="112"/>
      <c r="CQ142" s="112"/>
      <c r="CR142" s="112"/>
      <c r="CS142" s="112"/>
      <c r="CT142" s="112"/>
      <c r="CU142" s="124"/>
      <c r="CV142" s="112"/>
      <c r="CW142" s="112"/>
      <c r="CX142" s="112"/>
      <c r="CY142" s="112"/>
      <c r="CZ142" s="112"/>
      <c r="DA142" s="113"/>
      <c r="DB142" s="119"/>
      <c r="DC142" s="113"/>
      <c r="DD142" s="113"/>
      <c r="DE142" s="113"/>
      <c r="DF142" s="113"/>
      <c r="DG142" s="618">
        <f t="shared" ref="DG142:DG147" si="152">M142*X142/1000</f>
        <v>0</v>
      </c>
      <c r="DH142" s="618">
        <f t="shared" ref="DH142:DH147" si="153">S142*AE142/1000</f>
        <v>0</v>
      </c>
      <c r="DI142" s="618">
        <f t="shared" ref="DI142:DI147" si="154">DG142+DH142</f>
        <v>0</v>
      </c>
      <c r="DJ142" s="113"/>
    </row>
    <row r="143" spans="1:114" s="27" customFormat="1" ht="66.75" hidden="1" customHeight="1">
      <c r="A143" s="28"/>
      <c r="B143" s="189"/>
      <c r="C143" s="189"/>
      <c r="D143" s="190"/>
      <c r="E143" s="189"/>
      <c r="F143" s="189"/>
      <c r="G143" s="189"/>
      <c r="H143" s="40"/>
      <c r="L143" s="40"/>
      <c r="N143" s="40"/>
      <c r="R143" s="40"/>
      <c r="T143" s="39"/>
      <c r="V143" s="209"/>
      <c r="W143" s="191"/>
      <c r="Z143" s="39"/>
      <c r="AA143" s="39"/>
      <c r="AC143" s="602">
        <f>V142+AC142</f>
        <v>427778.8646880982</v>
      </c>
      <c r="AG143" s="39"/>
      <c r="AH143" s="39">
        <f>SUM(AH14:AH141)</f>
        <v>3665789.3969098451</v>
      </c>
      <c r="AI143" s="39">
        <f t="shared" ref="AI143:CT143" si="155">SUM(AI14:AI141)</f>
        <v>588352.14087876235</v>
      </c>
      <c r="AJ143" s="39">
        <f t="shared" si="155"/>
        <v>2151743.3423429844</v>
      </c>
      <c r="AK143" s="39">
        <f t="shared" si="155"/>
        <v>427778.86468809814</v>
      </c>
      <c r="AL143" s="39">
        <f t="shared" si="155"/>
        <v>497915.04900000006</v>
      </c>
      <c r="AM143" s="39">
        <f t="shared" si="155"/>
        <v>707619.45</v>
      </c>
      <c r="AN143" s="39">
        <f t="shared" si="155"/>
        <v>19905.739999999998</v>
      </c>
      <c r="AO143" s="39">
        <f t="shared" si="155"/>
        <v>4393314.5869098455</v>
      </c>
      <c r="AP143" s="39">
        <f t="shared" si="155"/>
        <v>4373408.8469098452</v>
      </c>
      <c r="AQ143" s="39">
        <f t="shared" si="155"/>
        <v>3665789.3969098451</v>
      </c>
      <c r="AR143" s="39">
        <f t="shared" si="155"/>
        <v>0</v>
      </c>
      <c r="AS143" s="39">
        <f t="shared" si="155"/>
        <v>1282293161.9769917</v>
      </c>
      <c r="AT143" s="39">
        <f t="shared" si="155"/>
        <v>3964553560.0783243</v>
      </c>
      <c r="AU143" s="39">
        <f t="shared" si="155"/>
        <v>743671622.69775915</v>
      </c>
      <c r="AV143" s="39">
        <f t="shared" si="155"/>
        <v>802454862.63571596</v>
      </c>
      <c r="AW143" s="39">
        <f t="shared" si="155"/>
        <v>721729459.57289994</v>
      </c>
      <c r="AX143" s="39">
        <f t="shared" si="155"/>
        <v>7504652345.0666914</v>
      </c>
      <c r="AY143" s="39">
        <f t="shared" si="155"/>
        <v>6782922885.4937906</v>
      </c>
      <c r="AZ143" s="39">
        <f t="shared" si="155"/>
        <v>1384436916.114784</v>
      </c>
      <c r="BA143" s="39">
        <f t="shared" si="155"/>
        <v>4137285507.5137701</v>
      </c>
      <c r="BB143" s="39">
        <f t="shared" si="155"/>
        <v>776598315.08289623</v>
      </c>
      <c r="BC143" s="39">
        <f t="shared" si="155"/>
        <v>886615920.69939041</v>
      </c>
      <c r="BD143" s="39">
        <f t="shared" si="155"/>
        <v>767005011.48511672</v>
      </c>
      <c r="BE143" s="39">
        <f t="shared" si="155"/>
        <v>7939527760.403759</v>
      </c>
      <c r="BF143" s="39">
        <f t="shared" si="155"/>
        <v>7172522748.9186411</v>
      </c>
      <c r="BG143" s="39">
        <f t="shared" si="155"/>
        <v>78160.902503646765</v>
      </c>
      <c r="BH143" s="39">
        <f t="shared" si="155"/>
        <v>149574.29076555104</v>
      </c>
      <c r="BI143" s="39">
        <f t="shared" si="155"/>
        <v>227735.1932691978</v>
      </c>
      <c r="BJ143" s="39">
        <f t="shared" si="155"/>
        <v>5376826.3760106172</v>
      </c>
      <c r="BK143" s="39">
        <f t="shared" si="155"/>
        <v>7140763.7885215124</v>
      </c>
      <c r="BL143" s="39">
        <f t="shared" si="155"/>
        <v>788792304.23649645</v>
      </c>
      <c r="BM143" s="39">
        <f t="shared" si="155"/>
        <v>2279964801.115602</v>
      </c>
      <c r="BN143" s="39">
        <f t="shared" si="155"/>
        <v>386990594.37695783</v>
      </c>
      <c r="BO143" s="39">
        <f t="shared" si="155"/>
        <v>494628657.66269201</v>
      </c>
      <c r="BP143" s="39">
        <f t="shared" si="155"/>
        <v>407982625.97430003</v>
      </c>
      <c r="BQ143" s="39">
        <f t="shared" si="155"/>
        <v>4353213732.251049</v>
      </c>
      <c r="BR143" s="39">
        <f t="shared" si="155"/>
        <v>3945231106.2767487</v>
      </c>
      <c r="BS143" s="39">
        <f t="shared" si="155"/>
        <v>533181142.8177436</v>
      </c>
      <c r="BT143" s="39">
        <f t="shared" si="155"/>
        <v>1757907680.8282042</v>
      </c>
      <c r="BU143" s="39">
        <f t="shared" si="155"/>
        <v>372455986.60754144</v>
      </c>
      <c r="BV143" s="39">
        <f t="shared" si="155"/>
        <v>546898148.76554239</v>
      </c>
      <c r="BW143" s="39">
        <f t="shared" si="155"/>
        <v>333335092.76672179</v>
      </c>
      <c r="BX143" s="39">
        <f t="shared" si="155"/>
        <v>3539841312.275754</v>
      </c>
      <c r="BY143" s="39">
        <f t="shared" si="155"/>
        <v>3206506219.5090322</v>
      </c>
      <c r="BZ143" s="39">
        <f t="shared" si="155"/>
        <v>4037872481.9438066</v>
      </c>
      <c r="CA143" s="39">
        <f t="shared" si="155"/>
        <v>759446580.98449934</v>
      </c>
      <c r="CB143" s="39">
        <f t="shared" si="155"/>
        <v>4797319062.9283047</v>
      </c>
      <c r="CC143" s="39" t="e">
        <f t="shared" si="155"/>
        <v>#DIV/0!</v>
      </c>
      <c r="CD143" s="39" t="e">
        <f t="shared" si="155"/>
        <v>#DIV/0!</v>
      </c>
      <c r="CE143" s="39" t="e">
        <f t="shared" si="155"/>
        <v>#DIV/0!</v>
      </c>
      <c r="CF143" s="39" t="e">
        <f t="shared" si="155"/>
        <v>#DIV/0!</v>
      </c>
      <c r="CG143" s="39">
        <f t="shared" si="155"/>
        <v>4916582073.4260454</v>
      </c>
      <c r="CH143" s="39" t="e">
        <f t="shared" si="155"/>
        <v>#DIV/0!</v>
      </c>
      <c r="CI143" s="39">
        <f t="shared" si="155"/>
        <v>0</v>
      </c>
      <c r="CJ143" s="39">
        <f t="shared" si="155"/>
        <v>4041158.9183807462</v>
      </c>
      <c r="CK143" s="39">
        <f t="shared" si="155"/>
        <v>3178183.8330262066</v>
      </c>
      <c r="CL143" s="780">
        <f t="shared" si="155"/>
        <v>7219342.7514069537</v>
      </c>
      <c r="CM143" s="39">
        <f t="shared" si="155"/>
        <v>7219342751.4069538</v>
      </c>
      <c r="CN143" s="777">
        <f t="shared" si="155"/>
        <v>6793940261.8962288</v>
      </c>
      <c r="CO143" s="39">
        <f t="shared" si="155"/>
        <v>6809962627.8249016</v>
      </c>
      <c r="CP143" s="778">
        <f t="shared" si="155"/>
        <v>3949534604.486084</v>
      </c>
      <c r="CQ143" s="39">
        <f t="shared" si="155"/>
        <v>7183914184.719408</v>
      </c>
      <c r="CR143" s="122">
        <f t="shared" si="155"/>
        <v>7199085004.913414</v>
      </c>
      <c r="CS143" s="778">
        <f t="shared" si="155"/>
        <v>3003111164.2328506</v>
      </c>
      <c r="CT143" s="39">
        <f t="shared" si="155"/>
        <v>13977854446.615637</v>
      </c>
      <c r="CU143" s="39" t="e">
        <f t="shared" ref="CU143:DI143" si="156">SUM(CU14:CU141)</f>
        <v>#DIV/0!</v>
      </c>
      <c r="CV143" s="39">
        <f t="shared" si="156"/>
        <v>4714938481.505722</v>
      </c>
      <c r="CW143" s="39">
        <f t="shared" si="156"/>
        <v>4920840943.7089319</v>
      </c>
      <c r="CX143" s="39">
        <f t="shared" si="156"/>
        <v>9635779425.2146549</v>
      </c>
      <c r="CY143" s="39">
        <f t="shared" si="156"/>
        <v>6954911711.0519476</v>
      </c>
      <c r="CZ143" s="39">
        <f t="shared" si="156"/>
        <v>7589765152.2078552</v>
      </c>
      <c r="DA143" s="39">
        <f t="shared" si="156"/>
        <v>0</v>
      </c>
      <c r="DB143" s="39" t="e">
        <f t="shared" si="156"/>
        <v>#DIV/0!</v>
      </c>
      <c r="DC143" s="39">
        <f t="shared" si="156"/>
        <v>0</v>
      </c>
      <c r="DD143" s="39">
        <f t="shared" si="156"/>
        <v>0</v>
      </c>
      <c r="DE143" s="39">
        <f t="shared" si="156"/>
        <v>0</v>
      </c>
      <c r="DF143" s="39">
        <f t="shared" si="156"/>
        <v>0</v>
      </c>
      <c r="DG143" s="39">
        <f t="shared" si="156"/>
        <v>407982.62597430003</v>
      </c>
      <c r="DH143" s="39">
        <f t="shared" si="156"/>
        <v>333335.09276672185</v>
      </c>
      <c r="DI143" s="780">
        <f t="shared" si="156"/>
        <v>741317.71874102193</v>
      </c>
      <c r="DJ143" s="113"/>
    </row>
    <row r="144" spans="1:114" s="27" customFormat="1" ht="66.75" customHeight="1">
      <c r="A144" s="28"/>
      <c r="B144" s="189"/>
      <c r="C144" s="189"/>
      <c r="D144" s="190"/>
      <c r="E144" s="189"/>
      <c r="F144" s="189"/>
      <c r="G144" s="189"/>
      <c r="H144" s="40"/>
      <c r="L144" s="40"/>
      <c r="N144" s="40"/>
      <c r="R144" s="40"/>
      <c r="T144" s="39"/>
      <c r="U144" s="39"/>
      <c r="V144" s="39"/>
      <c r="W144" s="39"/>
      <c r="X144" s="39"/>
      <c r="Y144" s="39"/>
      <c r="Z144" s="773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122"/>
      <c r="AS144" s="113"/>
      <c r="AT144" s="113"/>
      <c r="AU144" s="113"/>
      <c r="AV144" s="113"/>
      <c r="AW144" s="113"/>
      <c r="AX144" s="113"/>
      <c r="AY144" s="113"/>
      <c r="AZ144" s="113"/>
      <c r="BA144" s="113"/>
      <c r="BB144" s="113"/>
      <c r="BC144" s="113"/>
      <c r="BD144" s="113"/>
      <c r="BE144" s="113"/>
      <c r="BF144" s="113"/>
      <c r="BG144" s="113"/>
      <c r="BH144" s="39"/>
      <c r="BI144" s="775"/>
      <c r="BJ144" s="161"/>
      <c r="BK144" s="161"/>
      <c r="BL144" s="113"/>
      <c r="BM144" s="113"/>
      <c r="BN144" s="113"/>
      <c r="BO144" s="113"/>
      <c r="BP144" s="113"/>
      <c r="BQ144" s="113"/>
      <c r="BR144" s="113"/>
      <c r="BS144" s="113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119"/>
      <c r="CD144" s="119"/>
      <c r="CE144" s="119"/>
      <c r="CF144" s="113"/>
      <c r="CG144" s="619"/>
      <c r="CH144" s="619"/>
      <c r="CI144" s="113"/>
      <c r="CJ144" s="112"/>
      <c r="CK144" s="112"/>
      <c r="CL144" s="779"/>
      <c r="CM144" s="112"/>
      <c r="CN144" s="112"/>
      <c r="CO144" s="112"/>
      <c r="CP144" s="112"/>
      <c r="CQ144" s="112"/>
      <c r="CR144" s="112"/>
      <c r="CS144" s="701">
        <f>CS143+CP143</f>
        <v>6952645768.718935</v>
      </c>
      <c r="CT144" s="112"/>
      <c r="CU144" s="124"/>
      <c r="CV144" s="112"/>
      <c r="CW144" s="112"/>
      <c r="CX144" s="112"/>
      <c r="CY144" s="112"/>
      <c r="CZ144" s="112"/>
      <c r="DA144" s="113"/>
      <c r="DB144" s="119"/>
      <c r="DC144" s="113"/>
      <c r="DD144" s="113"/>
      <c r="DE144" s="113"/>
      <c r="DF144" s="113"/>
      <c r="DG144" s="618">
        <f t="shared" si="152"/>
        <v>0</v>
      </c>
      <c r="DH144" s="618">
        <f t="shared" si="153"/>
        <v>0</v>
      </c>
      <c r="DI144" s="618">
        <f t="shared" si="154"/>
        <v>0</v>
      </c>
      <c r="DJ144" s="113"/>
    </row>
    <row r="145" spans="1:114" s="27" customFormat="1" ht="66.75" customHeight="1">
      <c r="A145" s="28"/>
      <c r="B145" s="189"/>
      <c r="C145" s="189"/>
      <c r="D145" s="190"/>
      <c r="E145" s="189"/>
      <c r="F145" s="189"/>
      <c r="G145" s="189"/>
      <c r="H145" s="40"/>
      <c r="L145" s="40"/>
      <c r="N145" s="40"/>
      <c r="R145" s="40"/>
      <c r="T145" s="39"/>
      <c r="U145" s="39"/>
      <c r="V145" s="39"/>
      <c r="W145" s="39"/>
      <c r="X145" s="773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122"/>
      <c r="AS145" s="113"/>
      <c r="AT145" s="113"/>
      <c r="AU145" s="113"/>
      <c r="AV145" s="113"/>
      <c r="AW145" s="113"/>
      <c r="AX145" s="113"/>
      <c r="AY145" s="113"/>
      <c r="AZ145" s="113"/>
      <c r="BA145" s="113"/>
      <c r="BB145" s="113"/>
      <c r="BC145" s="113"/>
      <c r="BD145" s="113"/>
      <c r="BE145" s="113"/>
      <c r="BF145" s="113"/>
      <c r="BG145" s="113"/>
      <c r="BH145" s="113"/>
      <c r="BI145" s="113"/>
      <c r="BJ145" s="161"/>
      <c r="BK145" s="161"/>
      <c r="BL145" s="113"/>
      <c r="BM145" s="113"/>
      <c r="BN145" s="113"/>
      <c r="BO145" s="113"/>
      <c r="BP145" s="113"/>
      <c r="BQ145" s="113"/>
      <c r="BR145" s="113"/>
      <c r="BS145" s="113"/>
      <c r="BT145" s="113"/>
      <c r="BU145" s="113"/>
      <c r="BV145" s="113"/>
      <c r="BW145" s="113"/>
      <c r="BX145" s="113"/>
      <c r="BY145" s="113"/>
      <c r="BZ145" s="113"/>
      <c r="CA145" s="113"/>
      <c r="CB145" s="113"/>
      <c r="CC145" s="119"/>
      <c r="CD145" s="119"/>
      <c r="CE145" s="119"/>
      <c r="CF145" s="113"/>
      <c r="CG145" s="619"/>
      <c r="CH145" s="619"/>
      <c r="CI145" s="113"/>
      <c r="CJ145" s="112"/>
      <c r="CK145" s="112"/>
      <c r="CL145" s="779">
        <f>CS144/1000</f>
        <v>6952645.7687189346</v>
      </c>
      <c r="CM145" s="112"/>
      <c r="CN145" s="112"/>
      <c r="CO145" s="112"/>
      <c r="CP145" s="112"/>
      <c r="CQ145" s="112"/>
      <c r="CR145" s="112"/>
      <c r="CS145" s="779">
        <f>CL143-CL145</f>
        <v>266696.98268801905</v>
      </c>
      <c r="CT145" s="112"/>
      <c r="CU145" s="124"/>
      <c r="CV145" s="112"/>
      <c r="CW145" s="112"/>
      <c r="CX145" s="112"/>
      <c r="CY145" s="112"/>
      <c r="CZ145" s="112"/>
      <c r="DA145" s="113"/>
      <c r="DB145" s="119"/>
      <c r="DC145" s="113"/>
      <c r="DD145" s="113"/>
      <c r="DE145" s="113"/>
      <c r="DF145" s="113"/>
      <c r="DG145" s="618">
        <f t="shared" si="152"/>
        <v>0</v>
      </c>
      <c r="DH145" s="618">
        <f t="shared" si="153"/>
        <v>0</v>
      </c>
      <c r="DI145" s="618">
        <f t="shared" si="154"/>
        <v>0</v>
      </c>
      <c r="DJ145" s="113"/>
    </row>
    <row r="146" spans="1:114" s="8" customFormat="1" ht="25.5" hidden="1">
      <c r="A146" s="20">
        <f>A141+1</f>
        <v>127</v>
      </c>
      <c r="B146" s="3"/>
      <c r="C146" s="4"/>
      <c r="D146" s="4"/>
      <c r="E146" s="4"/>
      <c r="F146" s="4"/>
      <c r="G146" s="4"/>
      <c r="I146" s="34"/>
      <c r="J146" s="687"/>
      <c r="T146" s="31"/>
      <c r="U146" s="6"/>
      <c r="V146" s="228"/>
      <c r="AA146" s="31"/>
      <c r="AB146" s="6">
        <f>AB57+AC57</f>
        <v>220.11</v>
      </c>
      <c r="AC146" s="228"/>
      <c r="AD146" s="24"/>
      <c r="AI146" s="4">
        <f t="shared" ref="AI146:AQ146" si="157">SUM(AI14:AI141)</f>
        <v>588352.14087876235</v>
      </c>
      <c r="AJ146" s="4">
        <f t="shared" si="157"/>
        <v>2151743.3423429844</v>
      </c>
      <c r="AK146" s="4">
        <f t="shared" si="157"/>
        <v>427778.86468809814</v>
      </c>
      <c r="AL146" s="4">
        <f t="shared" si="157"/>
        <v>497915.04900000006</v>
      </c>
      <c r="AM146" s="4">
        <f t="shared" si="157"/>
        <v>707619.45</v>
      </c>
      <c r="AN146" s="4">
        <f t="shared" si="157"/>
        <v>19905.739999999998</v>
      </c>
      <c r="AO146" s="4">
        <f t="shared" si="157"/>
        <v>4393314.5869098455</v>
      </c>
      <c r="AP146" s="4">
        <f t="shared" si="157"/>
        <v>4373408.8469098452</v>
      </c>
      <c r="AQ146" s="4">
        <f t="shared" si="157"/>
        <v>3665789.3969098451</v>
      </c>
      <c r="AR146" s="129"/>
      <c r="AS146" s="129">
        <f t="shared" ref="AS146:BI146" si="158">SUM(AS14:AS141)</f>
        <v>1282293161.9769917</v>
      </c>
      <c r="AT146" s="129">
        <f t="shared" si="158"/>
        <v>3964553560.0783243</v>
      </c>
      <c r="AU146" s="129">
        <f t="shared" si="158"/>
        <v>743671622.69775915</v>
      </c>
      <c r="AV146" s="129">
        <f t="shared" si="158"/>
        <v>802454862.63571596</v>
      </c>
      <c r="AW146" s="129">
        <f t="shared" si="158"/>
        <v>721729459.57289994</v>
      </c>
      <c r="AX146" s="129">
        <f t="shared" si="158"/>
        <v>7504652345.0666914</v>
      </c>
      <c r="AY146" s="129">
        <f t="shared" si="158"/>
        <v>6782922885.4937906</v>
      </c>
      <c r="AZ146" s="129">
        <f t="shared" si="158"/>
        <v>1384436916.114784</v>
      </c>
      <c r="BA146" s="129">
        <f t="shared" si="158"/>
        <v>4137285507.5137701</v>
      </c>
      <c r="BB146" s="129">
        <f t="shared" si="158"/>
        <v>776598315.08289623</v>
      </c>
      <c r="BC146" s="129">
        <f t="shared" si="158"/>
        <v>886615920.69939041</v>
      </c>
      <c r="BD146" s="129">
        <f t="shared" si="158"/>
        <v>767005011.48511672</v>
      </c>
      <c r="BE146" s="129">
        <f t="shared" si="158"/>
        <v>7939527760.403759</v>
      </c>
      <c r="BF146" s="129">
        <f t="shared" si="158"/>
        <v>7172522748.9186411</v>
      </c>
      <c r="BG146" s="129">
        <f t="shared" si="158"/>
        <v>78160.902503646765</v>
      </c>
      <c r="BH146" s="129">
        <f t="shared" si="158"/>
        <v>149574.29076555104</v>
      </c>
      <c r="BI146" s="129">
        <f t="shared" si="158"/>
        <v>227735.1932691978</v>
      </c>
      <c r="BJ146" s="129"/>
      <c r="BK146" s="129"/>
      <c r="BL146" s="129">
        <f t="shared" ref="BL146:CA146" si="159">SUM(BL14:BL141)/1000</f>
        <v>788792.30423649645</v>
      </c>
      <c r="BM146" s="129">
        <f t="shared" si="159"/>
        <v>2279964.8011156018</v>
      </c>
      <c r="BN146" s="129">
        <f t="shared" si="159"/>
        <v>386990.59437695786</v>
      </c>
      <c r="BO146" s="129">
        <f t="shared" si="159"/>
        <v>494628.65766269201</v>
      </c>
      <c r="BP146" s="129">
        <f t="shared" si="159"/>
        <v>407982.62597430003</v>
      </c>
      <c r="BQ146" s="129">
        <f t="shared" si="159"/>
        <v>4353213.732251049</v>
      </c>
      <c r="BR146" s="129">
        <f t="shared" si="159"/>
        <v>3945231.1062767487</v>
      </c>
      <c r="BS146" s="129">
        <f t="shared" si="159"/>
        <v>533181.14281774359</v>
      </c>
      <c r="BT146" s="129">
        <f t="shared" si="159"/>
        <v>1757907.6808282041</v>
      </c>
      <c r="BU146" s="129">
        <f t="shared" si="159"/>
        <v>372455.98660754145</v>
      </c>
      <c r="BV146" s="129">
        <f t="shared" si="159"/>
        <v>546898.14876554243</v>
      </c>
      <c r="BW146" s="129">
        <f t="shared" si="159"/>
        <v>333335.09276672179</v>
      </c>
      <c r="BX146" s="129">
        <f t="shared" si="159"/>
        <v>3539841.3122757538</v>
      </c>
      <c r="BY146" s="129">
        <f t="shared" si="159"/>
        <v>3206506.2195090321</v>
      </c>
      <c r="BZ146" s="129">
        <f t="shared" si="159"/>
        <v>4037872.4819438066</v>
      </c>
      <c r="CA146" s="129">
        <f t="shared" si="159"/>
        <v>759446.58098449931</v>
      </c>
      <c r="CB146" s="129">
        <f>SUM(CB14:CB141)</f>
        <v>4797319062.9283047</v>
      </c>
      <c r="CC146" s="119">
        <f>BZ146/AJ146*1000</f>
        <v>1876.5586036609084</v>
      </c>
      <c r="CD146" s="119">
        <f>CA146/AK146*1000</f>
        <v>1775.3251590356774</v>
      </c>
      <c r="CE146" s="119">
        <f>CB146/AJ147</f>
        <v>1859.7704062605492</v>
      </c>
      <c r="CF146" s="113" t="e">
        <f>CB146/(U146+V146+#REF!+AC146)</f>
        <v>#REF!</v>
      </c>
      <c r="CG146" s="619">
        <f>SUM(CG14:CG141)</f>
        <v>4916582073.4260454</v>
      </c>
      <c r="CH146" s="128">
        <f>CG146/(AJ146+AK146)</f>
        <v>1906.0049415448984</v>
      </c>
      <c r="CI146" s="120"/>
      <c r="CJ146" s="118"/>
      <c r="CK146" s="118"/>
      <c r="CL146" s="118"/>
      <c r="CM146" s="118">
        <f>SUM(CM14:CM141)</f>
        <v>7219342751.4069538</v>
      </c>
      <c r="CN146" s="118"/>
      <c r="CO146" s="118"/>
      <c r="CP146" s="118"/>
      <c r="CQ146" s="118"/>
      <c r="CR146" s="118"/>
      <c r="CS146" s="118"/>
      <c r="CT146" s="118"/>
      <c r="CU146" s="118"/>
      <c r="CV146" s="118"/>
      <c r="CW146" s="118"/>
      <c r="CX146" s="118"/>
      <c r="CY146" s="118"/>
      <c r="CZ146" s="118"/>
      <c r="DA146" s="120"/>
      <c r="DB146" s="128" t="e">
        <f t="shared" ref="DB146:DB151" si="160">N146/J146*100</f>
        <v>#DIV/0!</v>
      </c>
      <c r="DC146" s="120"/>
      <c r="DD146" s="120"/>
      <c r="DE146" s="120"/>
      <c r="DF146" s="120"/>
      <c r="DG146" s="618">
        <f t="shared" si="152"/>
        <v>0</v>
      </c>
      <c r="DH146" s="618">
        <f t="shared" si="153"/>
        <v>0</v>
      </c>
      <c r="DI146" s="618">
        <f t="shared" si="154"/>
        <v>0</v>
      </c>
      <c r="DJ146" s="120"/>
    </row>
    <row r="147" spans="1:114" hidden="1">
      <c r="A147" s="20">
        <f t="shared" ref="A147:A168" si="161">A146+1</f>
        <v>128</v>
      </c>
      <c r="B147" s="2"/>
      <c r="C147" s="2"/>
      <c r="D147" s="2"/>
      <c r="E147" s="2"/>
      <c r="F147" s="2"/>
      <c r="G147" s="2"/>
      <c r="I147" s="34"/>
      <c r="J147" s="688"/>
      <c r="K147" s="27"/>
      <c r="T147" s="30">
        <f>SUM(T14:T141)</f>
        <v>361409.90211923898</v>
      </c>
      <c r="U147" s="30">
        <f>SUM(U14:U141)</f>
        <v>1238113.5157123199</v>
      </c>
      <c r="V147" s="229">
        <f>SUM(V14:V141)</f>
        <v>221738.3961519881</v>
      </c>
      <c r="W147" s="30">
        <f>SUM(W14:W141)</f>
        <v>311023.83300000004</v>
      </c>
      <c r="Z147" s="30">
        <f>SUM(Z14:Z141)</f>
        <v>2132285.6469835467</v>
      </c>
      <c r="AA147" s="30">
        <f>SUM(AA14:AA141)</f>
        <v>226942.23875952355</v>
      </c>
      <c r="AB147" s="30">
        <f>SUM(AB14:AB141)</f>
        <v>913629.82663066394</v>
      </c>
      <c r="AC147" s="229">
        <f>SUM(AC14:AC141)</f>
        <v>206040.46853611013</v>
      </c>
      <c r="AD147" s="30">
        <f>SUM(AD14:AD141)</f>
        <v>186891.21599999999</v>
      </c>
      <c r="AG147" s="30">
        <f>SUM(AG14:AG141)</f>
        <v>1533503.7499262975</v>
      </c>
      <c r="AH147" s="8">
        <f>SUM(AH14:AH141)</f>
        <v>3665789.3969098451</v>
      </c>
      <c r="AJ147" s="25">
        <f>AJ146+AK146</f>
        <v>2579522.2070310824</v>
      </c>
      <c r="AQ147" s="9">
        <f>AJ147/AQ146*100</f>
        <v>70.367441435821306</v>
      </c>
      <c r="AR147" s="128">
        <f>AH147-AQ148</f>
        <v>0</v>
      </c>
      <c r="AS147" s="106"/>
      <c r="AT147" s="106"/>
      <c r="AU147" s="130"/>
      <c r="AV147" s="106"/>
      <c r="AW147" s="106"/>
      <c r="AX147" s="106"/>
      <c r="AY147" s="106"/>
      <c r="AZ147" s="130"/>
      <c r="BA147" s="106"/>
      <c r="BB147" s="130"/>
      <c r="BC147" s="106"/>
      <c r="BD147" s="106"/>
      <c r="BE147" s="106"/>
      <c r="BF147" s="106"/>
      <c r="BG147" s="106"/>
      <c r="BH147" s="106"/>
      <c r="BI147" s="106"/>
      <c r="BJ147" s="106"/>
      <c r="BK147" s="106"/>
      <c r="BL147" s="106"/>
      <c r="BM147" s="106"/>
      <c r="BN147" s="106"/>
      <c r="BO147" s="106"/>
      <c r="BP147" s="106"/>
      <c r="BQ147" s="106"/>
      <c r="BR147" s="106"/>
      <c r="BS147" s="106"/>
      <c r="BT147" s="106"/>
      <c r="BU147" s="106"/>
      <c r="BV147" s="106"/>
      <c r="BW147" s="106"/>
      <c r="BX147" s="106"/>
      <c r="BY147" s="106"/>
      <c r="BZ147" s="130">
        <f>BZ146/AJ146*1000</f>
        <v>1876.5586036609084</v>
      </c>
      <c r="CA147" s="128">
        <f>CA146/AK146*1000</f>
        <v>1775.3251590356774</v>
      </c>
      <c r="CB147" s="128">
        <f>CB146/AJ147</f>
        <v>1859.7704062605492</v>
      </c>
      <c r="CC147" s="106">
        <f>BZ147/AJ147*1000</f>
        <v>0.72748301935370641</v>
      </c>
      <c r="CD147" s="106"/>
      <c r="CE147" s="120" t="e">
        <f>SUM(CE14:CE146)</f>
        <v>#DIV/0!</v>
      </c>
      <c r="CF147" s="106"/>
      <c r="CG147" s="106"/>
      <c r="CH147" s="106"/>
      <c r="CI147" s="106"/>
      <c r="CJ147" s="112">
        <f>SUM(CJ14:CJ141)</f>
        <v>4041158.9183807462</v>
      </c>
      <c r="CK147" s="112">
        <f>SUM(CK14:CK141)</f>
        <v>3178183.8330262066</v>
      </c>
      <c r="CL147" s="112">
        <f>SUM(CL14:CL141)</f>
        <v>7219342.7514069537</v>
      </c>
      <c r="CM147" s="112"/>
      <c r="CN147" s="112">
        <f t="shared" ref="CN147:CZ147" si="162">SUM(CN14:CN146)</f>
        <v>13587880523.792458</v>
      </c>
      <c r="CO147" s="112">
        <f t="shared" si="162"/>
        <v>13619925255.649803</v>
      </c>
      <c r="CP147" s="112">
        <f t="shared" si="162"/>
        <v>7899069208.972168</v>
      </c>
      <c r="CQ147" s="112">
        <f t="shared" si="162"/>
        <v>14367828369.438816</v>
      </c>
      <c r="CR147" s="112">
        <f t="shared" si="162"/>
        <v>14398170009.826828</v>
      </c>
      <c r="CS147" s="112">
        <f t="shared" si="162"/>
        <v>12959134794.167324</v>
      </c>
      <c r="CT147" s="112">
        <f t="shared" si="162"/>
        <v>27955708893.231274</v>
      </c>
      <c r="CU147" s="112" t="e">
        <f t="shared" si="162"/>
        <v>#DIV/0!</v>
      </c>
      <c r="CV147" s="118">
        <f t="shared" si="162"/>
        <v>9429876963.0114441</v>
      </c>
      <c r="CW147" s="118">
        <f t="shared" si="162"/>
        <v>9841681887.4178638</v>
      </c>
      <c r="CX147" s="118">
        <f t="shared" si="162"/>
        <v>19271558850.42931</v>
      </c>
      <c r="CY147" s="118">
        <f t="shared" si="162"/>
        <v>13909823422.103895</v>
      </c>
      <c r="CZ147" s="118">
        <f t="shared" si="162"/>
        <v>15179530304.41571</v>
      </c>
      <c r="DA147" s="106"/>
      <c r="DB147" s="128" t="e">
        <f t="shared" si="160"/>
        <v>#DIV/0!</v>
      </c>
      <c r="DC147" s="106"/>
      <c r="DD147" s="106"/>
      <c r="DE147" s="106"/>
      <c r="DF147" s="106"/>
      <c r="DG147" s="618">
        <f t="shared" si="152"/>
        <v>0</v>
      </c>
      <c r="DH147" s="618">
        <f t="shared" si="153"/>
        <v>0</v>
      </c>
      <c r="DI147" s="618">
        <f t="shared" si="154"/>
        <v>0</v>
      </c>
      <c r="DJ147" s="106"/>
    </row>
    <row r="148" spans="1:114" ht="22.5" hidden="1">
      <c r="A148" s="20">
        <f t="shared" si="161"/>
        <v>129</v>
      </c>
      <c r="B148" s="2"/>
      <c r="C148" s="2"/>
      <c r="D148" s="2"/>
      <c r="E148" s="2"/>
      <c r="F148" s="2"/>
      <c r="G148" s="2"/>
      <c r="I148" s="34"/>
      <c r="U148" s="6">
        <f>U147+V147</f>
        <v>1459851.9118643079</v>
      </c>
      <c r="AB148" s="6">
        <f>AB147+AC147</f>
        <v>1119670.2951667742</v>
      </c>
      <c r="AH148" s="41"/>
      <c r="AJ148" s="8"/>
      <c r="AL148" s="25"/>
      <c r="AQ148" s="8">
        <f>SUM(AQ14:AQ140)</f>
        <v>3665789.3969098451</v>
      </c>
      <c r="AR148" s="106"/>
      <c r="AS148" s="131">
        <f>AS146/AI146</f>
        <v>2179.465447447441</v>
      </c>
      <c r="AT148" s="131">
        <f>AT146/AJ146</f>
        <v>1842.4844088335424</v>
      </c>
      <c r="AU148" s="131">
        <f>AU146/AK146</f>
        <v>1738.4487268672906</v>
      </c>
      <c r="AV148" s="131">
        <f>AV146/AL146</f>
        <v>1611.6300647014907</v>
      </c>
      <c r="AW148" s="131">
        <f>AW146/AM146</f>
        <v>1019.940109861169</v>
      </c>
      <c r="AX148" s="131">
        <f>AX146/AP146</f>
        <v>1715.9731933979403</v>
      </c>
      <c r="AY148" s="689">
        <f>AY146/AQ146</f>
        <v>1850.3307612847589</v>
      </c>
      <c r="AZ148" s="131">
        <f>AZ146/AI146</f>
        <v>2353.0753436997611</v>
      </c>
      <c r="BA148" s="131">
        <f>BA146/AJ146</f>
        <v>1922.7597576803812</v>
      </c>
      <c r="BB148" s="131">
        <f>BB146/AK146</f>
        <v>1815.4200199889003</v>
      </c>
      <c r="BC148" s="131">
        <f>BC146/AL146</f>
        <v>1780.6570066119659</v>
      </c>
      <c r="BD148" s="131">
        <f>BD146/AM146</f>
        <v>1083.9230203255672</v>
      </c>
      <c r="BE148" s="131">
        <f>BE146/AP146</f>
        <v>1815.4094525174921</v>
      </c>
      <c r="BF148" s="689">
        <f>BF146/AQ146</f>
        <v>1956.6106975389453</v>
      </c>
      <c r="BG148" s="106"/>
      <c r="BH148" s="106"/>
      <c r="BI148" s="106" t="s">
        <v>196</v>
      </c>
      <c r="BJ148" s="106"/>
      <c r="BK148" s="106"/>
      <c r="BL148" s="106"/>
      <c r="BM148" s="106"/>
      <c r="BN148" s="106"/>
      <c r="BO148" s="106"/>
      <c r="BP148" s="106"/>
      <c r="BQ148" s="106"/>
      <c r="BR148" s="106"/>
      <c r="BS148" s="106"/>
      <c r="BT148" s="106"/>
      <c r="BU148" s="106"/>
      <c r="BV148" s="106"/>
      <c r="BW148" s="106"/>
      <c r="BX148" s="106"/>
      <c r="BY148" s="106"/>
      <c r="BZ148" s="106"/>
      <c r="CA148" s="106"/>
      <c r="CB148" s="106"/>
      <c r="CC148" s="106"/>
      <c r="CD148" s="106"/>
      <c r="CE148" s="128" t="e">
        <f>CE147/AJ147</f>
        <v>#DIV/0!</v>
      </c>
      <c r="CF148" s="128" t="e">
        <f>CE147/AJ147</f>
        <v>#DIV/0!</v>
      </c>
      <c r="CG148" s="106"/>
      <c r="CH148" s="132">
        <f>CB147/CH146*100</f>
        <v>97.574269915225187</v>
      </c>
      <c r="CI148" s="106"/>
      <c r="CJ148" s="131">
        <f>CJ147/Z147*1000</f>
        <v>1895.2239931350666</v>
      </c>
      <c r="CK148" s="131">
        <f>CK147/AG147*1000</f>
        <v>2072.4982466974438</v>
      </c>
      <c r="CL148" s="131">
        <f>CL147/AQ146*1000</f>
        <v>1969.3828449317496</v>
      </c>
      <c r="CM148" s="133">
        <f>CM146/AQ146</f>
        <v>1969.3828449317498</v>
      </c>
      <c r="CN148" s="124">
        <f>CN147/AQ146</f>
        <v>3706.6724387512959</v>
      </c>
      <c r="CO148" s="124">
        <f>CO147/AQ146</f>
        <v>3715.4140025422648</v>
      </c>
      <c r="CP148" s="124">
        <f>CP147/Z147</f>
        <v>3704.5079866042543</v>
      </c>
      <c r="CQ148" s="124">
        <f>CQ147/AQ146</f>
        <v>3919.4363924862901</v>
      </c>
      <c r="CR148" s="124">
        <f>CR147/AQ146</f>
        <v>3927.713365629807</v>
      </c>
      <c r="CS148" s="124">
        <f>CS147/AG147</f>
        <v>8450.6704302419603</v>
      </c>
      <c r="CT148" s="134">
        <f>CT147/(AH147+AQ146)</f>
        <v>3813.054415618793</v>
      </c>
      <c r="CU148" s="112"/>
      <c r="CV148" s="135">
        <f>CV147/(AJ146+AK146)</f>
        <v>3655.6680680275367</v>
      </c>
      <c r="CW148" s="135">
        <f>CW147/(AJ146+AK146)</f>
        <v>3815.3119444337758</v>
      </c>
      <c r="CX148" s="134">
        <f>(CV148+CW148)/2</f>
        <v>3735.490006230656</v>
      </c>
      <c r="CY148" s="136">
        <f>CY147/AQ146</f>
        <v>3794.4960596562028</v>
      </c>
      <c r="CZ148" s="136">
        <f>CZ147/AQ146</f>
        <v>4140.8626248991877</v>
      </c>
      <c r="DA148" s="106"/>
      <c r="DB148" s="128" t="e">
        <f t="shared" si="160"/>
        <v>#DIV/0!</v>
      </c>
      <c r="DC148" s="106"/>
      <c r="DD148" s="106"/>
      <c r="DE148" s="106"/>
      <c r="DF148" s="106"/>
      <c r="DH148" s="106"/>
      <c r="DI148" s="106"/>
      <c r="DJ148" s="106"/>
    </row>
    <row r="149" spans="1:114" ht="20.25" hidden="1">
      <c r="A149" s="20">
        <f t="shared" si="161"/>
        <v>130</v>
      </c>
      <c r="B149" s="2"/>
      <c r="C149" s="2"/>
      <c r="D149" s="2"/>
      <c r="E149" s="2"/>
      <c r="F149" s="2"/>
      <c r="G149" s="2"/>
      <c r="I149" s="34"/>
      <c r="AG149" s="30">
        <f>AG147+Z147</f>
        <v>3665789.3969098441</v>
      </c>
      <c r="AH149" s="30"/>
      <c r="AR149" s="106"/>
      <c r="AS149" s="137"/>
      <c r="AT149" s="1982">
        <f>(AT146+AU146)/(AJ146+AK146)</f>
        <v>1825.2314982762041</v>
      </c>
      <c r="AU149" s="1982"/>
      <c r="AV149" s="137"/>
      <c r="AW149" s="137"/>
      <c r="AX149" s="137"/>
      <c r="AY149" s="137"/>
      <c r="AZ149" s="137"/>
      <c r="BA149" s="1982">
        <f>(BA146+BB146)/(AJ146+AK146)</f>
        <v>1904.9589141751692</v>
      </c>
      <c r="BB149" s="1982"/>
      <c r="BC149" s="137"/>
      <c r="BD149" s="137"/>
      <c r="BE149" s="137"/>
      <c r="BF149" s="137"/>
      <c r="BG149" s="106"/>
      <c r="BH149" s="106"/>
      <c r="BI149" s="106"/>
      <c r="BJ149" s="106"/>
      <c r="BK149" s="106"/>
      <c r="BL149" s="106"/>
      <c r="BM149" s="106"/>
      <c r="BN149" s="138">
        <f>BL146+BM146+BO146</f>
        <v>3563385.7630147901</v>
      </c>
      <c r="BO149" s="106"/>
      <c r="BP149" s="106"/>
      <c r="BQ149" s="106"/>
      <c r="BR149" s="106"/>
      <c r="BS149" s="106"/>
      <c r="BT149" s="106"/>
      <c r="BU149" s="130">
        <f>BS146+BT146+BV146</f>
        <v>2837986.97241149</v>
      </c>
      <c r="BV149" s="106"/>
      <c r="BW149" s="106"/>
      <c r="BX149" s="106"/>
      <c r="BY149" s="106"/>
      <c r="BZ149" s="130"/>
      <c r="CA149" s="106"/>
      <c r="CB149" s="130">
        <f>BZ146+CA146</f>
        <v>4797319.0629283059</v>
      </c>
      <c r="CC149" s="106"/>
      <c r="CD149" s="106"/>
      <c r="CE149" s="106"/>
      <c r="CF149" s="106"/>
      <c r="CG149" s="106"/>
      <c r="CH149" s="106"/>
      <c r="CI149" s="106"/>
      <c r="CJ149" s="112"/>
      <c r="CK149" s="124">
        <f>CK148/CJ148*100</f>
        <v>109.35373624460776</v>
      </c>
      <c r="CL149" s="112"/>
      <c r="CM149" s="112"/>
      <c r="CN149" s="112"/>
      <c r="CO149" s="112"/>
      <c r="CP149" s="112"/>
      <c r="CQ149" s="124">
        <f>CQ148/CN148*100</f>
        <v>105.74002578460022</v>
      </c>
      <c r="CR149" s="139">
        <f>CR148/CO148*100</f>
        <v>105.7140163368679</v>
      </c>
      <c r="CS149" s="124">
        <f>CS148/CP148*100</f>
        <v>228.1185642141991</v>
      </c>
      <c r="CT149" s="112"/>
      <c r="CU149" s="112"/>
      <c r="CV149" s="140"/>
      <c r="CW149" s="141">
        <f>CW148/CV148</f>
        <v>1.0436702330286725</v>
      </c>
      <c r="CX149" s="134" t="e">
        <f>CX147/(2*AJ148)</f>
        <v>#DIV/0!</v>
      </c>
      <c r="CY149" s="140"/>
      <c r="CZ149" s="690">
        <f>CZ148/CY148*100</f>
        <v>109.1281308452424</v>
      </c>
      <c r="DA149" s="106"/>
      <c r="DB149" s="128" t="e">
        <f t="shared" si="160"/>
        <v>#DIV/0!</v>
      </c>
      <c r="DC149" s="106"/>
      <c r="DD149" s="106"/>
      <c r="DE149" s="106"/>
      <c r="DF149" s="106"/>
      <c r="DH149" s="106"/>
      <c r="DI149" s="106"/>
      <c r="DJ149" s="106"/>
    </row>
    <row r="150" spans="1:114" ht="15.75" hidden="1">
      <c r="A150" s="20">
        <f t="shared" si="161"/>
        <v>131</v>
      </c>
      <c r="B150" s="2"/>
      <c r="C150" s="2"/>
      <c r="D150" s="2"/>
      <c r="E150" s="2"/>
      <c r="F150" s="2"/>
      <c r="G150" s="2"/>
      <c r="AG150" s="41">
        <f>AQ146-AG149</f>
        <v>0</v>
      </c>
      <c r="AH150" s="41"/>
      <c r="AI150" s="691" t="s">
        <v>220</v>
      </c>
      <c r="AJ150" s="691">
        <v>3726743.3058103835</v>
      </c>
      <c r="AQ150" s="25">
        <f>AH147-AQ148</f>
        <v>0</v>
      </c>
      <c r="AR150" s="106"/>
      <c r="AS150" s="137"/>
      <c r="AT150" s="803"/>
      <c r="AU150" s="803"/>
      <c r="AV150" s="137"/>
      <c r="AW150" s="137"/>
      <c r="AX150" s="137"/>
      <c r="AY150" s="137" t="s">
        <v>177</v>
      </c>
      <c r="AZ150" s="137"/>
      <c r="BA150" s="1983">
        <f>BA149/AT149*100</f>
        <v>104.36807144596516</v>
      </c>
      <c r="BB150" s="1983"/>
      <c r="BC150" s="137"/>
      <c r="BD150" s="137"/>
      <c r="BE150" s="137"/>
      <c r="BF150" s="137"/>
      <c r="BG150" s="106"/>
      <c r="BH150" s="106"/>
      <c r="BI150" s="106"/>
      <c r="BJ150" s="106"/>
      <c r="BK150" s="106"/>
      <c r="BL150" s="106"/>
      <c r="BM150" s="106"/>
      <c r="BN150" s="106"/>
      <c r="BO150" s="106"/>
      <c r="BP150" s="106"/>
      <c r="BQ150" s="106"/>
      <c r="BR150" s="106"/>
      <c r="BS150" s="106"/>
      <c r="BT150" s="106"/>
      <c r="BU150" s="106"/>
      <c r="BV150" s="106"/>
      <c r="BW150" s="106"/>
      <c r="BX150" s="106"/>
      <c r="BY150" s="106"/>
      <c r="BZ150" s="106"/>
      <c r="CA150" s="106"/>
      <c r="CB150" s="106"/>
      <c r="CC150" s="106"/>
      <c r="CD150" s="106"/>
      <c r="CE150" s="106"/>
      <c r="CF150" s="106"/>
      <c r="CG150" s="106"/>
      <c r="CH150" s="106"/>
      <c r="CI150" s="106"/>
      <c r="CJ150" s="106"/>
      <c r="CK150" s="106"/>
      <c r="CL150" s="106"/>
      <c r="CM150" s="106"/>
      <c r="CN150" s="106"/>
      <c r="CO150" s="106"/>
      <c r="CP150" s="106"/>
      <c r="CQ150" s="106"/>
      <c r="CR150" s="106"/>
      <c r="CS150" s="106"/>
      <c r="CT150" s="106"/>
      <c r="CU150" s="106"/>
      <c r="CV150" s="106"/>
      <c r="CW150" s="106"/>
      <c r="CX150" s="106"/>
      <c r="CY150" s="106"/>
      <c r="CZ150" s="106"/>
      <c r="DA150" s="106"/>
      <c r="DB150" s="128" t="e">
        <f t="shared" si="160"/>
        <v>#DIV/0!</v>
      </c>
      <c r="DC150" s="106"/>
      <c r="DD150" s="106"/>
      <c r="DE150" s="106"/>
      <c r="DF150" s="106"/>
      <c r="DH150" s="106"/>
      <c r="DI150" s="106"/>
      <c r="DJ150" s="106"/>
    </row>
    <row r="151" spans="1:114" ht="30.75" hidden="1">
      <c r="A151" s="20">
        <f t="shared" si="161"/>
        <v>132</v>
      </c>
      <c r="B151" s="2"/>
      <c r="C151" s="2"/>
      <c r="D151" s="2"/>
      <c r="E151" s="2"/>
      <c r="F151" s="2"/>
      <c r="G151" s="2"/>
      <c r="AI151" s="691" t="s">
        <v>219</v>
      </c>
      <c r="AJ151" s="691">
        <f>AJ150-AH147</f>
        <v>60953.908900538459</v>
      </c>
      <c r="AR151" s="106"/>
      <c r="AS151" s="142" t="s">
        <v>178</v>
      </c>
      <c r="AT151" s="143"/>
      <c r="AU151" s="143"/>
      <c r="AV151" s="137"/>
      <c r="AW151" s="137"/>
      <c r="AX151" s="137"/>
      <c r="AY151" s="137"/>
      <c r="AZ151" s="144" t="s">
        <v>178</v>
      </c>
      <c r="BA151" s="692">
        <f>BA148/AT148*100</f>
        <v>104.35690790445604</v>
      </c>
      <c r="BB151" s="692">
        <f>BB148/AU148*100</f>
        <v>104.42758488829942</v>
      </c>
      <c r="BC151" s="137"/>
      <c r="BD151" s="137"/>
      <c r="BE151" s="137"/>
      <c r="BF151" s="689">
        <f>BF148/AY148*100</f>
        <v>105.74383447964688</v>
      </c>
      <c r="BG151" s="106"/>
      <c r="BH151" s="106"/>
      <c r="BI151" s="106"/>
      <c r="BJ151" s="106"/>
      <c r="BK151" s="106"/>
      <c r="BL151" s="106"/>
      <c r="BM151" s="106"/>
      <c r="BN151" s="106"/>
      <c r="BO151" s="106"/>
      <c r="BP151" s="106"/>
      <c r="BQ151" s="106"/>
      <c r="BR151" s="106"/>
      <c r="BS151" s="106"/>
      <c r="BT151" s="105" t="s">
        <v>222</v>
      </c>
      <c r="BU151" s="138">
        <f>BU149+BN149</f>
        <v>6401372.7354262806</v>
      </c>
      <c r="BV151" s="106"/>
      <c r="BW151" s="106"/>
      <c r="BX151" s="106"/>
      <c r="BY151" s="106"/>
      <c r="BZ151" s="106"/>
      <c r="CA151" s="106"/>
      <c r="CB151" s="106"/>
      <c r="CC151" s="106"/>
      <c r="CD151" s="106"/>
      <c r="CE151" s="106"/>
      <c r="CF151" s="106"/>
      <c r="CG151" s="106"/>
      <c r="CH151" s="106"/>
      <c r="CI151" s="106"/>
      <c r="CJ151" s="106"/>
      <c r="CK151" s="106"/>
      <c r="CL151" s="106"/>
      <c r="CM151" s="106"/>
      <c r="CN151" s="106"/>
      <c r="CO151" s="106"/>
      <c r="CP151" s="106"/>
      <c r="CQ151" s="106"/>
      <c r="CR151" s="145">
        <f>BF151</f>
        <v>105.74383447964688</v>
      </c>
      <c r="CS151" s="106"/>
      <c r="CT151" s="106"/>
      <c r="CU151" s="106"/>
      <c r="CV151" s="106"/>
      <c r="CW151" s="106"/>
      <c r="CX151" s="106"/>
      <c r="CY151" s="106"/>
      <c r="CZ151" s="106"/>
      <c r="DA151" s="106"/>
      <c r="DB151" s="128" t="e">
        <f t="shared" si="160"/>
        <v>#DIV/0!</v>
      </c>
      <c r="DC151" s="106"/>
      <c r="DD151" s="106"/>
      <c r="DE151" s="106"/>
      <c r="DF151" s="106"/>
      <c r="DH151" s="106"/>
      <c r="DI151" s="106"/>
      <c r="DJ151" s="106"/>
    </row>
    <row r="152" spans="1:114" ht="15.75" hidden="1" thickBot="1">
      <c r="A152" s="20">
        <f t="shared" si="161"/>
        <v>133</v>
      </c>
      <c r="B152" s="2"/>
      <c r="C152" s="2"/>
      <c r="D152" s="2"/>
      <c r="E152" s="2"/>
      <c r="F152" s="2"/>
      <c r="G152" s="2"/>
      <c r="Z152" s="30">
        <f>Z136+Z47+Z50</f>
        <v>1203399.6499999997</v>
      </c>
      <c r="AG152" s="30">
        <f>AG136+AG47+AG50</f>
        <v>855687.84999999986</v>
      </c>
      <c r="AR152" s="106"/>
      <c r="AS152" s="146">
        <f>(AS146+AV146)/(AI146+AL146)</f>
        <v>1919.1853017721955</v>
      </c>
      <c r="AT152" s="106">
        <f>SUM(AT126:AT139)</f>
        <v>2599479133.6652803</v>
      </c>
      <c r="AU152" s="106">
        <f>SUM(AU125:AU137)</f>
        <v>490357613.1753999</v>
      </c>
      <c r="AV152" s="137"/>
      <c r="AW152" s="137"/>
      <c r="AX152" s="137"/>
      <c r="AY152" s="137"/>
      <c r="AZ152" s="693">
        <f>(AZ146+BC146)/(AI146+AL146)</f>
        <v>2090.6944976103396</v>
      </c>
      <c r="BA152" s="694" t="s">
        <v>258</v>
      </c>
      <c r="BB152" s="694" t="s">
        <v>259</v>
      </c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06"/>
      <c r="CN152" s="106"/>
      <c r="CO152" s="106"/>
      <c r="CP152" s="106"/>
      <c r="CQ152" s="106"/>
      <c r="CR152" s="106"/>
      <c r="CS152" s="106"/>
      <c r="CT152" s="106"/>
      <c r="CU152" s="106"/>
      <c r="CV152" s="106"/>
      <c r="CW152" s="106"/>
      <c r="CX152" s="106"/>
      <c r="CY152" s="106"/>
      <c r="CZ152" s="106"/>
      <c r="DA152" s="106"/>
      <c r="DB152" s="106"/>
      <c r="DC152" s="106"/>
      <c r="DD152" s="106"/>
      <c r="DE152" s="106"/>
      <c r="DF152" s="106"/>
      <c r="DH152" s="106"/>
      <c r="DI152" s="106"/>
      <c r="DJ152" s="106"/>
    </row>
    <row r="153" spans="1:114" hidden="1">
      <c r="A153" s="20">
        <f t="shared" si="161"/>
        <v>134</v>
      </c>
      <c r="B153" s="2"/>
      <c r="C153" s="2"/>
      <c r="D153" s="2"/>
      <c r="E153" s="2"/>
      <c r="F153" s="2"/>
      <c r="G153" s="2"/>
      <c r="Z153" s="30">
        <f>Z152+X136</f>
        <v>1209613.0999999996</v>
      </c>
      <c r="AG153" s="30">
        <f>AG152+AE136</f>
        <v>860214.39999999991</v>
      </c>
      <c r="AR153" s="106"/>
      <c r="AS153" s="137"/>
      <c r="AT153" s="143"/>
      <c r="AU153" s="143"/>
      <c r="AV153" s="137"/>
      <c r="AW153" s="137"/>
      <c r="AX153" s="137"/>
      <c r="AY153" s="106" t="s">
        <v>176</v>
      </c>
      <c r="AZ153" s="137">
        <f>AZ152/AS152*100</f>
        <v>108.93656259662737</v>
      </c>
      <c r="BA153" s="143"/>
      <c r="BB153" s="143"/>
      <c r="BC153" s="137"/>
      <c r="BD153" s="137"/>
      <c r="BE153" s="137"/>
      <c r="BF153" s="137"/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6"/>
      <c r="BU153" s="106"/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06"/>
      <c r="CN153" s="106"/>
      <c r="CO153" s="106"/>
      <c r="CP153" s="106"/>
      <c r="CQ153" s="106"/>
      <c r="CR153" s="106"/>
      <c r="CS153" s="106"/>
      <c r="CT153" s="106"/>
      <c r="CU153" s="106"/>
      <c r="CV153" s="106"/>
      <c r="CW153" s="106"/>
      <c r="CX153" s="106"/>
      <c r="CY153" s="106"/>
      <c r="CZ153" s="106"/>
      <c r="DA153" s="106"/>
      <c r="DB153" s="106"/>
      <c r="DC153" s="106"/>
      <c r="DD153" s="106"/>
      <c r="DE153" s="106"/>
      <c r="DF153" s="106"/>
      <c r="DH153" s="106"/>
      <c r="DI153" s="106"/>
      <c r="DJ153" s="106"/>
    </row>
    <row r="154" spans="1:114" hidden="1">
      <c r="A154" s="20">
        <f t="shared" si="161"/>
        <v>135</v>
      </c>
      <c r="AR154" s="106"/>
      <c r="AS154" s="106"/>
      <c r="AT154" s="147"/>
      <c r="AU154" s="147"/>
      <c r="AV154" s="113"/>
      <c r="AW154" s="113"/>
      <c r="AX154" s="113"/>
      <c r="AY154" s="113"/>
      <c r="AZ154" s="113"/>
      <c r="BA154" s="147"/>
      <c r="BB154" s="147"/>
      <c r="BC154" s="106"/>
      <c r="BD154" s="106"/>
      <c r="BE154" s="106"/>
      <c r="BF154" s="106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06"/>
      <c r="CN154" s="106"/>
      <c r="CO154" s="106"/>
      <c r="CP154" s="106"/>
      <c r="CQ154" s="106"/>
      <c r="CR154" s="106"/>
      <c r="CS154" s="106"/>
      <c r="CT154" s="106"/>
      <c r="CU154" s="106"/>
      <c r="CV154" s="106"/>
      <c r="CW154" s="106"/>
      <c r="CX154" s="106"/>
      <c r="CY154" s="106"/>
      <c r="CZ154" s="106"/>
      <c r="DA154" s="106"/>
      <c r="DB154" s="106"/>
      <c r="DC154" s="106"/>
      <c r="DD154" s="106"/>
      <c r="DE154" s="106"/>
      <c r="DF154" s="106"/>
      <c r="DH154" s="106"/>
      <c r="DI154" s="106"/>
      <c r="DJ154" s="106"/>
    </row>
    <row r="155" spans="1:114" hidden="1">
      <c r="A155" s="20">
        <f t="shared" si="161"/>
        <v>136</v>
      </c>
      <c r="AY155" s="6" t="s">
        <v>176</v>
      </c>
      <c r="AZ155" s="26">
        <f>AZ148/AS148*100</f>
        <v>107.96570996138752</v>
      </c>
      <c r="BA155" s="26">
        <f t="shared" ref="BA155:BF155" si="163">BA148/AT148*100</f>
        <v>104.35690790445604</v>
      </c>
      <c r="BB155" s="26">
        <f t="shared" si="163"/>
        <v>104.42758488829942</v>
      </c>
      <c r="BC155" s="26">
        <f t="shared" si="163"/>
        <v>110.48794916479687</v>
      </c>
      <c r="BD155" s="26">
        <f t="shared" si="163"/>
        <v>106.27320269550997</v>
      </c>
      <c r="BE155" s="26">
        <f t="shared" si="163"/>
        <v>105.79474431780893</v>
      </c>
      <c r="BF155" s="26">
        <f t="shared" si="163"/>
        <v>105.74383447964688</v>
      </c>
    </row>
    <row r="156" spans="1:114" hidden="1">
      <c r="A156" s="20">
        <f t="shared" si="161"/>
        <v>137</v>
      </c>
      <c r="H156" s="6">
        <f>H129*1.2</f>
        <v>4100.6879999999992</v>
      </c>
      <c r="I156" s="6">
        <f>I129*1.2</f>
        <v>4100.6879999999992</v>
      </c>
      <c r="N156" s="6">
        <f>N129*1.2</f>
        <v>4606.8047999999999</v>
      </c>
      <c r="O156" s="6">
        <f>O129*1.2</f>
        <v>4606.8047999999999</v>
      </c>
      <c r="AA156" s="181"/>
      <c r="AB156" s="181"/>
      <c r="AC156" s="230">
        <f>AC136+AC50+AC47</f>
        <v>119100.2</v>
      </c>
      <c r="AD156" s="181"/>
      <c r="AE156" s="181"/>
      <c r="AF156" s="181"/>
      <c r="AG156" s="181"/>
      <c r="AH156" s="181">
        <f>AH136+AH50+AH47</f>
        <v>2059087.4999999998</v>
      </c>
      <c r="AK156" s="181">
        <f>AK136+AK50+AK47</f>
        <v>250593.89999999997</v>
      </c>
      <c r="AP156" s="6">
        <f>AP136+AP50+AP47</f>
        <v>2069827.5000000002</v>
      </c>
      <c r="AT156" s="6">
        <f>AT152+AU152</f>
        <v>3089836746.8406801</v>
      </c>
    </row>
    <row r="157" spans="1:114" hidden="1">
      <c r="A157" s="20">
        <f t="shared" si="161"/>
        <v>138</v>
      </c>
      <c r="K157" s="9"/>
    </row>
    <row r="158" spans="1:114" hidden="1">
      <c r="A158" s="20">
        <f t="shared" si="161"/>
        <v>139</v>
      </c>
      <c r="K158" s="9"/>
      <c r="AS158" s="6" t="s">
        <v>179</v>
      </c>
      <c r="AT158" s="6">
        <f>AT156/AK156</f>
        <v>12330.055707025112</v>
      </c>
      <c r="BA158" s="97">
        <f>BA148/AT148*100</f>
        <v>104.35690790445604</v>
      </c>
      <c r="BB158" s="6">
        <f>BB148/AU148*100</f>
        <v>104.42758488829942</v>
      </c>
      <c r="BF158" s="6" t="s">
        <v>185</v>
      </c>
    </row>
    <row r="159" spans="1:114" hidden="1">
      <c r="A159" s="20">
        <f t="shared" si="161"/>
        <v>140</v>
      </c>
      <c r="K159" s="9"/>
      <c r="CL159" s="6">
        <f>SUBTOTAL(9,CL71:CL83)</f>
        <v>16312.434759072003</v>
      </c>
    </row>
    <row r="160" spans="1:114" hidden="1">
      <c r="A160" s="20">
        <f t="shared" si="161"/>
        <v>141</v>
      </c>
    </row>
    <row r="161" spans="1:90" hidden="1">
      <c r="A161" s="20">
        <f t="shared" si="161"/>
        <v>142</v>
      </c>
      <c r="AS161" s="6" t="s">
        <v>180</v>
      </c>
      <c r="AT161" s="9">
        <f>AT152/AJ151</f>
        <v>42646.635475125644</v>
      </c>
      <c r="BB161" s="25">
        <f>AZ146+BA146+BC146</f>
        <v>6408338344.3279448</v>
      </c>
    </row>
    <row r="162" spans="1:90" hidden="1">
      <c r="A162" s="20">
        <f t="shared" si="161"/>
        <v>143</v>
      </c>
      <c r="BB162" s="25">
        <f>AI146+AJ146+AL146</f>
        <v>3238010.5322217471</v>
      </c>
    </row>
    <row r="163" spans="1:90" hidden="1">
      <c r="A163" s="20">
        <f t="shared" si="161"/>
        <v>144</v>
      </c>
      <c r="BB163" s="6">
        <f>BB161/BB162</f>
        <v>1979.0974367000872</v>
      </c>
    </row>
    <row r="164" spans="1:90" hidden="1">
      <c r="A164" s="20">
        <f t="shared" si="161"/>
        <v>145</v>
      </c>
    </row>
    <row r="165" spans="1:90" hidden="1">
      <c r="A165" s="20">
        <f t="shared" si="161"/>
        <v>146</v>
      </c>
    </row>
    <row r="166" spans="1:90">
      <c r="A166" s="20">
        <f t="shared" si="161"/>
        <v>147</v>
      </c>
      <c r="AY166" s="25">
        <f>AY146+BF146</f>
        <v>13955445634.412432</v>
      </c>
      <c r="BA166" s="25">
        <f>BA146+BB146+AT146+AU146</f>
        <v>9622109005.3727512</v>
      </c>
    </row>
    <row r="167" spans="1:90">
      <c r="A167" s="20">
        <f t="shared" si="161"/>
        <v>148</v>
      </c>
      <c r="AY167" s="25">
        <f>AQ148*2</f>
        <v>7331578.7938196901</v>
      </c>
      <c r="BA167" s="6">
        <f>(AJ147*2)</f>
        <v>5159044.4140621647</v>
      </c>
    </row>
    <row r="168" spans="1:90" ht="20.25">
      <c r="A168" s="20">
        <f t="shared" si="161"/>
        <v>149</v>
      </c>
      <c r="S168" s="6">
        <v>436449</v>
      </c>
      <c r="T168" s="30">
        <v>11020</v>
      </c>
      <c r="AY168" s="101">
        <f>AY166/AY167</f>
        <v>1903.4707294118521</v>
      </c>
      <c r="BA168" s="102">
        <f>BA166/BA167</f>
        <v>1865.095206225687</v>
      </c>
    </row>
    <row r="169" spans="1:90">
      <c r="S169" s="30">
        <f>S168-T168</f>
        <v>425429</v>
      </c>
      <c r="T169" s="6"/>
      <c r="AA169" s="6"/>
      <c r="AB169" s="8"/>
      <c r="AG169" s="6">
        <v>234909.61222926635</v>
      </c>
      <c r="AO169" s="9"/>
      <c r="AP169" s="9"/>
      <c r="AQ169" s="9"/>
      <c r="AR169" s="43"/>
      <c r="CL169" s="25">
        <f>CL119/1.2</f>
        <v>863304.86796637985</v>
      </c>
    </row>
    <row r="170" spans="1:90">
      <c r="T170" s="6"/>
      <c r="AB170" s="8"/>
      <c r="AG170" s="30">
        <f>AG119-AG169</f>
        <v>-5228.5792292663537</v>
      </c>
      <c r="AO170" s="9"/>
      <c r="AP170" s="9"/>
      <c r="AQ170" s="9"/>
      <c r="AR170" s="43"/>
    </row>
    <row r="171" spans="1:90">
      <c r="AB171" s="8"/>
    </row>
    <row r="172" spans="1:90">
      <c r="AB172" s="8"/>
      <c r="CJ172" s="159"/>
      <c r="CK172" s="159"/>
      <c r="CL172" s="159"/>
    </row>
    <row r="173" spans="1:90">
      <c r="BG173" s="30"/>
      <c r="BH173" s="30"/>
      <c r="CJ173" s="160"/>
      <c r="CK173" s="160"/>
      <c r="CL173" s="160"/>
    </row>
    <row r="175" spans="1:90">
      <c r="CJ175" s="160"/>
      <c r="CK175" s="160"/>
      <c r="CL175" s="160"/>
    </row>
  </sheetData>
  <autoFilter ref="A13:DL143">
    <filterColumn colId="3">
      <filters>
        <filter val="ГУПКО &quot;Курскоблжилкомхоз&quot;"/>
      </filters>
    </filterColumn>
  </autoFilter>
  <dataConsolidate link="1"/>
  <mergeCells count="130">
    <mergeCell ref="B139:B141"/>
    <mergeCell ref="C139:C141"/>
    <mergeCell ref="AT149:AU149"/>
    <mergeCell ref="BA149:BB149"/>
    <mergeCell ref="BA150:BB150"/>
    <mergeCell ref="B110:B118"/>
    <mergeCell ref="B119:B124"/>
    <mergeCell ref="C119:C124"/>
    <mergeCell ref="G121:G122"/>
    <mergeCell ref="B125:B138"/>
    <mergeCell ref="C125:C138"/>
    <mergeCell ref="B96:B97"/>
    <mergeCell ref="C96:C97"/>
    <mergeCell ref="B102:B103"/>
    <mergeCell ref="C102:C103"/>
    <mergeCell ref="B104:B107"/>
    <mergeCell ref="B108:B109"/>
    <mergeCell ref="B80:B82"/>
    <mergeCell ref="B83:B85"/>
    <mergeCell ref="B86:B90"/>
    <mergeCell ref="C87:C88"/>
    <mergeCell ref="B91:B95"/>
    <mergeCell ref="C91:C92"/>
    <mergeCell ref="B61:B64"/>
    <mergeCell ref="B65:B67"/>
    <mergeCell ref="B68:B70"/>
    <mergeCell ref="B71:B79"/>
    <mergeCell ref="C71:C72"/>
    <mergeCell ref="G73:G79"/>
    <mergeCell ref="B40:B43"/>
    <mergeCell ref="B46:B57"/>
    <mergeCell ref="C46:C49"/>
    <mergeCell ref="G48:G49"/>
    <mergeCell ref="C50:C52"/>
    <mergeCell ref="B58:B60"/>
    <mergeCell ref="BY12:BY13"/>
    <mergeCell ref="B14:B17"/>
    <mergeCell ref="B18:B21"/>
    <mergeCell ref="B22:B27"/>
    <mergeCell ref="B29:B33"/>
    <mergeCell ref="B34:B39"/>
    <mergeCell ref="C35:C37"/>
    <mergeCell ref="BR12:BR13"/>
    <mergeCell ref="BS12:BS13"/>
    <mergeCell ref="BT12:BU12"/>
    <mergeCell ref="BV12:BV13"/>
    <mergeCell ref="BW12:BW13"/>
    <mergeCell ref="BX12:BX13"/>
    <mergeCell ref="BF12:BF13"/>
    <mergeCell ref="BL12:BL13"/>
    <mergeCell ref="BM12:BN12"/>
    <mergeCell ref="BO12:BO13"/>
    <mergeCell ref="BP12:BP13"/>
    <mergeCell ref="BQ12:BQ13"/>
    <mergeCell ref="AY12:AY13"/>
    <mergeCell ref="AZ12:AZ13"/>
    <mergeCell ref="BA12:BB12"/>
    <mergeCell ref="BC12:BC13"/>
    <mergeCell ref="BD12:BD13"/>
    <mergeCell ref="BE12:BE13"/>
    <mergeCell ref="AQ12:AQ13"/>
    <mergeCell ref="AS12:AS13"/>
    <mergeCell ref="AT12:AU12"/>
    <mergeCell ref="AV12:AV13"/>
    <mergeCell ref="AW12:AW13"/>
    <mergeCell ref="AX12:AX13"/>
    <mergeCell ref="AJ12:AK12"/>
    <mergeCell ref="AL12:AL13"/>
    <mergeCell ref="AM12:AM13"/>
    <mergeCell ref="AN12:AN13"/>
    <mergeCell ref="AO12:AO13"/>
    <mergeCell ref="AP12:AP13"/>
    <mergeCell ref="CK11:CK13"/>
    <mergeCell ref="CL11:CL13"/>
    <mergeCell ref="CM11:CM13"/>
    <mergeCell ref="CY11:CY13"/>
    <mergeCell ref="CZ11:CZ13"/>
    <mergeCell ref="H12:H13"/>
    <mergeCell ref="I12:I13"/>
    <mergeCell ref="J12:K12"/>
    <mergeCell ref="L12:L13"/>
    <mergeCell ref="M12:M13"/>
    <mergeCell ref="N12:N13"/>
    <mergeCell ref="O12:O13"/>
    <mergeCell ref="AB12:AC12"/>
    <mergeCell ref="AD12:AD13"/>
    <mergeCell ref="AE12:AE13"/>
    <mergeCell ref="AF12:AF13"/>
    <mergeCell ref="AG12:AG13"/>
    <mergeCell ref="AI12:AI13"/>
    <mergeCell ref="U12:V12"/>
    <mergeCell ref="W12:W13"/>
    <mergeCell ref="X12:X13"/>
    <mergeCell ref="Y12:Y13"/>
    <mergeCell ref="Z12:Z13"/>
    <mergeCell ref="AA12:AA13"/>
    <mergeCell ref="AH10:AQ10"/>
    <mergeCell ref="AS10:BF10"/>
    <mergeCell ref="BG10:BI10"/>
    <mergeCell ref="P12:Q12"/>
    <mergeCell ref="R12:R13"/>
    <mergeCell ref="S12:S13"/>
    <mergeCell ref="T12:T13"/>
    <mergeCell ref="CV10:CX10"/>
    <mergeCell ref="CY10:CZ10"/>
    <mergeCell ref="N11:S11"/>
    <mergeCell ref="T11:Z11"/>
    <mergeCell ref="AA11:AG11"/>
    <mergeCell ref="AI11:AQ11"/>
    <mergeCell ref="AS11:AY11"/>
    <mergeCell ref="AZ11:BF11"/>
    <mergeCell ref="BL11:BR11"/>
    <mergeCell ref="BL10:BY10"/>
    <mergeCell ref="BZ10:BZ13"/>
    <mergeCell ref="CA10:CA13"/>
    <mergeCell ref="CB10:CB13"/>
    <mergeCell ref="CJ10:CL10"/>
    <mergeCell ref="CN10:CU10"/>
    <mergeCell ref="BS11:BY11"/>
    <mergeCell ref="CJ11:CJ13"/>
    <mergeCell ref="A10:A13"/>
    <mergeCell ref="B10:B13"/>
    <mergeCell ref="C10:C13"/>
    <mergeCell ref="D10:D13"/>
    <mergeCell ref="E10:E13"/>
    <mergeCell ref="F10:F13"/>
    <mergeCell ref="G10:G13"/>
    <mergeCell ref="H10:S10"/>
    <mergeCell ref="T10:AG10"/>
    <mergeCell ref="H11:M11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FF0000"/>
  </sheetPr>
  <dimension ref="A1:GI427"/>
  <sheetViews>
    <sheetView topLeftCell="A4" zoomScale="70" zoomScaleNormal="70" workbookViewId="0">
      <pane xSplit="4" ySplit="10" topLeftCell="T62" activePane="bottomRight" state="frozen"/>
      <selection activeCell="B4" sqref="B4"/>
      <selection pane="topRight" activeCell="E4" sqref="E4"/>
      <selection pane="bottomLeft" activeCell="B10" sqref="B10"/>
      <selection pane="bottomRight" activeCell="T65" sqref="T65:U65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3" style="6" customWidth="1"/>
    <col min="5" max="5" width="19.28515625" style="6" customWidth="1"/>
    <col min="6" max="6" width="10.5703125" style="6" customWidth="1"/>
    <col min="7" max="7" width="3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1.5703125" style="6" customWidth="1"/>
    <col min="20" max="20" width="16.7109375" style="30" customWidth="1"/>
    <col min="21" max="21" width="17.28515625" style="6" customWidth="1"/>
    <col min="22" max="22" width="13.85546875" style="222" customWidth="1"/>
    <col min="23" max="23" width="15.28515625" style="6" customWidth="1"/>
    <col min="24" max="24" width="18.28515625" style="6" customWidth="1"/>
    <col min="25" max="25" width="18.5703125" style="6" customWidth="1"/>
    <col min="26" max="26" width="16" style="6" customWidth="1"/>
    <col min="27" max="27" width="18.28515625" style="30" customWidth="1"/>
    <col min="28" max="28" width="17.85546875" style="6" customWidth="1"/>
    <col min="29" max="29" width="17.5703125" style="222" customWidth="1"/>
    <col min="30" max="30" width="14.5703125" style="6" customWidth="1"/>
    <col min="31" max="31" width="15" style="6" customWidth="1"/>
    <col min="32" max="32" width="17.7109375" style="6" customWidth="1"/>
    <col min="33" max="33" width="14.7109375" style="6" customWidth="1"/>
    <col min="34" max="34" width="24.42578125" style="6" customWidth="1"/>
    <col min="35" max="35" width="19.28515625" style="6" customWidth="1"/>
    <col min="36" max="36" width="19" style="6" customWidth="1"/>
    <col min="37" max="37" width="16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36" customWidth="1"/>
    <col min="102" max="102" width="20.42578125" style="6" customWidth="1"/>
    <col min="103" max="104" width="21.28515625" style="6" customWidth="1"/>
    <col min="105" max="105" width="21" style="6" customWidth="1"/>
    <col min="106" max="106" width="20.28515625" style="6" customWidth="1"/>
    <col min="107" max="111" width="9.140625" style="6" customWidth="1"/>
    <col min="112" max="112" width="22.85546875" style="6" customWidth="1"/>
    <col min="113" max="113" width="20.28515625" style="6" customWidth="1"/>
    <col min="114" max="114" width="21" style="6" customWidth="1"/>
    <col min="115" max="115" width="9.140625" style="6" customWidth="1"/>
    <col min="116" max="116" width="14.28515625" style="219" bestFit="1" customWidth="1"/>
    <col min="117" max="118" width="14.28515625" style="6" bestFit="1" customWidth="1"/>
    <col min="119" max="119" width="9.140625" style="6" customWidth="1"/>
    <col min="120" max="16384" width="9.140625" style="6"/>
  </cols>
  <sheetData>
    <row r="1" spans="1:119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36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19">
      <c r="B3" s="2"/>
      <c r="C3" s="2"/>
      <c r="D3" s="2"/>
      <c r="E3" s="2"/>
      <c r="F3" s="2"/>
      <c r="G3" s="2"/>
    </row>
    <row r="4" spans="1:119" ht="15" hidden="1" customHeight="1">
      <c r="B4" s="2"/>
      <c r="C4" s="2"/>
      <c r="D4" s="2"/>
      <c r="E4" s="2"/>
      <c r="F4" s="2"/>
      <c r="G4" s="2"/>
      <c r="CJ4" s="25">
        <f>CJ6*1000-CJ5</f>
        <v>3622908068.0538826</v>
      </c>
      <c r="CK4" s="25">
        <f>CK6*1000-CK5</f>
        <v>2464345270.7248116</v>
      </c>
      <c r="CM4" s="6"/>
      <c r="CN4" s="6"/>
      <c r="DH4" s="25"/>
      <c r="DI4" s="25"/>
    </row>
    <row r="5" spans="1:119" ht="15" hidden="1" customHeight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19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194191.13162925435</v>
      </c>
      <c r="CG6" s="25"/>
      <c r="CH6" s="25"/>
      <c r="CJ6" s="8">
        <f>CJ8/1.2</f>
        <v>3922716.1813946464</v>
      </c>
      <c r="CK6" s="8">
        <f>CK8/1.2</f>
        <v>2667998.6858311952</v>
      </c>
      <c r="CL6" s="8">
        <f>CL8/1.2</f>
        <v>6622454.505063178</v>
      </c>
      <c r="CM6" s="8"/>
      <c r="CN6" s="8"/>
      <c r="DH6" s="8"/>
      <c r="DI6" s="8"/>
      <c r="DJ6" s="8"/>
    </row>
    <row r="7" spans="1:119" ht="18.75">
      <c r="B7" s="2">
        <v>2023</v>
      </c>
      <c r="C7" s="2"/>
      <c r="D7" s="2"/>
      <c r="E7" s="2"/>
      <c r="F7" s="2"/>
      <c r="G7" s="2"/>
      <c r="H7" s="6">
        <f>2762.47*1.2</f>
        <v>3314.9639999999995</v>
      </c>
      <c r="M7" s="6">
        <f>2762.47*1.2</f>
        <v>3314.9639999999995</v>
      </c>
      <c r="N7" s="753">
        <f>2749.3*1.2</f>
        <v>3299.1600000000003</v>
      </c>
      <c r="O7" s="753">
        <f>2749.3*1.2</f>
        <v>3299.1600000000003</v>
      </c>
      <c r="P7" s="10"/>
      <c r="Q7" s="10"/>
      <c r="R7" s="753">
        <f>2749.3*1.2</f>
        <v>3299.1600000000003</v>
      </c>
      <c r="V7" s="231"/>
      <c r="Z7" s="8"/>
      <c r="AH7" s="1210">
        <v>185868.18226666667</v>
      </c>
      <c r="AI7" s="1211">
        <f>AH7-AH8</f>
        <v>-3445288.7413534219</v>
      </c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4">
        <v>59417.220359300787</v>
      </c>
      <c r="BK7" s="754">
        <f>BJ7-BI8</f>
        <v>-173612.13759580441</v>
      </c>
      <c r="CG7" s="25"/>
      <c r="CH7" s="25"/>
      <c r="CK7" s="1212" t="s">
        <v>957</v>
      </c>
      <c r="CL7" s="1213">
        <f>513454.73654768*1.2</f>
        <v>616145.68385721592</v>
      </c>
      <c r="CM7" s="1236"/>
      <c r="CN7" s="1236"/>
      <c r="DH7" s="159"/>
      <c r="DI7" s="159"/>
      <c r="DJ7" s="8"/>
    </row>
    <row r="8" spans="1:119" ht="26.25">
      <c r="B8" s="7" t="s">
        <v>914</v>
      </c>
      <c r="C8" s="7"/>
      <c r="D8" s="7"/>
      <c r="E8" s="7"/>
      <c r="F8" s="7"/>
      <c r="G8" s="7"/>
      <c r="T8" s="610">
        <f>SUBTOTAL(9,T14:T144)</f>
        <v>345453.66217901849</v>
      </c>
      <c r="U8" s="610">
        <f>SUBTOTAL(9,U14:U144)</f>
        <v>1230720.4206108171</v>
      </c>
      <c r="V8" s="1021">
        <f>SUBTOTAL(9,V14:V144)</f>
        <v>229868.45242771265</v>
      </c>
      <c r="W8" s="610">
        <f>SUBTOTAL(9,W14:W144)</f>
        <v>354089.3247419516</v>
      </c>
      <c r="X8" s="610">
        <v>-6.0000001394655555E-4</v>
      </c>
      <c r="Y8" s="610">
        <f>114919.892-Z8</f>
        <v>-2045211.9679594995</v>
      </c>
      <c r="Z8" s="610">
        <f>SUBTOTAL(9,Z14:Z144)</f>
        <v>2160131.8599594994</v>
      </c>
      <c r="AA8" s="610">
        <f>SUBTOTAL(9,AA14:AA144)</f>
        <v>223291.26118674726</v>
      </c>
      <c r="AB8" s="610">
        <f>SUBTOTAL(9,AB14:AB144)</f>
        <v>836008.43986030575</v>
      </c>
      <c r="AC8" s="1021">
        <f>SUBTOTAL(9,AC14:AC144)</f>
        <v>211433.06435548764</v>
      </c>
      <c r="AD8" s="610">
        <f>SUBTOTAL(9,AD14:AD144)</f>
        <v>200292.29825804796</v>
      </c>
      <c r="AE8" s="610">
        <v>0</v>
      </c>
      <c r="AF8" s="610">
        <f>77580.827-AG8</f>
        <v>-1393444.2366605885</v>
      </c>
      <c r="AG8" s="610">
        <f t="shared" ref="AG8:AQ8" si="2">SUBTOTAL(9,AG14:AG144)</f>
        <v>1471025.0636605886</v>
      </c>
      <c r="AH8" s="616">
        <f t="shared" si="2"/>
        <v>3631156.9236200885</v>
      </c>
      <c r="AI8" s="613">
        <f t="shared" si="2"/>
        <v>568744.9233657656</v>
      </c>
      <c r="AJ8" s="613">
        <f t="shared" si="2"/>
        <v>2066728.8604711229</v>
      </c>
      <c r="AK8" s="613">
        <f t="shared" si="2"/>
        <v>441301.51678320026</v>
      </c>
      <c r="AL8" s="181">
        <f t="shared" si="2"/>
        <v>554381.62299999967</v>
      </c>
      <c r="AM8" s="181">
        <f t="shared" si="2"/>
        <v>699711.12000000034</v>
      </c>
      <c r="AN8" s="181">
        <f t="shared" si="2"/>
        <v>19905.739999999998</v>
      </c>
      <c r="AO8" s="611">
        <f t="shared" si="2"/>
        <v>4346919.4836200895</v>
      </c>
      <c r="AP8" s="611">
        <f t="shared" si="2"/>
        <v>4327013.7436200893</v>
      </c>
      <c r="AQ8" s="613">
        <f t="shared" si="2"/>
        <v>3627302.6236200887</v>
      </c>
      <c r="BG8" s="611">
        <f>SUBTOTAL(9,BG14:BG144)</f>
        <v>47396.994863170374</v>
      </c>
      <c r="BH8" s="611">
        <f>SUBTOTAL(9,BH14:BH144)</f>
        <v>38778.085709126164</v>
      </c>
      <c r="BI8" s="611">
        <f>SUBTOTAL(9,BI14:BI144)</f>
        <v>233029.3579551052</v>
      </c>
      <c r="BJ8" s="754">
        <f>BK8-BI8</f>
        <v>-5294.1649574714247</v>
      </c>
      <c r="BK8" s="776">
        <v>227735.19299763377</v>
      </c>
      <c r="CF8" s="25"/>
      <c r="CG8" s="8"/>
      <c r="CH8" s="8"/>
      <c r="CJ8" s="611">
        <f>SUBTOTAL(9,CJ14:CJ144)</f>
        <v>4707259.4176735757</v>
      </c>
      <c r="CK8" s="611">
        <f>SUBTOTAL(9,CK14:CK144)</f>
        <v>3201598.4229974342</v>
      </c>
      <c r="CL8" s="611">
        <f>SUBTOTAL(9,CL14:CL144)</f>
        <v>7946945.4060758138</v>
      </c>
      <c r="CM8" s="1237"/>
      <c r="CN8" s="1237"/>
      <c r="CO8" s="755">
        <f>CL8/1.2</f>
        <v>6622454.505063178</v>
      </c>
      <c r="CP8" s="25"/>
      <c r="CQ8" s="158">
        <f>503461.528447148*1000</f>
        <v>503461528.44714797</v>
      </c>
      <c r="DH8" s="611">
        <f>SUM(DH14:DH144)</f>
        <v>3676640.0269098449</v>
      </c>
      <c r="DI8" s="611">
        <f>SUM(DI14:DI144)</f>
        <v>2583489.4570310824</v>
      </c>
      <c r="DJ8" s="611">
        <f>SUM(DJ14:DJ144)</f>
        <v>1093150.5698787619</v>
      </c>
      <c r="DL8" s="6"/>
    </row>
    <row r="9" spans="1:119" s="817" customFormat="1">
      <c r="A9" s="817">
        <v>1</v>
      </c>
      <c r="B9" s="817">
        <v>2</v>
      </c>
      <c r="C9" s="817">
        <v>3</v>
      </c>
      <c r="D9" s="817">
        <f t="shared" ref="D9:BO9" si="3">C9+1</f>
        <v>4</v>
      </c>
      <c r="E9" s="817">
        <f>D9+1</f>
        <v>5</v>
      </c>
      <c r="F9" s="817">
        <f t="shared" si="3"/>
        <v>6</v>
      </c>
      <c r="G9" s="817">
        <f t="shared" si="3"/>
        <v>7</v>
      </c>
      <c r="H9" s="817">
        <f t="shared" si="3"/>
        <v>8</v>
      </c>
      <c r="I9" s="817">
        <f t="shared" si="3"/>
        <v>9</v>
      </c>
      <c r="J9" s="817">
        <f t="shared" si="3"/>
        <v>10</v>
      </c>
      <c r="K9" s="817">
        <f t="shared" si="3"/>
        <v>11</v>
      </c>
      <c r="L9" s="817">
        <f t="shared" si="3"/>
        <v>12</v>
      </c>
      <c r="M9" s="817">
        <f t="shared" si="3"/>
        <v>13</v>
      </c>
      <c r="N9" s="817">
        <f t="shared" si="3"/>
        <v>14</v>
      </c>
      <c r="O9" s="817">
        <f t="shared" si="3"/>
        <v>15</v>
      </c>
      <c r="P9" s="817">
        <f t="shared" si="3"/>
        <v>16</v>
      </c>
      <c r="Q9" s="817">
        <f t="shared" si="3"/>
        <v>17</v>
      </c>
      <c r="R9" s="817">
        <f t="shared" si="3"/>
        <v>18</v>
      </c>
      <c r="S9" s="817">
        <f t="shared" si="3"/>
        <v>19</v>
      </c>
      <c r="T9" s="817">
        <f t="shared" si="3"/>
        <v>20</v>
      </c>
      <c r="U9" s="817">
        <f t="shared" si="3"/>
        <v>21</v>
      </c>
      <c r="V9" s="818">
        <f t="shared" si="3"/>
        <v>22</v>
      </c>
      <c r="W9" s="817">
        <f t="shared" si="3"/>
        <v>23</v>
      </c>
      <c r="X9" s="817">
        <f t="shared" si="3"/>
        <v>24</v>
      </c>
      <c r="Y9" s="817">
        <f t="shared" si="3"/>
        <v>25</v>
      </c>
      <c r="Z9" s="817">
        <f t="shared" si="3"/>
        <v>26</v>
      </c>
      <c r="AA9" s="817">
        <f t="shared" si="3"/>
        <v>27</v>
      </c>
      <c r="AB9" s="817">
        <f t="shared" si="3"/>
        <v>28</v>
      </c>
      <c r="AC9" s="818">
        <f t="shared" si="3"/>
        <v>29</v>
      </c>
      <c r="AD9" s="817">
        <f t="shared" si="3"/>
        <v>30</v>
      </c>
      <c r="AE9" s="817">
        <f t="shared" si="3"/>
        <v>31</v>
      </c>
      <c r="AF9" s="817">
        <f t="shared" si="3"/>
        <v>32</v>
      </c>
      <c r="AG9" s="817">
        <f t="shared" si="3"/>
        <v>33</v>
      </c>
      <c r="AH9" s="817">
        <f t="shared" si="3"/>
        <v>34</v>
      </c>
      <c r="AI9" s="817">
        <f t="shared" si="3"/>
        <v>35</v>
      </c>
      <c r="AJ9" s="817">
        <f t="shared" si="3"/>
        <v>36</v>
      </c>
      <c r="AK9" s="817">
        <f t="shared" si="3"/>
        <v>37</v>
      </c>
      <c r="AL9" s="817">
        <f t="shared" si="3"/>
        <v>38</v>
      </c>
      <c r="AM9" s="817">
        <f t="shared" si="3"/>
        <v>39</v>
      </c>
      <c r="AN9" s="817">
        <f t="shared" si="3"/>
        <v>40</v>
      </c>
      <c r="AO9" s="817">
        <f t="shared" si="3"/>
        <v>41</v>
      </c>
      <c r="AP9" s="817">
        <f t="shared" si="3"/>
        <v>42</v>
      </c>
      <c r="AQ9" s="817">
        <f t="shared" si="3"/>
        <v>43</v>
      </c>
      <c r="AR9" s="817">
        <f t="shared" si="3"/>
        <v>44</v>
      </c>
      <c r="AS9" s="817">
        <f t="shared" si="3"/>
        <v>45</v>
      </c>
      <c r="AT9" s="817">
        <f t="shared" si="3"/>
        <v>46</v>
      </c>
      <c r="AU9" s="817">
        <f t="shared" si="3"/>
        <v>47</v>
      </c>
      <c r="AV9" s="817">
        <f t="shared" si="3"/>
        <v>48</v>
      </c>
      <c r="AW9" s="817">
        <f t="shared" si="3"/>
        <v>49</v>
      </c>
      <c r="AX9" s="817">
        <f t="shared" si="3"/>
        <v>50</v>
      </c>
      <c r="AY9" s="817">
        <f t="shared" si="3"/>
        <v>51</v>
      </c>
      <c r="AZ9" s="817">
        <f t="shared" si="3"/>
        <v>52</v>
      </c>
      <c r="BA9" s="817">
        <f t="shared" si="3"/>
        <v>53</v>
      </c>
      <c r="BB9" s="817">
        <f t="shared" si="3"/>
        <v>54</v>
      </c>
      <c r="BC9" s="817">
        <f t="shared" si="3"/>
        <v>55</v>
      </c>
      <c r="BD9" s="817">
        <f t="shared" si="3"/>
        <v>56</v>
      </c>
      <c r="BE9" s="817">
        <f t="shared" si="3"/>
        <v>57</v>
      </c>
      <c r="BF9" s="817">
        <f t="shared" si="3"/>
        <v>58</v>
      </c>
      <c r="BG9" s="817">
        <f t="shared" si="3"/>
        <v>59</v>
      </c>
      <c r="BH9" s="817">
        <f t="shared" si="3"/>
        <v>60</v>
      </c>
      <c r="BI9" s="817">
        <f t="shared" si="3"/>
        <v>61</v>
      </c>
      <c r="BL9" s="817">
        <f>BI9+1</f>
        <v>62</v>
      </c>
      <c r="BM9" s="817">
        <f t="shared" si="3"/>
        <v>63</v>
      </c>
      <c r="BN9" s="817">
        <f t="shared" si="3"/>
        <v>64</v>
      </c>
      <c r="BO9" s="817">
        <f t="shared" si="3"/>
        <v>65</v>
      </c>
      <c r="BP9" s="817">
        <f t="shared" ref="BP9:DB9" si="4">BO9+1</f>
        <v>66</v>
      </c>
      <c r="BQ9" s="817">
        <f t="shared" si="4"/>
        <v>67</v>
      </c>
      <c r="BR9" s="817">
        <f t="shared" si="4"/>
        <v>68</v>
      </c>
      <c r="BS9" s="817">
        <f t="shared" si="4"/>
        <v>69</v>
      </c>
      <c r="BT9" s="817">
        <f t="shared" si="4"/>
        <v>70</v>
      </c>
      <c r="BU9" s="817">
        <f t="shared" si="4"/>
        <v>71</v>
      </c>
      <c r="BV9" s="817">
        <f t="shared" si="4"/>
        <v>72</v>
      </c>
      <c r="BW9" s="817">
        <f t="shared" si="4"/>
        <v>73</v>
      </c>
      <c r="BX9" s="817">
        <f t="shared" si="4"/>
        <v>74</v>
      </c>
      <c r="BY9" s="817">
        <f t="shared" si="4"/>
        <v>75</v>
      </c>
      <c r="BZ9" s="817">
        <f t="shared" si="4"/>
        <v>76</v>
      </c>
      <c r="CA9" s="817">
        <f t="shared" si="4"/>
        <v>77</v>
      </c>
      <c r="CB9" s="817">
        <f t="shared" si="4"/>
        <v>78</v>
      </c>
      <c r="CC9" s="817">
        <f t="shared" si="4"/>
        <v>79</v>
      </c>
      <c r="CD9" s="817">
        <f t="shared" si="4"/>
        <v>80</v>
      </c>
      <c r="CE9" s="817">
        <f t="shared" si="4"/>
        <v>81</v>
      </c>
      <c r="CF9" s="817">
        <f t="shared" si="4"/>
        <v>82</v>
      </c>
      <c r="CG9" s="817">
        <f t="shared" si="4"/>
        <v>83</v>
      </c>
      <c r="CH9" s="817">
        <f t="shared" si="4"/>
        <v>84</v>
      </c>
      <c r="CI9" s="817">
        <f t="shared" si="4"/>
        <v>85</v>
      </c>
      <c r="CJ9" s="817">
        <f t="shared" si="4"/>
        <v>86</v>
      </c>
      <c r="CK9" s="817">
        <f t="shared" si="4"/>
        <v>87</v>
      </c>
      <c r="CL9" s="817">
        <f t="shared" si="4"/>
        <v>88</v>
      </c>
      <c r="CM9" s="1238"/>
      <c r="CN9" s="1238"/>
      <c r="CO9" s="817">
        <f>CL9+1</f>
        <v>89</v>
      </c>
      <c r="CP9" s="817">
        <f t="shared" si="4"/>
        <v>90</v>
      </c>
      <c r="CQ9" s="817">
        <f t="shared" si="4"/>
        <v>91</v>
      </c>
      <c r="CR9" s="817">
        <f t="shared" si="4"/>
        <v>92</v>
      </c>
      <c r="CS9" s="817">
        <f t="shared" si="4"/>
        <v>93</v>
      </c>
      <c r="CT9" s="817">
        <f t="shared" si="4"/>
        <v>94</v>
      </c>
      <c r="CU9" s="817">
        <f t="shared" si="4"/>
        <v>95</v>
      </c>
      <c r="CV9" s="817">
        <f t="shared" si="4"/>
        <v>96</v>
      </c>
      <c r="CW9" s="835">
        <f t="shared" si="4"/>
        <v>97</v>
      </c>
      <c r="CX9" s="817">
        <f t="shared" si="4"/>
        <v>98</v>
      </c>
      <c r="CY9" s="817">
        <f t="shared" si="4"/>
        <v>99</v>
      </c>
      <c r="CZ9" s="817">
        <f t="shared" si="4"/>
        <v>100</v>
      </c>
      <c r="DA9" s="817">
        <f t="shared" si="4"/>
        <v>101</v>
      </c>
      <c r="DB9" s="817">
        <f t="shared" si="4"/>
        <v>102</v>
      </c>
    </row>
    <row r="10" spans="1:119" ht="38.25" customHeight="1" thickBot="1">
      <c r="A10" s="1917" t="s">
        <v>233</v>
      </c>
      <c r="B10" s="1896" t="s">
        <v>134</v>
      </c>
      <c r="C10" s="1896" t="s">
        <v>1</v>
      </c>
      <c r="D10" s="1896" t="s">
        <v>0</v>
      </c>
      <c r="E10" s="1896" t="s">
        <v>223</v>
      </c>
      <c r="F10" s="1906" t="s">
        <v>2</v>
      </c>
      <c r="G10" s="1896" t="s">
        <v>3</v>
      </c>
      <c r="H10" s="2017" t="s">
        <v>230</v>
      </c>
      <c r="I10" s="2017"/>
      <c r="J10" s="2017"/>
      <c r="K10" s="2017"/>
      <c r="L10" s="2017"/>
      <c r="M10" s="2017"/>
      <c r="N10" s="2017"/>
      <c r="O10" s="2017"/>
      <c r="P10" s="2017"/>
      <c r="Q10" s="2017"/>
      <c r="R10" s="2017"/>
      <c r="S10" s="2017"/>
      <c r="T10" s="2018" t="s">
        <v>917</v>
      </c>
      <c r="U10" s="2018"/>
      <c r="V10" s="2018"/>
      <c r="W10" s="2018"/>
      <c r="X10" s="2018"/>
      <c r="Y10" s="2018"/>
      <c r="Z10" s="2018"/>
      <c r="AA10" s="2018"/>
      <c r="AB10" s="2018"/>
      <c r="AC10" s="2018"/>
      <c r="AD10" s="2018"/>
      <c r="AE10" s="2018"/>
      <c r="AF10" s="2018"/>
      <c r="AG10" s="2018"/>
      <c r="AH10" s="2019" t="s">
        <v>267</v>
      </c>
      <c r="AI10" s="2020"/>
      <c r="AJ10" s="2020"/>
      <c r="AK10" s="2020"/>
      <c r="AL10" s="2020"/>
      <c r="AM10" s="2020"/>
      <c r="AN10" s="2020"/>
      <c r="AO10" s="2020"/>
      <c r="AP10" s="2020"/>
      <c r="AQ10" s="2021"/>
      <c r="AR10" s="148"/>
      <c r="AS10" s="1926" t="s">
        <v>268</v>
      </c>
      <c r="AT10" s="1926"/>
      <c r="AU10" s="1926"/>
      <c r="AV10" s="1926"/>
      <c r="AW10" s="1926"/>
      <c r="AX10" s="1926"/>
      <c r="AY10" s="1926"/>
      <c r="AZ10" s="1926"/>
      <c r="BA10" s="1926"/>
      <c r="BB10" s="1926"/>
      <c r="BC10" s="1926"/>
      <c r="BD10" s="1926"/>
      <c r="BE10" s="1926"/>
      <c r="BF10" s="1926"/>
      <c r="BG10" s="2005" t="s">
        <v>269</v>
      </c>
      <c r="BH10" s="2006"/>
      <c r="BI10" s="2007"/>
      <c r="BJ10" s="1198" t="s">
        <v>270</v>
      </c>
      <c r="BK10" s="1227" t="s">
        <v>271</v>
      </c>
      <c r="BL10" s="1945" t="s">
        <v>190</v>
      </c>
      <c r="BM10" s="1945"/>
      <c r="BN10" s="1945"/>
      <c r="BO10" s="1945"/>
      <c r="BP10" s="1945"/>
      <c r="BQ10" s="1945"/>
      <c r="BR10" s="1945"/>
      <c r="BS10" s="1945"/>
      <c r="BT10" s="1945"/>
      <c r="BU10" s="1945"/>
      <c r="BV10" s="1945"/>
      <c r="BW10" s="1945"/>
      <c r="BX10" s="1945"/>
      <c r="BY10" s="1945"/>
      <c r="BZ10" s="1946" t="s">
        <v>192</v>
      </c>
      <c r="CA10" s="1946" t="s">
        <v>193</v>
      </c>
      <c r="CB10" s="1947" t="s">
        <v>201</v>
      </c>
      <c r="CC10" s="103" t="s">
        <v>191</v>
      </c>
      <c r="CD10" s="103" t="s">
        <v>191</v>
      </c>
      <c r="CE10" s="103" t="s">
        <v>202</v>
      </c>
      <c r="CF10" s="103" t="s">
        <v>197</v>
      </c>
      <c r="CG10" s="104" t="s">
        <v>199</v>
      </c>
      <c r="CH10" s="105" t="s">
        <v>198</v>
      </c>
      <c r="CI10" s="106"/>
      <c r="CJ10" s="1950" t="s">
        <v>277</v>
      </c>
      <c r="CK10" s="1951"/>
      <c r="CL10" s="1952"/>
      <c r="CM10" s="1239"/>
      <c r="CN10" s="1239"/>
      <c r="CO10" s="107" t="s">
        <v>211</v>
      </c>
      <c r="CP10" s="1932" t="s">
        <v>228</v>
      </c>
      <c r="CQ10" s="1933"/>
      <c r="CR10" s="1933"/>
      <c r="CS10" s="1933"/>
      <c r="CT10" s="1933"/>
      <c r="CU10" s="1933"/>
      <c r="CV10" s="1933"/>
      <c r="CW10" s="1934"/>
      <c r="CX10" s="1932" t="s">
        <v>229</v>
      </c>
      <c r="CY10" s="1933"/>
      <c r="CZ10" s="1934"/>
      <c r="DA10" s="1926" t="s">
        <v>221</v>
      </c>
      <c r="DB10" s="1926"/>
      <c r="DC10" s="106"/>
      <c r="DD10" s="106" t="s">
        <v>263</v>
      </c>
      <c r="DE10" s="106"/>
      <c r="DF10" s="106"/>
      <c r="DG10" s="106"/>
      <c r="DH10" s="2002" t="s">
        <v>921</v>
      </c>
      <c r="DI10" s="2003"/>
      <c r="DJ10" s="2004"/>
      <c r="DK10" s="106"/>
      <c r="DL10" s="106"/>
      <c r="DM10" s="106"/>
      <c r="DN10" s="106"/>
      <c r="DO10" s="106"/>
    </row>
    <row r="11" spans="1:119" ht="28.5" customHeight="1">
      <c r="A11" s="1917"/>
      <c r="B11" s="1897"/>
      <c r="C11" s="1897"/>
      <c r="D11" s="1897"/>
      <c r="E11" s="1897"/>
      <c r="F11" s="1907"/>
      <c r="G11" s="1910"/>
      <c r="H11" s="2008" t="s">
        <v>915</v>
      </c>
      <c r="I11" s="2009"/>
      <c r="J11" s="2009"/>
      <c r="K11" s="2009"/>
      <c r="L11" s="2009"/>
      <c r="M11" s="2010"/>
      <c r="N11" s="2009" t="s">
        <v>916</v>
      </c>
      <c r="O11" s="2009"/>
      <c r="P11" s="2009"/>
      <c r="Q11" s="2009"/>
      <c r="R11" s="2009"/>
      <c r="S11" s="2010"/>
      <c r="T11" s="2011" t="s">
        <v>265</v>
      </c>
      <c r="U11" s="2012"/>
      <c r="V11" s="2012"/>
      <c r="W11" s="2012"/>
      <c r="X11" s="2012"/>
      <c r="Y11" s="2012"/>
      <c r="Z11" s="2013"/>
      <c r="AA11" s="2012" t="s">
        <v>266</v>
      </c>
      <c r="AB11" s="2012"/>
      <c r="AC11" s="2012"/>
      <c r="AD11" s="2012"/>
      <c r="AE11" s="2012"/>
      <c r="AF11" s="2012"/>
      <c r="AG11" s="2013"/>
      <c r="AH11" s="960" t="s">
        <v>208</v>
      </c>
      <c r="AI11" s="2014"/>
      <c r="AJ11" s="2015"/>
      <c r="AK11" s="2015"/>
      <c r="AL11" s="2015"/>
      <c r="AM11" s="2015"/>
      <c r="AN11" s="2015"/>
      <c r="AO11" s="2015"/>
      <c r="AP11" s="2015"/>
      <c r="AQ11" s="2016"/>
      <c r="AR11" s="1272" t="s">
        <v>210</v>
      </c>
      <c r="AS11" s="1941" t="s">
        <v>265</v>
      </c>
      <c r="AT11" s="1942"/>
      <c r="AU11" s="1942"/>
      <c r="AV11" s="1942"/>
      <c r="AW11" s="1942"/>
      <c r="AX11" s="1942"/>
      <c r="AY11" s="1943"/>
      <c r="AZ11" s="1941" t="s">
        <v>266</v>
      </c>
      <c r="BA11" s="1942"/>
      <c r="BB11" s="1942"/>
      <c r="BC11" s="1942"/>
      <c r="BD11" s="1942"/>
      <c r="BE11" s="1942"/>
      <c r="BF11" s="1943"/>
      <c r="BG11" s="108" t="s">
        <v>225</v>
      </c>
      <c r="BH11" s="108" t="s">
        <v>226</v>
      </c>
      <c r="BI11" s="109" t="s">
        <v>163</v>
      </c>
      <c r="BJ11" s="109"/>
      <c r="BK11" s="109"/>
      <c r="BL11" s="1944" t="s">
        <v>273</v>
      </c>
      <c r="BM11" s="1944"/>
      <c r="BN11" s="1944"/>
      <c r="BO11" s="1944"/>
      <c r="BP11" s="1944"/>
      <c r="BQ11" s="1944"/>
      <c r="BR11" s="1944"/>
      <c r="BS11" s="1944" t="s">
        <v>274</v>
      </c>
      <c r="BT11" s="1944"/>
      <c r="BU11" s="1944"/>
      <c r="BV11" s="1944"/>
      <c r="BW11" s="1944"/>
      <c r="BX11" s="1944"/>
      <c r="BY11" s="1944"/>
      <c r="BZ11" s="1946"/>
      <c r="CA11" s="1946"/>
      <c r="CB11" s="1948"/>
      <c r="CC11" s="109" t="s">
        <v>194</v>
      </c>
      <c r="CD11" s="110" t="s">
        <v>195</v>
      </c>
      <c r="CE11" s="109" t="s">
        <v>200</v>
      </c>
      <c r="CF11" s="109"/>
      <c r="CG11" s="111"/>
      <c r="CH11" s="106"/>
      <c r="CI11" s="106"/>
      <c r="CJ11" s="1953" t="s">
        <v>203</v>
      </c>
      <c r="CK11" s="1953" t="s">
        <v>204</v>
      </c>
      <c r="CL11" s="1953" t="s">
        <v>205</v>
      </c>
      <c r="CM11" s="1240"/>
      <c r="CN11" s="1240"/>
      <c r="CO11" s="1956"/>
      <c r="CP11" s="112"/>
      <c r="CQ11" s="112"/>
      <c r="CR11" s="112"/>
      <c r="CS11" s="112"/>
      <c r="CT11" s="112"/>
      <c r="CU11" s="112"/>
      <c r="CV11" s="112"/>
      <c r="CW11" s="837"/>
      <c r="CX11" s="112" t="s">
        <v>218</v>
      </c>
      <c r="CY11" s="112" t="s">
        <v>218</v>
      </c>
      <c r="CZ11" s="112" t="s">
        <v>218</v>
      </c>
      <c r="DA11" s="1956" t="s">
        <v>203</v>
      </c>
      <c r="DB11" s="1956" t="s">
        <v>204</v>
      </c>
      <c r="DC11" s="106"/>
      <c r="DD11" s="106" t="s">
        <v>264</v>
      </c>
      <c r="DE11" s="106"/>
      <c r="DF11" s="106"/>
      <c r="DG11" s="106"/>
      <c r="DH11" s="1995" t="s">
        <v>163</v>
      </c>
      <c r="DI11" s="1999" t="s">
        <v>922</v>
      </c>
      <c r="DJ11" s="1999" t="s">
        <v>923</v>
      </c>
      <c r="DK11" s="106"/>
      <c r="DL11" s="106"/>
      <c r="DM11" s="106"/>
      <c r="DN11" s="106"/>
      <c r="DO11" s="106"/>
    </row>
    <row r="12" spans="1:119" ht="29.25" customHeight="1">
      <c r="A12" s="1917"/>
      <c r="B12" s="1897"/>
      <c r="C12" s="1897"/>
      <c r="D12" s="1897"/>
      <c r="E12" s="1897"/>
      <c r="F12" s="1907"/>
      <c r="G12" s="1910"/>
      <c r="H12" s="1915" t="s">
        <v>207</v>
      </c>
      <c r="I12" s="1900" t="s">
        <v>909</v>
      </c>
      <c r="J12" s="1901" t="s">
        <v>139</v>
      </c>
      <c r="K12" s="1902"/>
      <c r="L12" s="1896" t="s">
        <v>5</v>
      </c>
      <c r="M12" s="1898" t="s">
        <v>6</v>
      </c>
      <c r="N12" s="1903" t="s">
        <v>207</v>
      </c>
      <c r="O12" s="1896" t="s">
        <v>909</v>
      </c>
      <c r="P12" s="1901" t="s">
        <v>139</v>
      </c>
      <c r="Q12" s="1902"/>
      <c r="R12" s="1896" t="s">
        <v>5</v>
      </c>
      <c r="S12" s="1898" t="s">
        <v>6</v>
      </c>
      <c r="T12" s="2022" t="s">
        <v>909</v>
      </c>
      <c r="U12" s="1901" t="s">
        <v>139</v>
      </c>
      <c r="V12" s="1902"/>
      <c r="W12" s="1896" t="s">
        <v>5</v>
      </c>
      <c r="X12" s="1896" t="s">
        <v>6</v>
      </c>
      <c r="Y12" s="1896" t="s">
        <v>164</v>
      </c>
      <c r="Z12" s="1898" t="s">
        <v>206</v>
      </c>
      <c r="AA12" s="1993" t="s">
        <v>909</v>
      </c>
      <c r="AB12" s="1901" t="s">
        <v>139</v>
      </c>
      <c r="AC12" s="1902"/>
      <c r="AD12" s="1896" t="s">
        <v>5</v>
      </c>
      <c r="AE12" s="1896" t="s">
        <v>6</v>
      </c>
      <c r="AF12" s="1896" t="s">
        <v>164</v>
      </c>
      <c r="AG12" s="1898" t="s">
        <v>206</v>
      </c>
      <c r="AH12" s="961" t="s">
        <v>209</v>
      </c>
      <c r="AI12" s="1896" t="s">
        <v>909</v>
      </c>
      <c r="AJ12" s="1991" t="s">
        <v>139</v>
      </c>
      <c r="AK12" s="1992"/>
      <c r="AL12" s="1896" t="s">
        <v>5</v>
      </c>
      <c r="AM12" s="1896" t="s">
        <v>6</v>
      </c>
      <c r="AN12" s="1896" t="s">
        <v>164</v>
      </c>
      <c r="AO12" s="1896" t="s">
        <v>173</v>
      </c>
      <c r="AP12" s="1896" t="s">
        <v>174</v>
      </c>
      <c r="AQ12" s="1896" t="s">
        <v>175</v>
      </c>
      <c r="AR12" s="1273"/>
      <c r="AS12" s="1959" t="s">
        <v>4</v>
      </c>
      <c r="AT12" s="1961" t="s">
        <v>139</v>
      </c>
      <c r="AU12" s="1962"/>
      <c r="AV12" s="1959" t="s">
        <v>5</v>
      </c>
      <c r="AW12" s="1959" t="s">
        <v>6</v>
      </c>
      <c r="AX12" s="1959" t="s">
        <v>171</v>
      </c>
      <c r="AY12" s="1959" t="s">
        <v>172</v>
      </c>
      <c r="AZ12" s="1959" t="s">
        <v>4</v>
      </c>
      <c r="BA12" s="1961" t="s">
        <v>139</v>
      </c>
      <c r="BB12" s="1962"/>
      <c r="BC12" s="1959" t="s">
        <v>5</v>
      </c>
      <c r="BD12" s="1967" t="s">
        <v>6</v>
      </c>
      <c r="BE12" s="1959" t="s">
        <v>171</v>
      </c>
      <c r="BF12" s="1959" t="s">
        <v>172</v>
      </c>
      <c r="BG12" s="112"/>
      <c r="BH12" s="112"/>
      <c r="BI12" s="112">
        <f>BG12+BH12</f>
        <v>0</v>
      </c>
      <c r="BJ12" s="150"/>
      <c r="BK12" s="150"/>
      <c r="BL12" s="1959" t="s">
        <v>4</v>
      </c>
      <c r="BM12" s="1961" t="s">
        <v>139</v>
      </c>
      <c r="BN12" s="1962"/>
      <c r="BO12" s="1959" t="s">
        <v>5</v>
      </c>
      <c r="BP12" s="1959" t="s">
        <v>6</v>
      </c>
      <c r="BQ12" s="1959" t="s">
        <v>171</v>
      </c>
      <c r="BR12" s="1959" t="s">
        <v>172</v>
      </c>
      <c r="BS12" s="1959" t="s">
        <v>4</v>
      </c>
      <c r="BT12" s="1961" t="s">
        <v>139</v>
      </c>
      <c r="BU12" s="1962"/>
      <c r="BV12" s="1959" t="s">
        <v>5</v>
      </c>
      <c r="BW12" s="1967" t="s">
        <v>6</v>
      </c>
      <c r="BX12" s="1959" t="s">
        <v>171</v>
      </c>
      <c r="BY12" s="1959" t="s">
        <v>172</v>
      </c>
      <c r="BZ12" s="1946"/>
      <c r="CA12" s="1946"/>
      <c r="CB12" s="1948"/>
      <c r="CC12" s="112"/>
      <c r="CD12" s="112"/>
      <c r="CE12" s="112"/>
      <c r="CF12" s="112"/>
      <c r="CG12" s="113"/>
      <c r="CH12" s="106"/>
      <c r="CI12" s="106"/>
      <c r="CJ12" s="1954"/>
      <c r="CK12" s="1954"/>
      <c r="CL12" s="1954"/>
      <c r="CM12" s="1241"/>
      <c r="CN12" s="1241"/>
      <c r="CO12" s="1957"/>
      <c r="CP12" s="107" t="s">
        <v>216</v>
      </c>
      <c r="CQ12" s="107" t="s">
        <v>217</v>
      </c>
      <c r="CR12" s="112" t="s">
        <v>215</v>
      </c>
      <c r="CS12" s="107" t="s">
        <v>216</v>
      </c>
      <c r="CT12" s="107" t="s">
        <v>217</v>
      </c>
      <c r="CU12" s="112" t="s">
        <v>215</v>
      </c>
      <c r="CV12" s="107" t="s">
        <v>216</v>
      </c>
      <c r="CW12" s="837"/>
      <c r="CX12" s="845" t="s">
        <v>924</v>
      </c>
      <c r="CY12" s="845" t="s">
        <v>925</v>
      </c>
      <c r="CZ12" s="844" t="s">
        <v>205</v>
      </c>
      <c r="DA12" s="1957"/>
      <c r="DB12" s="1957"/>
      <c r="DC12" s="106"/>
      <c r="DD12" s="106"/>
      <c r="DE12" s="106"/>
      <c r="DF12" s="106"/>
      <c r="DG12" s="106"/>
      <c r="DH12" s="1996"/>
      <c r="DI12" s="2000"/>
      <c r="DJ12" s="2000"/>
      <c r="DK12" s="106"/>
      <c r="DL12" s="220" t="s">
        <v>285</v>
      </c>
      <c r="DM12" s="220"/>
      <c r="DN12" s="220"/>
      <c r="DO12" s="106"/>
    </row>
    <row r="13" spans="1:119" ht="45" customHeight="1">
      <c r="A13" s="1917"/>
      <c r="B13" s="1905"/>
      <c r="C13" s="1905"/>
      <c r="D13" s="1905"/>
      <c r="E13" s="1905"/>
      <c r="F13" s="1908"/>
      <c r="G13" s="1911"/>
      <c r="H13" s="1915"/>
      <c r="I13" s="1900"/>
      <c r="J13" s="1280" t="s">
        <v>149</v>
      </c>
      <c r="K13" s="1280" t="s">
        <v>150</v>
      </c>
      <c r="L13" s="1905"/>
      <c r="M13" s="1990"/>
      <c r="N13" s="1998"/>
      <c r="O13" s="1905"/>
      <c r="P13" s="1280" t="s">
        <v>149</v>
      </c>
      <c r="Q13" s="1280" t="s">
        <v>150</v>
      </c>
      <c r="R13" s="1905"/>
      <c r="S13" s="1990"/>
      <c r="T13" s="2023"/>
      <c r="U13" s="1280" t="s">
        <v>149</v>
      </c>
      <c r="V13" s="223" t="s">
        <v>150</v>
      </c>
      <c r="W13" s="1905"/>
      <c r="X13" s="1905"/>
      <c r="Y13" s="1905"/>
      <c r="Z13" s="1990"/>
      <c r="AA13" s="1994"/>
      <c r="AB13" s="1280" t="s">
        <v>149</v>
      </c>
      <c r="AC13" s="223" t="s">
        <v>150</v>
      </c>
      <c r="AD13" s="1905"/>
      <c r="AE13" s="1905"/>
      <c r="AF13" s="1905"/>
      <c r="AG13" s="1990"/>
      <c r="AH13" s="962"/>
      <c r="AI13" s="1905"/>
      <c r="AJ13" s="824" t="s">
        <v>149</v>
      </c>
      <c r="AK13" s="824" t="s">
        <v>150</v>
      </c>
      <c r="AL13" s="1905"/>
      <c r="AM13" s="1905"/>
      <c r="AN13" s="1905"/>
      <c r="AO13" s="1905"/>
      <c r="AP13" s="1905"/>
      <c r="AQ13" s="1905"/>
      <c r="AR13" s="1274"/>
      <c r="AS13" s="1960"/>
      <c r="AT13" s="114" t="s">
        <v>149</v>
      </c>
      <c r="AU13" s="114" t="s">
        <v>150</v>
      </c>
      <c r="AV13" s="1960"/>
      <c r="AW13" s="1960"/>
      <c r="AX13" s="1960"/>
      <c r="AY13" s="1960"/>
      <c r="AZ13" s="1960"/>
      <c r="BA13" s="114" t="s">
        <v>149</v>
      </c>
      <c r="BB13" s="114" t="s">
        <v>150</v>
      </c>
      <c r="BC13" s="1960"/>
      <c r="BD13" s="1968"/>
      <c r="BE13" s="1960"/>
      <c r="BF13" s="1960"/>
      <c r="BG13" s="112"/>
      <c r="BH13" s="112"/>
      <c r="BI13" s="112">
        <f t="shared" ref="BI13:BI67" si="5">BG13+BH13</f>
        <v>0</v>
      </c>
      <c r="BJ13" s="151"/>
      <c r="BK13" s="151"/>
      <c r="BL13" s="1960"/>
      <c r="BM13" s="114" t="s">
        <v>149</v>
      </c>
      <c r="BN13" s="114" t="s">
        <v>150</v>
      </c>
      <c r="BO13" s="1960"/>
      <c r="BP13" s="1960"/>
      <c r="BQ13" s="1960"/>
      <c r="BR13" s="1960"/>
      <c r="BS13" s="1960"/>
      <c r="BT13" s="114" t="s">
        <v>149</v>
      </c>
      <c r="BU13" s="114" t="s">
        <v>150</v>
      </c>
      <c r="BV13" s="1960"/>
      <c r="BW13" s="1968"/>
      <c r="BX13" s="1960"/>
      <c r="BY13" s="1960"/>
      <c r="BZ13" s="1946"/>
      <c r="CA13" s="1946"/>
      <c r="CB13" s="1949"/>
      <c r="CC13" s="112"/>
      <c r="CD13" s="112"/>
      <c r="CE13" s="112"/>
      <c r="CF13" s="112"/>
      <c r="CG13" s="113"/>
      <c r="CH13" s="106"/>
      <c r="CI13" s="106"/>
      <c r="CJ13" s="1955"/>
      <c r="CK13" s="1955"/>
      <c r="CL13" s="1955"/>
      <c r="CM13" s="1242"/>
      <c r="CN13" s="1242"/>
      <c r="CO13" s="1958"/>
      <c r="CP13" s="1987" t="s">
        <v>915</v>
      </c>
      <c r="CQ13" s="1988"/>
      <c r="CR13" s="1989"/>
      <c r="CS13" s="1987" t="s">
        <v>916</v>
      </c>
      <c r="CT13" s="1988"/>
      <c r="CU13" s="1989"/>
      <c r="CV13" s="112" t="s">
        <v>227</v>
      </c>
      <c r="CW13" s="838" t="s">
        <v>214</v>
      </c>
      <c r="CX13" s="112"/>
      <c r="CY13" s="112"/>
      <c r="CZ13" s="112"/>
      <c r="DA13" s="1958"/>
      <c r="DB13" s="1958"/>
      <c r="DC13" s="106"/>
      <c r="DD13" s="106"/>
      <c r="DE13" s="106"/>
      <c r="DF13" s="106"/>
      <c r="DG13" s="106"/>
      <c r="DH13" s="1997"/>
      <c r="DI13" s="2001"/>
      <c r="DJ13" s="2001"/>
      <c r="DK13" s="221"/>
      <c r="DL13" s="221" t="s">
        <v>203</v>
      </c>
      <c r="DM13" s="221" t="s">
        <v>204</v>
      </c>
      <c r="DN13" s="221" t="s">
        <v>208</v>
      </c>
      <c r="DO13" s="221"/>
    </row>
    <row r="14" spans="1:119" customFormat="1" ht="100.5" customHeight="1">
      <c r="A14" s="20">
        <v>1</v>
      </c>
      <c r="B14" s="1288" t="s">
        <v>7</v>
      </c>
      <c r="C14" s="966" t="s">
        <v>69</v>
      </c>
      <c r="D14" s="967" t="s">
        <v>141</v>
      </c>
      <c r="E14" s="617">
        <v>4632024035</v>
      </c>
      <c r="F14" s="1280" t="s">
        <v>8</v>
      </c>
      <c r="G14" s="1245" t="s">
        <v>956</v>
      </c>
      <c r="H14" s="866">
        <v>3299.1600000000003</v>
      </c>
      <c r="I14" s="825">
        <v>3299.1600000000003</v>
      </c>
      <c r="J14" s="756"/>
      <c r="K14" s="756"/>
      <c r="L14" s="825">
        <v>3299.1600000000003</v>
      </c>
      <c r="M14" s="867"/>
      <c r="N14" s="1207">
        <f>2762.47*1.2</f>
        <v>3314.9639999999995</v>
      </c>
      <c r="O14" s="1208">
        <f>N14</f>
        <v>3314.9639999999995</v>
      </c>
      <c r="P14" s="963"/>
      <c r="Q14" s="963"/>
      <c r="R14" s="1208">
        <f>O14</f>
        <v>3314.9639999999995</v>
      </c>
      <c r="S14" s="910"/>
      <c r="T14" s="968">
        <v>647.43234668102536</v>
      </c>
      <c r="U14" s="969"/>
      <c r="V14" s="970"/>
      <c r="W14" s="969"/>
      <c r="X14" s="969"/>
      <c r="Y14" s="969"/>
      <c r="Z14" s="971">
        <f>SUM(T14:W14)</f>
        <v>647.43234668102536</v>
      </c>
      <c r="AA14" s="972">
        <v>380.17045795846747</v>
      </c>
      <c r="AB14" s="15"/>
      <c r="AC14" s="208"/>
      <c r="AD14" s="15"/>
      <c r="AE14" s="15"/>
      <c r="AF14" s="15"/>
      <c r="AG14" s="926">
        <f>SUM(AA14:AD14)</f>
        <v>380.17045795846747</v>
      </c>
      <c r="AH14" s="894">
        <f>Z14+AG14</f>
        <v>1027.6028046394929</v>
      </c>
      <c r="AI14" s="15">
        <f t="shared" ref="AI14:AM29" si="6">T14+AA14</f>
        <v>1027.6028046394929</v>
      </c>
      <c r="AJ14" s="15">
        <f t="shared" si="6"/>
        <v>0</v>
      </c>
      <c r="AK14" s="15">
        <f t="shared" si="6"/>
        <v>0</v>
      </c>
      <c r="AL14" s="15">
        <f t="shared" si="6"/>
        <v>0</v>
      </c>
      <c r="AM14" s="15">
        <f t="shared" si="6"/>
        <v>0</v>
      </c>
      <c r="AN14" s="15"/>
      <c r="AO14" s="15">
        <f t="shared" ref="AO14:AO19" si="7">SUM(AI14:AN14)</f>
        <v>1027.6028046394929</v>
      </c>
      <c r="AP14" s="15">
        <f t="shared" ref="AP14:AP27" si="8">SUM(AI14:AM14)</f>
        <v>1027.6028046394929</v>
      </c>
      <c r="AQ14" s="15">
        <f t="shared" ref="AQ14:AQ27" si="9">SUM(AI14:AL14)</f>
        <v>1027.6028046394929</v>
      </c>
      <c r="AR14" s="127">
        <f>AQ14-AH14</f>
        <v>0</v>
      </c>
      <c r="AS14" s="112">
        <f t="shared" ref="AS14:AW29" si="10">I14*AI14</f>
        <v>3390226.0689544296</v>
      </c>
      <c r="AT14" s="112">
        <f t="shared" si="10"/>
        <v>0</v>
      </c>
      <c r="AU14" s="112">
        <f t="shared" si="10"/>
        <v>0</v>
      </c>
      <c r="AV14" s="112">
        <f t="shared" si="10"/>
        <v>0</v>
      </c>
      <c r="AW14" s="112">
        <f t="shared" si="10"/>
        <v>0</v>
      </c>
      <c r="AX14" s="112">
        <f>SUM(AS14:AW14)</f>
        <v>3390226.0689544296</v>
      </c>
      <c r="AY14" s="112">
        <f>SUM(AS14:AV14)</f>
        <v>3390226.0689544296</v>
      </c>
      <c r="AZ14" s="112">
        <f t="shared" ref="AZ14:BD29" si="11">O14*AI14</f>
        <v>3406466.3036789512</v>
      </c>
      <c r="BA14" s="112">
        <f t="shared" si="11"/>
        <v>0</v>
      </c>
      <c r="BB14" s="112">
        <f t="shared" si="11"/>
        <v>0</v>
      </c>
      <c r="BC14" s="112">
        <f t="shared" si="11"/>
        <v>0</v>
      </c>
      <c r="BD14" s="112">
        <f t="shared" si="11"/>
        <v>0</v>
      </c>
      <c r="BE14" s="112">
        <f>SUM(AZ14:BD14)</f>
        <v>3406466.3036789512</v>
      </c>
      <c r="BF14" s="112">
        <f>SUM(AZ14:BC14)</f>
        <v>3406466.3036789512</v>
      </c>
      <c r="BG14" s="112"/>
      <c r="BH14" s="112"/>
      <c r="BI14" s="112">
        <f t="shared" si="5"/>
        <v>0</v>
      </c>
      <c r="BJ14" s="112"/>
      <c r="BK14" s="112"/>
      <c r="BL14" s="112">
        <f t="shared" ref="BL14:BP29" si="12">I14*T14</f>
        <v>2135982.9008761719</v>
      </c>
      <c r="BM14" s="112">
        <f t="shared" si="12"/>
        <v>0</v>
      </c>
      <c r="BN14" s="112">
        <f t="shared" si="12"/>
        <v>0</v>
      </c>
      <c r="BO14" s="112">
        <f t="shared" si="12"/>
        <v>0</v>
      </c>
      <c r="BP14" s="112">
        <f t="shared" si="12"/>
        <v>0</v>
      </c>
      <c r="BQ14" s="112">
        <f>BL14+BM14+BN14+BO14+BP14</f>
        <v>2135982.9008761719</v>
      </c>
      <c r="BR14" s="112">
        <f>BQ14-BP14</f>
        <v>2135982.9008761719</v>
      </c>
      <c r="BS14" s="112">
        <f t="shared" ref="BS14:BU29" si="13">O14*AA14</f>
        <v>1260251.381995833</v>
      </c>
      <c r="BT14" s="112">
        <f t="shared" si="13"/>
        <v>0</v>
      </c>
      <c r="BU14" s="112">
        <f t="shared" si="13"/>
        <v>0</v>
      </c>
      <c r="BV14" s="112">
        <f>R14*W14</f>
        <v>0</v>
      </c>
      <c r="BW14" s="112">
        <f t="shared" ref="BW14:BW77" si="14">S14*AE14</f>
        <v>0</v>
      </c>
      <c r="BX14" s="112">
        <f>BS14+BT14+BU14+BV14+BW14</f>
        <v>1260251.381995833</v>
      </c>
      <c r="BY14" s="112">
        <f>BX14-BW14</f>
        <v>1260251.381995833</v>
      </c>
      <c r="BZ14" s="113">
        <f>BM14+BT14</f>
        <v>0</v>
      </c>
      <c r="CA14" s="113">
        <f>BN14+BU14</f>
        <v>0</v>
      </c>
      <c r="CB14" s="113">
        <f>BZ14+CA14</f>
        <v>0</v>
      </c>
      <c r="CC14" s="113" t="e">
        <f>BZ14/AJ14</f>
        <v>#DIV/0!</v>
      </c>
      <c r="CD14" s="113" t="e">
        <f>CA14/AK14</f>
        <v>#DIV/0!</v>
      </c>
      <c r="CE14" s="113" t="e">
        <f>CB14/(AJ14+AK14)</f>
        <v>#DIV/0!</v>
      </c>
      <c r="CF14" s="113" t="e">
        <f t="shared" ref="CF14:CF77" si="15">CB14/(U14+V14+AB14+AC14)</f>
        <v>#DIV/0!</v>
      </c>
      <c r="CG14" s="113">
        <f t="shared" ref="CG14:CG77" si="16">I14*(U14+V14)+O14*(AB14+AC14)</f>
        <v>0</v>
      </c>
      <c r="CH14" s="106" t="e">
        <f>CG14/(AJ14+AK14)</f>
        <v>#DIV/0!</v>
      </c>
      <c r="CI14" s="106"/>
      <c r="CJ14" s="208">
        <f>N14*Z14/1000</f>
        <v>2146.2149216831181</v>
      </c>
      <c r="CK14" s="208">
        <f t="shared" ref="CK14:CK77" si="17">N14*AG14/1000</f>
        <v>1260.2513819958331</v>
      </c>
      <c r="CL14" s="208">
        <f>CJ14+CK14</f>
        <v>3406.4663036789511</v>
      </c>
      <c r="CM14" s="18">
        <f>N14*AH14/1000</f>
        <v>3406.4663036789511</v>
      </c>
      <c r="CN14" s="18">
        <f>CM14-CL14</f>
        <v>0</v>
      </c>
      <c r="CO14" s="112">
        <f t="shared" ref="CO14:CO77" si="18">H14*Z14+N14*AG14</f>
        <v>3396234.2828720049</v>
      </c>
      <c r="CP14" s="112">
        <f t="shared" ref="CP14:CP77" si="19">I14*AI14+J14*AJ14+K14*AK14+L14*AL14</f>
        <v>3390226.0689544296</v>
      </c>
      <c r="CQ14" s="112">
        <f t="shared" ref="CQ14:CQ77" si="20">I14*AI14+J14*(AJ14+AK14)+L14*AL14</f>
        <v>3390226.0689544296</v>
      </c>
      <c r="CR14" s="112">
        <f t="shared" ref="CR14:CR77" si="21">I14*T14+J14*U14+K14*V14+L14*W14</f>
        <v>2135982.9008761719</v>
      </c>
      <c r="CS14" s="112">
        <f t="shared" ref="CS14:CS77" si="22">O14*AI14+P14*AJ14+Q14*AK14+R14*AL14</f>
        <v>3406466.3036789512</v>
      </c>
      <c r="CT14" s="112">
        <f t="shared" ref="CT14:CT77" si="23">O14*AI14+P14*(AJ14+AK14)+R14*AL14</f>
        <v>3406466.3036789512</v>
      </c>
      <c r="CU14" s="112">
        <f t="shared" ref="CU14:CU77" si="24">O14*AA14+P14*AB14+Q14*AC14+R14*AD14</f>
        <v>1260251.381995833</v>
      </c>
      <c r="CV14" s="112">
        <f>CP14+CS14</f>
        <v>6796692.3726333808</v>
      </c>
      <c r="CW14" s="843">
        <f>CV14/AH14</f>
        <v>6614.1239999999998</v>
      </c>
      <c r="CX14" s="112">
        <f t="shared" ref="CX14:CX77" si="25">J14*AJ14+K14*AK14</f>
        <v>0</v>
      </c>
      <c r="CY14" s="112">
        <f t="shared" ref="CY14:CY77" si="26">P14*AJ14+Q14*AK14</f>
        <v>0</v>
      </c>
      <c r="CZ14" s="112"/>
      <c r="DA14" s="112">
        <f t="shared" ref="DA14:DA77" si="27">H14*AI14+H14*AJ14+H14*AK14+H14*AL14</f>
        <v>3390226.0689544296</v>
      </c>
      <c r="DB14" s="112">
        <f t="shared" ref="DB14:DB77" si="28">N14*AI14+N14*AJ14+N14*AK14+N14*AL14</f>
        <v>3406466.3036789512</v>
      </c>
      <c r="DC14" s="106"/>
      <c r="DD14" s="128" t="e">
        <f>N14/J14*100</f>
        <v>#DIV/0!</v>
      </c>
      <c r="DE14" s="106"/>
      <c r="DF14" s="106"/>
      <c r="DG14" s="106"/>
      <c r="DH14" s="797">
        <v>1060.1889999999999</v>
      </c>
      <c r="DI14" s="797">
        <v>0</v>
      </c>
      <c r="DJ14" s="797">
        <f>DH14-DI14</f>
        <v>1060.1889999999999</v>
      </c>
      <c r="DK14" s="106"/>
      <c r="DL14" s="618">
        <f t="shared" ref="DL14:DL77" si="29">M14*X14/1000</f>
        <v>0</v>
      </c>
      <c r="DM14" s="618">
        <f t="shared" ref="DM14:DM77" si="30">S14*AE14/1000</f>
        <v>0</v>
      </c>
      <c r="DN14" s="618">
        <f t="shared" ref="DN14:DN77" si="31">DL14+DM14</f>
        <v>0</v>
      </c>
      <c r="DO14" s="115"/>
    </row>
    <row r="15" spans="1:119" customFormat="1" ht="100.5" customHeight="1">
      <c r="A15" s="20">
        <f>A14+1</f>
        <v>2</v>
      </c>
      <c r="B15" s="1287"/>
      <c r="C15" s="757" t="s">
        <v>70</v>
      </c>
      <c r="D15" s="967" t="s">
        <v>141</v>
      </c>
      <c r="E15" s="617">
        <v>4632024035</v>
      </c>
      <c r="F15" s="1280" t="s">
        <v>8</v>
      </c>
      <c r="G15" s="1245" t="s">
        <v>956</v>
      </c>
      <c r="H15" s="866">
        <v>3299.1600000000003</v>
      </c>
      <c r="I15" s="825">
        <v>3299.1600000000003</v>
      </c>
      <c r="J15" s="756"/>
      <c r="K15" s="756"/>
      <c r="L15" s="825">
        <v>3299.1600000000003</v>
      </c>
      <c r="M15" s="867"/>
      <c r="N15" s="1207">
        <f>2762.47*1.2</f>
        <v>3314.9639999999995</v>
      </c>
      <c r="O15" s="1208">
        <f>N15</f>
        <v>3314.9639999999995</v>
      </c>
      <c r="P15" s="963"/>
      <c r="Q15" s="963"/>
      <c r="R15" s="1208">
        <f>O15</f>
        <v>3314.9639999999995</v>
      </c>
      <c r="S15" s="910"/>
      <c r="T15" s="968">
        <v>209.11381563753952</v>
      </c>
      <c r="U15" s="969"/>
      <c r="V15" s="970"/>
      <c r="W15" s="969"/>
      <c r="X15" s="969"/>
      <c r="Y15" s="969"/>
      <c r="Z15" s="971">
        <f>SUM(T15:W15)</f>
        <v>209.11381563753952</v>
      </c>
      <c r="AA15" s="972">
        <v>121.42936718380935</v>
      </c>
      <c r="AB15" s="15"/>
      <c r="AC15" s="208"/>
      <c r="AD15" s="15"/>
      <c r="AE15" s="15"/>
      <c r="AF15" s="15"/>
      <c r="AG15" s="926">
        <f>SUM(AA15:AD15)</f>
        <v>121.42936718380935</v>
      </c>
      <c r="AH15" s="894">
        <f>Z15+AG15</f>
        <v>330.54318282134886</v>
      </c>
      <c r="AI15" s="15">
        <f t="shared" si="6"/>
        <v>330.54318282134886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/>
      <c r="AO15" s="15">
        <f t="shared" si="7"/>
        <v>330.54318282134886</v>
      </c>
      <c r="AP15" s="15">
        <f t="shared" si="8"/>
        <v>330.54318282134886</v>
      </c>
      <c r="AQ15" s="15">
        <f t="shared" si="9"/>
        <v>330.54318282134886</v>
      </c>
      <c r="AR15" s="127">
        <f t="shared" ref="AR15:AR78" si="32">AQ15-AH15</f>
        <v>0</v>
      </c>
      <c r="AS15" s="112">
        <f t="shared" si="10"/>
        <v>1090514.8470368814</v>
      </c>
      <c r="AT15" s="112">
        <f t="shared" si="10"/>
        <v>0</v>
      </c>
      <c r="AU15" s="112">
        <f t="shared" si="10"/>
        <v>0</v>
      </c>
      <c r="AV15" s="112">
        <f t="shared" si="10"/>
        <v>0</v>
      </c>
      <c r="AW15" s="112">
        <f t="shared" si="10"/>
        <v>0</v>
      </c>
      <c r="AX15" s="112">
        <f>SUM(AS15:AW15)</f>
        <v>1090514.8470368814</v>
      </c>
      <c r="AY15" s="112">
        <f>SUM(AS15:AV15)</f>
        <v>1090514.8470368814</v>
      </c>
      <c r="AZ15" s="112">
        <f t="shared" si="11"/>
        <v>1095738.7514981898</v>
      </c>
      <c r="BA15" s="112">
        <f t="shared" si="11"/>
        <v>0</v>
      </c>
      <c r="BB15" s="112">
        <f t="shared" si="11"/>
        <v>0</v>
      </c>
      <c r="BC15" s="112">
        <f t="shared" si="11"/>
        <v>0</v>
      </c>
      <c r="BD15" s="112">
        <f t="shared" si="11"/>
        <v>0</v>
      </c>
      <c r="BE15" s="112">
        <f>SUM(AZ15:BD15)</f>
        <v>1095738.7514981898</v>
      </c>
      <c r="BF15" s="112">
        <f>SUM(AZ15:BC15)</f>
        <v>1095738.7514981898</v>
      </c>
      <c r="BG15" s="112"/>
      <c r="BH15" s="112"/>
      <c r="BI15" s="112">
        <f t="shared" si="5"/>
        <v>0</v>
      </c>
      <c r="BJ15" s="112"/>
      <c r="BK15" s="112"/>
      <c r="BL15" s="112">
        <f t="shared" si="12"/>
        <v>689899.93599874491</v>
      </c>
      <c r="BM15" s="112">
        <f t="shared" si="12"/>
        <v>0</v>
      </c>
      <c r="BN15" s="112">
        <f t="shared" si="12"/>
        <v>0</v>
      </c>
      <c r="BO15" s="112">
        <f t="shared" si="12"/>
        <v>0</v>
      </c>
      <c r="BP15" s="112">
        <f t="shared" si="12"/>
        <v>0</v>
      </c>
      <c r="BQ15" s="112">
        <f>BL15+BM15+BN15+BO15+BP15</f>
        <v>689899.93599874491</v>
      </c>
      <c r="BR15" s="112">
        <f>BQ15-BP15</f>
        <v>689899.93599874491</v>
      </c>
      <c r="BS15" s="112">
        <f t="shared" si="13"/>
        <v>402533.9807571093</v>
      </c>
      <c r="BT15" s="112">
        <f t="shared" si="13"/>
        <v>0</v>
      </c>
      <c r="BU15" s="112">
        <f t="shared" si="13"/>
        <v>0</v>
      </c>
      <c r="BV15" s="112">
        <f>R15*W15</f>
        <v>0</v>
      </c>
      <c r="BW15" s="112">
        <f t="shared" si="14"/>
        <v>0</v>
      </c>
      <c r="BX15" s="112">
        <f>BS15+BT15+BU15+BV15+BW15</f>
        <v>402533.9807571093</v>
      </c>
      <c r="BY15" s="112">
        <f>BX15-BW15</f>
        <v>402533.9807571093</v>
      </c>
      <c r="BZ15" s="113">
        <f t="shared" ref="BZ15:CA30" si="33">BM15+BT15</f>
        <v>0</v>
      </c>
      <c r="CA15" s="113">
        <f t="shared" si="33"/>
        <v>0</v>
      </c>
      <c r="CB15" s="113">
        <f>BZ15+CA15</f>
        <v>0</v>
      </c>
      <c r="CC15" s="113" t="e">
        <f t="shared" ref="CC15:CD30" si="34">BZ15/AJ15</f>
        <v>#DIV/0!</v>
      </c>
      <c r="CD15" s="113" t="e">
        <f t="shared" si="34"/>
        <v>#DIV/0!</v>
      </c>
      <c r="CE15" s="113" t="e">
        <f t="shared" ref="CE15:CE78" si="35">CB15/(AJ15+AK15)</f>
        <v>#DIV/0!</v>
      </c>
      <c r="CF15" s="113" t="e">
        <f t="shared" si="15"/>
        <v>#DIV/0!</v>
      </c>
      <c r="CG15" s="113">
        <f t="shared" si="16"/>
        <v>0</v>
      </c>
      <c r="CH15" s="106" t="e">
        <f t="shared" ref="CH15:CH78" si="36">CG15/(AJ15+AK15)</f>
        <v>#DIV/0!</v>
      </c>
      <c r="CI15" s="106"/>
      <c r="CJ15" s="208">
        <f t="shared" ref="CJ15:CJ78" si="37">N15*Z15/1000</f>
        <v>693.20477074108044</v>
      </c>
      <c r="CK15" s="208">
        <f t="shared" si="17"/>
        <v>402.5339807571093</v>
      </c>
      <c r="CL15" s="208">
        <f t="shared" ref="CL15:CL71" si="38">CJ15+CK15</f>
        <v>1095.7387514981897</v>
      </c>
      <c r="CM15" s="18">
        <f t="shared" ref="CM15:CM78" si="39">N15*AH15/1000</f>
        <v>1095.7387514981897</v>
      </c>
      <c r="CN15" s="18">
        <f t="shared" ref="CN15:CN78" si="40">CM15-CL15</f>
        <v>0</v>
      </c>
      <c r="CO15" s="112">
        <f t="shared" si="18"/>
        <v>1092433.9167558542</v>
      </c>
      <c r="CP15" s="112">
        <f t="shared" si="19"/>
        <v>1090514.8470368814</v>
      </c>
      <c r="CQ15" s="112">
        <f t="shared" si="20"/>
        <v>1090514.8470368814</v>
      </c>
      <c r="CR15" s="112">
        <f t="shared" si="21"/>
        <v>689899.93599874491</v>
      </c>
      <c r="CS15" s="112">
        <f t="shared" si="22"/>
        <v>1095738.7514981898</v>
      </c>
      <c r="CT15" s="112">
        <f t="shared" si="23"/>
        <v>1095738.7514981898</v>
      </c>
      <c r="CU15" s="112">
        <f t="shared" si="24"/>
        <v>402533.9807571093</v>
      </c>
      <c r="CV15" s="112">
        <f t="shared" ref="CV15:CV78" si="41">CP15+CS15</f>
        <v>2186253.5985350711</v>
      </c>
      <c r="CW15" s="843">
        <f t="shared" ref="CW15:CW78" si="42">CV15/AH15</f>
        <v>6614.1239999999998</v>
      </c>
      <c r="CX15" s="112">
        <f t="shared" si="25"/>
        <v>0</v>
      </c>
      <c r="CY15" s="112">
        <f t="shared" si="26"/>
        <v>0</v>
      </c>
      <c r="CZ15" s="112"/>
      <c r="DA15" s="112">
        <f t="shared" si="27"/>
        <v>1090514.8470368814</v>
      </c>
      <c r="DB15" s="112">
        <f t="shared" si="28"/>
        <v>1095738.7514981898</v>
      </c>
      <c r="DC15" s="106"/>
      <c r="DD15" s="128" t="e">
        <f t="shared" ref="DD15:DD78" si="43">N15/J15*100</f>
        <v>#DIV/0!</v>
      </c>
      <c r="DE15" s="106"/>
      <c r="DF15" s="106"/>
      <c r="DG15" s="106"/>
      <c r="DH15" s="797">
        <v>341.02499999999998</v>
      </c>
      <c r="DI15" s="797">
        <v>0</v>
      </c>
      <c r="DJ15" s="797">
        <f t="shared" ref="DJ15:DJ78" si="44">DH15-DI15</f>
        <v>341.02499999999998</v>
      </c>
      <c r="DK15" s="106"/>
      <c r="DL15" s="618">
        <f t="shared" si="29"/>
        <v>0</v>
      </c>
      <c r="DM15" s="618">
        <f t="shared" si="30"/>
        <v>0</v>
      </c>
      <c r="DN15" s="618">
        <f t="shared" si="31"/>
        <v>0</v>
      </c>
      <c r="DO15" s="115"/>
    </row>
    <row r="16" spans="1:119" customFormat="1" ht="100.5" customHeight="1">
      <c r="A16" s="20">
        <f t="shared" ref="A16:A79" si="45">A15+1</f>
        <v>3</v>
      </c>
      <c r="B16" s="1287"/>
      <c r="C16" s="757" t="s">
        <v>71</v>
      </c>
      <c r="D16" s="967" t="s">
        <v>141</v>
      </c>
      <c r="E16" s="617">
        <v>4632024035</v>
      </c>
      <c r="F16" s="1280" t="s">
        <v>8</v>
      </c>
      <c r="G16" s="1245" t="s">
        <v>956</v>
      </c>
      <c r="H16" s="866">
        <v>3299.1600000000003</v>
      </c>
      <c r="I16" s="825">
        <v>3299.1600000000003</v>
      </c>
      <c r="J16" s="756"/>
      <c r="K16" s="756"/>
      <c r="L16" s="825">
        <v>3299.1600000000003</v>
      </c>
      <c r="M16" s="867"/>
      <c r="N16" s="1207">
        <f>2762.47*1.2</f>
        <v>3314.9639999999995</v>
      </c>
      <c r="O16" s="1208">
        <f>N16</f>
        <v>3314.9639999999995</v>
      </c>
      <c r="P16" s="963"/>
      <c r="Q16" s="963"/>
      <c r="R16" s="1208">
        <f>O16</f>
        <v>3314.9639999999995</v>
      </c>
      <c r="S16" s="910"/>
      <c r="T16" s="968">
        <v>174.26102839938963</v>
      </c>
      <c r="U16" s="969"/>
      <c r="V16" s="970"/>
      <c r="W16" s="969"/>
      <c r="X16" s="969"/>
      <c r="Y16" s="969"/>
      <c r="Z16" s="971">
        <f>SUM(T16:W16)</f>
        <v>174.26102839938963</v>
      </c>
      <c r="AA16" s="972">
        <v>101.19113931984113</v>
      </c>
      <c r="AB16" s="15"/>
      <c r="AC16" s="208"/>
      <c r="AD16" s="15"/>
      <c r="AE16" s="15"/>
      <c r="AF16" s="15"/>
      <c r="AG16" s="926">
        <f>SUM(AA16:AD16)</f>
        <v>101.19113931984113</v>
      </c>
      <c r="AH16" s="894">
        <f>Z16+AG16</f>
        <v>275.45216771923077</v>
      </c>
      <c r="AI16" s="15">
        <f t="shared" si="6"/>
        <v>275.45216771923077</v>
      </c>
      <c r="AJ16" s="15">
        <f t="shared" si="6"/>
        <v>0</v>
      </c>
      <c r="AK16" s="15">
        <f t="shared" si="6"/>
        <v>0</v>
      </c>
      <c r="AL16" s="15">
        <f t="shared" si="6"/>
        <v>0</v>
      </c>
      <c r="AM16" s="15">
        <f t="shared" si="6"/>
        <v>0</v>
      </c>
      <c r="AN16" s="15"/>
      <c r="AO16" s="15">
        <f t="shared" si="7"/>
        <v>275.45216771923077</v>
      </c>
      <c r="AP16" s="15">
        <f t="shared" si="8"/>
        <v>275.45216771923077</v>
      </c>
      <c r="AQ16" s="15">
        <f t="shared" si="9"/>
        <v>275.45216771923077</v>
      </c>
      <c r="AR16" s="127">
        <f t="shared" si="32"/>
        <v>0</v>
      </c>
      <c r="AS16" s="112">
        <f t="shared" si="10"/>
        <v>908760.77365257742</v>
      </c>
      <c r="AT16" s="112">
        <f t="shared" si="10"/>
        <v>0</v>
      </c>
      <c r="AU16" s="112">
        <f t="shared" si="10"/>
        <v>0</v>
      </c>
      <c r="AV16" s="112">
        <f t="shared" si="10"/>
        <v>0</v>
      </c>
      <c r="AW16" s="112">
        <f t="shared" si="10"/>
        <v>0</v>
      </c>
      <c r="AX16" s="112">
        <f>SUM(AS16:AW16)</f>
        <v>908760.77365257742</v>
      </c>
      <c r="AY16" s="112">
        <f>SUM(AS16:AV16)</f>
        <v>908760.77365257742</v>
      </c>
      <c r="AZ16" s="112">
        <f t="shared" si="11"/>
        <v>913114.01971121202</v>
      </c>
      <c r="BA16" s="112">
        <f t="shared" si="11"/>
        <v>0</v>
      </c>
      <c r="BB16" s="112">
        <f t="shared" si="11"/>
        <v>0</v>
      </c>
      <c r="BC16" s="112">
        <f t="shared" si="11"/>
        <v>0</v>
      </c>
      <c r="BD16" s="112">
        <f t="shared" si="11"/>
        <v>0</v>
      </c>
      <c r="BE16" s="112">
        <f>SUM(AZ16:BD16)</f>
        <v>913114.01971121202</v>
      </c>
      <c r="BF16" s="112">
        <f>SUM(AZ16:BC16)</f>
        <v>913114.01971121202</v>
      </c>
      <c r="BG16" s="112"/>
      <c r="BH16" s="112"/>
      <c r="BI16" s="112">
        <f t="shared" si="5"/>
        <v>0</v>
      </c>
      <c r="BJ16" s="112"/>
      <c r="BK16" s="112"/>
      <c r="BL16" s="112">
        <f t="shared" si="12"/>
        <v>574915.01445413032</v>
      </c>
      <c r="BM16" s="112">
        <f t="shared" si="12"/>
        <v>0</v>
      </c>
      <c r="BN16" s="112">
        <f t="shared" si="12"/>
        <v>0</v>
      </c>
      <c r="BO16" s="112">
        <f t="shared" si="12"/>
        <v>0</v>
      </c>
      <c r="BP16" s="112">
        <f t="shared" si="12"/>
        <v>0</v>
      </c>
      <c r="BQ16" s="112">
        <f>BL16+BM16+BN16+BO16+BP16</f>
        <v>574915.01445413032</v>
      </c>
      <c r="BR16" s="112">
        <f>BQ16-BP16</f>
        <v>574915.01445413032</v>
      </c>
      <c r="BS16" s="112">
        <f t="shared" si="13"/>
        <v>335444.98396425776</v>
      </c>
      <c r="BT16" s="112">
        <f t="shared" si="13"/>
        <v>0</v>
      </c>
      <c r="BU16" s="112">
        <f t="shared" si="13"/>
        <v>0</v>
      </c>
      <c r="BV16" s="112">
        <f>R16*W16</f>
        <v>0</v>
      </c>
      <c r="BW16" s="112">
        <f t="shared" si="14"/>
        <v>0</v>
      </c>
      <c r="BX16" s="112">
        <f>BS16+BT16+BU16+BV16+BW16</f>
        <v>335444.98396425776</v>
      </c>
      <c r="BY16" s="112">
        <f>BX16-BW16</f>
        <v>335444.98396425776</v>
      </c>
      <c r="BZ16" s="113">
        <f t="shared" si="33"/>
        <v>0</v>
      </c>
      <c r="CA16" s="113">
        <f t="shared" si="33"/>
        <v>0</v>
      </c>
      <c r="CB16" s="113">
        <f>BZ16+CA16</f>
        <v>0</v>
      </c>
      <c r="CC16" s="113" t="e">
        <f t="shared" si="34"/>
        <v>#DIV/0!</v>
      </c>
      <c r="CD16" s="113" t="e">
        <f t="shared" si="34"/>
        <v>#DIV/0!</v>
      </c>
      <c r="CE16" s="113" t="e">
        <f t="shared" si="35"/>
        <v>#DIV/0!</v>
      </c>
      <c r="CF16" s="113" t="e">
        <f t="shared" si="15"/>
        <v>#DIV/0!</v>
      </c>
      <c r="CG16" s="113">
        <f t="shared" si="16"/>
        <v>0</v>
      </c>
      <c r="CH16" s="106" t="e">
        <f t="shared" si="36"/>
        <v>#DIV/0!</v>
      </c>
      <c r="CI16" s="106"/>
      <c r="CJ16" s="208">
        <f t="shared" si="37"/>
        <v>577.66903574695414</v>
      </c>
      <c r="CK16" s="208">
        <f t="shared" si="17"/>
        <v>335.44498396425774</v>
      </c>
      <c r="CL16" s="208">
        <f t="shared" si="38"/>
        <v>913.11401971121188</v>
      </c>
      <c r="CM16" s="18">
        <f t="shared" si="39"/>
        <v>913.11401971121199</v>
      </c>
      <c r="CN16" s="18">
        <f t="shared" si="40"/>
        <v>0</v>
      </c>
      <c r="CO16" s="112">
        <f t="shared" si="18"/>
        <v>910359.99841838807</v>
      </c>
      <c r="CP16" s="112">
        <f t="shared" si="19"/>
        <v>908760.77365257742</v>
      </c>
      <c r="CQ16" s="112">
        <f t="shared" si="20"/>
        <v>908760.77365257742</v>
      </c>
      <c r="CR16" s="112">
        <f t="shared" si="21"/>
        <v>574915.01445413032</v>
      </c>
      <c r="CS16" s="112">
        <f t="shared" si="22"/>
        <v>913114.01971121202</v>
      </c>
      <c r="CT16" s="112">
        <f t="shared" si="23"/>
        <v>913114.01971121202</v>
      </c>
      <c r="CU16" s="112">
        <f t="shared" si="24"/>
        <v>335444.98396425776</v>
      </c>
      <c r="CV16" s="112">
        <f t="shared" si="41"/>
        <v>1821874.7933637896</v>
      </c>
      <c r="CW16" s="843">
        <f t="shared" si="42"/>
        <v>6614.1239999999998</v>
      </c>
      <c r="CX16" s="112">
        <f t="shared" si="25"/>
        <v>0</v>
      </c>
      <c r="CY16" s="112">
        <f t="shared" si="26"/>
        <v>0</v>
      </c>
      <c r="CZ16" s="112"/>
      <c r="DA16" s="112">
        <f t="shared" si="27"/>
        <v>908760.77365257742</v>
      </c>
      <c r="DB16" s="112">
        <f t="shared" si="28"/>
        <v>913114.01971121202</v>
      </c>
      <c r="DC16" s="106"/>
      <c r="DD16" s="128" t="e">
        <f t="shared" si="43"/>
        <v>#DIV/0!</v>
      </c>
      <c r="DE16" s="106"/>
      <c r="DF16" s="106"/>
      <c r="DG16" s="106"/>
      <c r="DH16" s="797">
        <v>284.18700000000001</v>
      </c>
      <c r="DI16" s="797">
        <v>0</v>
      </c>
      <c r="DJ16" s="797">
        <f t="shared" si="44"/>
        <v>284.18700000000001</v>
      </c>
      <c r="DK16" s="106"/>
      <c r="DL16" s="618">
        <f t="shared" si="29"/>
        <v>0</v>
      </c>
      <c r="DM16" s="618">
        <f t="shared" si="30"/>
        <v>0</v>
      </c>
      <c r="DN16" s="618">
        <f t="shared" si="31"/>
        <v>0</v>
      </c>
      <c r="DO16" s="115"/>
    </row>
    <row r="17" spans="1:119" customFormat="1" ht="100.5" customHeight="1">
      <c r="A17" s="20">
        <f t="shared" si="45"/>
        <v>4</v>
      </c>
      <c r="B17" s="1285"/>
      <c r="C17" s="757" t="s">
        <v>72</v>
      </c>
      <c r="D17" s="967" t="s">
        <v>141</v>
      </c>
      <c r="E17" s="617">
        <v>4632024035</v>
      </c>
      <c r="F17" s="1280" t="s">
        <v>8</v>
      </c>
      <c r="G17" s="1245" t="s">
        <v>956</v>
      </c>
      <c r="H17" s="866">
        <v>3299.1600000000003</v>
      </c>
      <c r="I17" s="825">
        <v>3299.1600000000003</v>
      </c>
      <c r="J17" s="756"/>
      <c r="K17" s="756"/>
      <c r="L17" s="825">
        <v>3299.1600000000003</v>
      </c>
      <c r="M17" s="867"/>
      <c r="N17" s="1207">
        <f>2762.47*1.2</f>
        <v>3314.9639999999995</v>
      </c>
      <c r="O17" s="1208">
        <f>N17</f>
        <v>3314.9639999999995</v>
      </c>
      <c r="P17" s="963"/>
      <c r="Q17" s="963"/>
      <c r="R17" s="1208">
        <f>O17</f>
        <v>3314.9639999999995</v>
      </c>
      <c r="S17" s="910"/>
      <c r="T17" s="968">
        <v>360.3916611293422</v>
      </c>
      <c r="U17" s="969"/>
      <c r="V17" s="970"/>
      <c r="W17" s="969"/>
      <c r="X17" s="969"/>
      <c r="Y17" s="969"/>
      <c r="Z17" s="971">
        <f>SUM(T17:W17)</f>
        <v>360.3916611293422</v>
      </c>
      <c r="AA17" s="972">
        <v>251.14109342401758</v>
      </c>
      <c r="AB17" s="15"/>
      <c r="AC17" s="208"/>
      <c r="AD17" s="15"/>
      <c r="AE17" s="15"/>
      <c r="AF17" s="15"/>
      <c r="AG17" s="926">
        <f>SUM(AA17:AD17)</f>
        <v>251.14109342401758</v>
      </c>
      <c r="AH17" s="894">
        <f>Z17+AG17</f>
        <v>611.53275455335984</v>
      </c>
      <c r="AI17" s="15">
        <f t="shared" si="6"/>
        <v>611.53275455335984</v>
      </c>
      <c r="AJ17" s="15">
        <f t="shared" si="6"/>
        <v>0</v>
      </c>
      <c r="AK17" s="15">
        <f t="shared" si="6"/>
        <v>0</v>
      </c>
      <c r="AL17" s="15">
        <f t="shared" si="6"/>
        <v>0</v>
      </c>
      <c r="AM17" s="15">
        <f t="shared" si="6"/>
        <v>0</v>
      </c>
      <c r="AN17" s="15"/>
      <c r="AO17" s="15">
        <f t="shared" si="7"/>
        <v>611.53275455335984</v>
      </c>
      <c r="AP17" s="15">
        <f t="shared" si="8"/>
        <v>611.53275455335984</v>
      </c>
      <c r="AQ17" s="15">
        <f t="shared" si="9"/>
        <v>611.53275455335984</v>
      </c>
      <c r="AR17" s="127">
        <f t="shared" si="32"/>
        <v>0</v>
      </c>
      <c r="AS17" s="112">
        <f t="shared" si="10"/>
        <v>2017544.4025122628</v>
      </c>
      <c r="AT17" s="112">
        <f t="shared" si="10"/>
        <v>0</v>
      </c>
      <c r="AU17" s="112">
        <f t="shared" si="10"/>
        <v>0</v>
      </c>
      <c r="AV17" s="112">
        <f t="shared" si="10"/>
        <v>0</v>
      </c>
      <c r="AW17" s="112">
        <f t="shared" si="10"/>
        <v>0</v>
      </c>
      <c r="AX17" s="112">
        <f>SUM(AS17:AW17)</f>
        <v>2017544.4025122628</v>
      </c>
      <c r="AY17" s="112">
        <f>SUM(AS17:AV17)</f>
        <v>2017544.4025122628</v>
      </c>
      <c r="AZ17" s="112">
        <f t="shared" si="11"/>
        <v>2027209.0661652237</v>
      </c>
      <c r="BA17" s="112">
        <f t="shared" si="11"/>
        <v>0</v>
      </c>
      <c r="BB17" s="112">
        <f t="shared" si="11"/>
        <v>0</v>
      </c>
      <c r="BC17" s="112">
        <f t="shared" si="11"/>
        <v>0</v>
      </c>
      <c r="BD17" s="112">
        <f t="shared" si="11"/>
        <v>0</v>
      </c>
      <c r="BE17" s="112">
        <f>SUM(AZ17:BD17)</f>
        <v>2027209.0661652237</v>
      </c>
      <c r="BF17" s="112">
        <f>SUM(AZ17:BC17)</f>
        <v>2027209.0661652237</v>
      </c>
      <c r="BG17" s="112"/>
      <c r="BH17" s="112"/>
      <c r="BI17" s="112">
        <f t="shared" si="5"/>
        <v>0</v>
      </c>
      <c r="BJ17" s="112"/>
      <c r="BK17" s="112"/>
      <c r="BL17" s="112">
        <f t="shared" si="12"/>
        <v>1188989.7527314806</v>
      </c>
      <c r="BM17" s="112">
        <f t="shared" si="12"/>
        <v>0</v>
      </c>
      <c r="BN17" s="112">
        <f t="shared" si="12"/>
        <v>0</v>
      </c>
      <c r="BO17" s="112">
        <f t="shared" si="12"/>
        <v>0</v>
      </c>
      <c r="BP17" s="112">
        <f t="shared" si="12"/>
        <v>0</v>
      </c>
      <c r="BQ17" s="112">
        <f>BL17+BM17+BN17+BO17+BP17</f>
        <v>1188989.7527314806</v>
      </c>
      <c r="BR17" s="112">
        <f>BQ17-BP17</f>
        <v>1188989.7527314806</v>
      </c>
      <c r="BS17" s="112">
        <f t="shared" si="13"/>
        <v>832523.68362125487</v>
      </c>
      <c r="BT17" s="112">
        <f t="shared" si="13"/>
        <v>0</v>
      </c>
      <c r="BU17" s="112">
        <f t="shared" si="13"/>
        <v>0</v>
      </c>
      <c r="BV17" s="112">
        <f>R17*W17</f>
        <v>0</v>
      </c>
      <c r="BW17" s="112">
        <f t="shared" si="14"/>
        <v>0</v>
      </c>
      <c r="BX17" s="112">
        <f>BS17+BT17+BU17+BV17+BW17</f>
        <v>832523.68362125487</v>
      </c>
      <c r="BY17" s="112">
        <f>BX17-BW17</f>
        <v>832523.68362125487</v>
      </c>
      <c r="BZ17" s="113">
        <f t="shared" si="33"/>
        <v>0</v>
      </c>
      <c r="CA17" s="113">
        <f t="shared" si="33"/>
        <v>0</v>
      </c>
      <c r="CB17" s="113">
        <f>BZ17+CA17</f>
        <v>0</v>
      </c>
      <c r="CC17" s="113" t="e">
        <f t="shared" si="34"/>
        <v>#DIV/0!</v>
      </c>
      <c r="CD17" s="113" t="e">
        <f t="shared" si="34"/>
        <v>#DIV/0!</v>
      </c>
      <c r="CE17" s="113" t="e">
        <f t="shared" si="35"/>
        <v>#DIV/0!</v>
      </c>
      <c r="CF17" s="113" t="e">
        <f t="shared" si="15"/>
        <v>#DIV/0!</v>
      </c>
      <c r="CG17" s="113">
        <f t="shared" si="16"/>
        <v>0</v>
      </c>
      <c r="CH17" s="106" t="e">
        <f t="shared" si="36"/>
        <v>#DIV/0!</v>
      </c>
      <c r="CI17" s="106"/>
      <c r="CJ17" s="208">
        <f t="shared" si="37"/>
        <v>1194.6853825439684</v>
      </c>
      <c r="CK17" s="208">
        <f t="shared" si="17"/>
        <v>832.52368362125492</v>
      </c>
      <c r="CL17" s="208">
        <f t="shared" si="38"/>
        <v>2027.2090661652232</v>
      </c>
      <c r="CM17" s="18">
        <f t="shared" si="39"/>
        <v>2027.2090661652237</v>
      </c>
      <c r="CN17" s="18">
        <f t="shared" si="40"/>
        <v>0</v>
      </c>
      <c r="CO17" s="112">
        <f t="shared" si="18"/>
        <v>2021513.4363527354</v>
      </c>
      <c r="CP17" s="112">
        <f t="shared" si="19"/>
        <v>2017544.4025122628</v>
      </c>
      <c r="CQ17" s="112">
        <f t="shared" si="20"/>
        <v>2017544.4025122628</v>
      </c>
      <c r="CR17" s="112">
        <f t="shared" si="21"/>
        <v>1188989.7527314806</v>
      </c>
      <c r="CS17" s="112">
        <f t="shared" si="22"/>
        <v>2027209.0661652237</v>
      </c>
      <c r="CT17" s="112">
        <f t="shared" si="23"/>
        <v>2027209.0661652237</v>
      </c>
      <c r="CU17" s="112">
        <f t="shared" si="24"/>
        <v>832523.68362125487</v>
      </c>
      <c r="CV17" s="112">
        <f t="shared" si="41"/>
        <v>4044753.4686774863</v>
      </c>
      <c r="CW17" s="843">
        <f t="shared" si="42"/>
        <v>6614.1239999999998</v>
      </c>
      <c r="CX17" s="112">
        <f t="shared" si="25"/>
        <v>0</v>
      </c>
      <c r="CY17" s="112">
        <f t="shared" si="26"/>
        <v>0</v>
      </c>
      <c r="CZ17" s="112"/>
      <c r="DA17" s="112">
        <f t="shared" si="27"/>
        <v>2017544.4025122628</v>
      </c>
      <c r="DB17" s="112">
        <f t="shared" si="28"/>
        <v>2027209.0661652237</v>
      </c>
      <c r="DC17" s="106"/>
      <c r="DD17" s="128" t="e">
        <f t="shared" si="43"/>
        <v>#DIV/0!</v>
      </c>
      <c r="DE17" s="106"/>
      <c r="DF17" s="106"/>
      <c r="DG17" s="106"/>
      <c r="DH17" s="797">
        <v>630.92499999999995</v>
      </c>
      <c r="DI17" s="797">
        <v>0</v>
      </c>
      <c r="DJ17" s="797">
        <f t="shared" si="44"/>
        <v>630.92499999999995</v>
      </c>
      <c r="DK17" s="106"/>
      <c r="DL17" s="618">
        <f t="shared" si="29"/>
        <v>0</v>
      </c>
      <c r="DM17" s="618">
        <f t="shared" si="30"/>
        <v>0</v>
      </c>
      <c r="DN17" s="618">
        <f t="shared" si="31"/>
        <v>0</v>
      </c>
      <c r="DO17" s="115"/>
    </row>
    <row r="18" spans="1:119" customFormat="1" ht="100.5" customHeight="1">
      <c r="A18" s="20">
        <f t="shared" si="45"/>
        <v>5</v>
      </c>
      <c r="B18" s="1282" t="s">
        <v>9</v>
      </c>
      <c r="C18" s="736" t="s">
        <v>73</v>
      </c>
      <c r="D18" s="736" t="s">
        <v>934</v>
      </c>
      <c r="E18" s="737">
        <v>4603009064</v>
      </c>
      <c r="F18" s="736" t="s">
        <v>8</v>
      </c>
      <c r="G18" s="846" t="s">
        <v>936</v>
      </c>
      <c r="H18" s="868">
        <v>2661.73</v>
      </c>
      <c r="I18" s="826">
        <v>2661.73</v>
      </c>
      <c r="J18" s="826">
        <v>2661.73</v>
      </c>
      <c r="K18" s="826"/>
      <c r="L18" s="826">
        <v>2661.73</v>
      </c>
      <c r="M18" s="869"/>
      <c r="N18" s="853">
        <v>2953.2</v>
      </c>
      <c r="O18" s="36">
        <v>2953.2</v>
      </c>
      <c r="P18" s="36">
        <v>2953.2</v>
      </c>
      <c r="Q18" s="36">
        <v>0</v>
      </c>
      <c r="R18" s="36">
        <v>2953.2</v>
      </c>
      <c r="S18" s="911">
        <v>0</v>
      </c>
      <c r="T18" s="927">
        <v>1077</v>
      </c>
      <c r="U18" s="173">
        <v>1388</v>
      </c>
      <c r="V18" s="224">
        <v>0</v>
      </c>
      <c r="W18" s="173">
        <v>170</v>
      </c>
      <c r="X18" s="173">
        <v>0</v>
      </c>
      <c r="Y18" s="173">
        <v>0</v>
      </c>
      <c r="Z18" s="926">
        <f>SUM(T18:W18)</f>
        <v>2635</v>
      </c>
      <c r="AA18" s="895">
        <v>827.06</v>
      </c>
      <c r="AB18" s="173">
        <v>816.18</v>
      </c>
      <c r="AC18" s="224">
        <v>0</v>
      </c>
      <c r="AD18" s="173">
        <v>87.33</v>
      </c>
      <c r="AE18" s="173">
        <v>0</v>
      </c>
      <c r="AF18" s="173">
        <v>0</v>
      </c>
      <c r="AG18" s="926">
        <f>SUM(AA18:AD18)</f>
        <v>1730.5699999999997</v>
      </c>
      <c r="AH18" s="894">
        <f>Z18+AG18</f>
        <v>4365.57</v>
      </c>
      <c r="AI18" s="23">
        <f t="shared" si="6"/>
        <v>1904.06</v>
      </c>
      <c r="AJ18" s="23">
        <f t="shared" si="6"/>
        <v>2204.1799999999998</v>
      </c>
      <c r="AK18" s="23">
        <f t="shared" si="6"/>
        <v>0</v>
      </c>
      <c r="AL18" s="23">
        <f t="shared" si="6"/>
        <v>257.33</v>
      </c>
      <c r="AM18" s="15">
        <f t="shared" si="6"/>
        <v>0</v>
      </c>
      <c r="AN18" s="15"/>
      <c r="AO18" s="23">
        <f t="shared" si="7"/>
        <v>4365.57</v>
      </c>
      <c r="AP18" s="23">
        <f t="shared" si="8"/>
        <v>4365.57</v>
      </c>
      <c r="AQ18" s="23">
        <f t="shared" si="9"/>
        <v>4365.57</v>
      </c>
      <c r="AR18" s="127">
        <f t="shared" si="32"/>
        <v>0</v>
      </c>
      <c r="AS18" s="112">
        <f t="shared" si="10"/>
        <v>5068093.6238000002</v>
      </c>
      <c r="AT18" s="112">
        <f t="shared" si="10"/>
        <v>5866932.0313999997</v>
      </c>
      <c r="AU18" s="112">
        <f t="shared" si="10"/>
        <v>0</v>
      </c>
      <c r="AV18" s="112">
        <f t="shared" si="10"/>
        <v>684942.98089999997</v>
      </c>
      <c r="AW18" s="112">
        <f t="shared" si="10"/>
        <v>0</v>
      </c>
      <c r="AX18" s="112">
        <f t="shared" ref="AX18:AX71" si="46">SUM(AS18:AW18)</f>
        <v>11619968.636100002</v>
      </c>
      <c r="AY18" s="112">
        <f t="shared" ref="AY18:AY71" si="47">SUM(AS18:AV18)</f>
        <v>11619968.636100002</v>
      </c>
      <c r="AZ18" s="112">
        <f t="shared" si="11"/>
        <v>5623069.9919999996</v>
      </c>
      <c r="BA18" s="112">
        <f t="shared" si="11"/>
        <v>6509384.3759999992</v>
      </c>
      <c r="BB18" s="112">
        <f t="shared" si="11"/>
        <v>0</v>
      </c>
      <c r="BC18" s="112">
        <f t="shared" si="11"/>
        <v>759946.95599999989</v>
      </c>
      <c r="BD18" s="112">
        <f t="shared" si="11"/>
        <v>0</v>
      </c>
      <c r="BE18" s="112">
        <f t="shared" ref="BE18:BE71" si="48">SUM(AZ18:BD18)</f>
        <v>12892401.323999999</v>
      </c>
      <c r="BF18" s="112">
        <f t="shared" ref="BF18:BF71" si="49">SUM(AZ18:BC18)</f>
        <v>12892401.323999999</v>
      </c>
      <c r="BG18" s="156">
        <v>16.138999999999999</v>
      </c>
      <c r="BH18" s="118">
        <v>0</v>
      </c>
      <c r="BI18" s="157">
        <f>BG18+BH18</f>
        <v>16.138999999999999</v>
      </c>
      <c r="BJ18" s="112">
        <v>12892.42</v>
      </c>
      <c r="BK18" s="112">
        <v>12319.9</v>
      </c>
      <c r="BL18" s="112">
        <f>I18*T18</f>
        <v>2866683.21</v>
      </c>
      <c r="BM18" s="112">
        <f>J18*U18</f>
        <v>3694481.24</v>
      </c>
      <c r="BN18" s="112">
        <f t="shared" si="12"/>
        <v>0</v>
      </c>
      <c r="BO18" s="112">
        <f>L18*W18</f>
        <v>452494.1</v>
      </c>
      <c r="BP18" s="112">
        <f t="shared" si="12"/>
        <v>0</v>
      </c>
      <c r="BQ18" s="112">
        <f>BL18+BM18+BN18+BO18+BP18</f>
        <v>7013658.5499999998</v>
      </c>
      <c r="BR18" s="112">
        <f>BQ18-BP18</f>
        <v>7013658.5499999998</v>
      </c>
      <c r="BS18" s="112">
        <f>O18*AA18</f>
        <v>2442473.5919999997</v>
      </c>
      <c r="BT18" s="112">
        <f>P18*AB18</f>
        <v>2410342.7759999996</v>
      </c>
      <c r="BU18" s="112">
        <f t="shared" si="13"/>
        <v>0</v>
      </c>
      <c r="BV18" s="112">
        <f>R18*W18</f>
        <v>502043.99999999994</v>
      </c>
      <c r="BW18" s="112">
        <f t="shared" si="14"/>
        <v>0</v>
      </c>
      <c r="BX18" s="112">
        <f>BS18+BT18+BU18+BV18+BW18</f>
        <v>5354860.3679999989</v>
      </c>
      <c r="BY18" s="112">
        <f>BX18-BW18</f>
        <v>5354860.3679999989</v>
      </c>
      <c r="BZ18" s="113">
        <f>BM18+BT18</f>
        <v>6104824.0159999998</v>
      </c>
      <c r="CA18" s="113">
        <f t="shared" si="33"/>
        <v>0</v>
      </c>
      <c r="CB18" s="113">
        <f>BZ18+CA18</f>
        <v>6104824.0159999998</v>
      </c>
      <c r="CC18" s="119">
        <f>BZ18/AJ18</f>
        <v>2769.6576577230535</v>
      </c>
      <c r="CD18" s="119" t="e">
        <f t="shared" si="34"/>
        <v>#DIV/0!</v>
      </c>
      <c r="CE18" s="119">
        <f t="shared" si="35"/>
        <v>2769.6576577230535</v>
      </c>
      <c r="CF18" s="119">
        <f t="shared" si="15"/>
        <v>2769.6576577230535</v>
      </c>
      <c r="CG18" s="619">
        <f t="shared" si="16"/>
        <v>6104824.0159999998</v>
      </c>
      <c r="CH18" s="132">
        <f t="shared" si="36"/>
        <v>2769.6576577230535</v>
      </c>
      <c r="CI18" s="120"/>
      <c r="CJ18" s="208">
        <f t="shared" si="37"/>
        <v>7781.6819999999989</v>
      </c>
      <c r="CK18" s="208">
        <f t="shared" si="17"/>
        <v>5110.7193239999988</v>
      </c>
      <c r="CL18" s="112">
        <f t="shared" si="38"/>
        <v>12892.401323999999</v>
      </c>
      <c r="CM18" s="18">
        <f t="shared" si="39"/>
        <v>12892.401323999999</v>
      </c>
      <c r="CN18" s="18">
        <f t="shared" si="40"/>
        <v>0</v>
      </c>
      <c r="CO18" s="112">
        <f t="shared" si="18"/>
        <v>12124377.873999998</v>
      </c>
      <c r="CP18" s="112">
        <f t="shared" si="19"/>
        <v>11619968.636100002</v>
      </c>
      <c r="CQ18" s="112">
        <f t="shared" si="20"/>
        <v>11619968.636100002</v>
      </c>
      <c r="CR18" s="112">
        <f t="shared" si="21"/>
        <v>7013658.5499999998</v>
      </c>
      <c r="CS18" s="112">
        <f t="shared" si="22"/>
        <v>12892401.323999999</v>
      </c>
      <c r="CT18" s="112">
        <f t="shared" si="23"/>
        <v>12892401.323999999</v>
      </c>
      <c r="CU18" s="112">
        <f t="shared" si="24"/>
        <v>5110719.3239999991</v>
      </c>
      <c r="CV18" s="112">
        <f t="shared" si="41"/>
        <v>24512369.960100003</v>
      </c>
      <c r="CW18" s="843">
        <f t="shared" si="42"/>
        <v>5614.9300000000012</v>
      </c>
      <c r="CX18" s="112">
        <f t="shared" si="25"/>
        <v>5866932.0313999997</v>
      </c>
      <c r="CY18" s="112">
        <f t="shared" si="26"/>
        <v>6509384.3759999992</v>
      </c>
      <c r="CZ18" s="112"/>
      <c r="DA18" s="112">
        <f t="shared" si="27"/>
        <v>11619968.636100002</v>
      </c>
      <c r="DB18" s="112">
        <f t="shared" si="28"/>
        <v>12892401.323999999</v>
      </c>
      <c r="DC18" s="120"/>
      <c r="DD18" s="128">
        <f t="shared" si="43"/>
        <v>110.9503969223024</v>
      </c>
      <c r="DE18" s="120"/>
      <c r="DF18" s="120"/>
      <c r="DG18" s="120"/>
      <c r="DH18" s="112">
        <v>4365.57</v>
      </c>
      <c r="DI18" s="797">
        <v>2204.1799999999998</v>
      </c>
      <c r="DJ18" s="797">
        <f t="shared" si="44"/>
        <v>2161.39</v>
      </c>
      <c r="DK18" s="120"/>
      <c r="DL18" s="618">
        <f t="shared" si="29"/>
        <v>0</v>
      </c>
      <c r="DM18" s="618">
        <f t="shared" si="30"/>
        <v>0</v>
      </c>
      <c r="DN18" s="618">
        <f t="shared" si="31"/>
        <v>0</v>
      </c>
      <c r="DO18" s="120"/>
    </row>
    <row r="19" spans="1:119" customFormat="1" ht="100.5" customHeight="1">
      <c r="A19" s="695">
        <f t="shared" si="45"/>
        <v>6</v>
      </c>
      <c r="B19" s="1283"/>
      <c r="C19" s="713" t="s">
        <v>167</v>
      </c>
      <c r="D19" s="696" t="s">
        <v>232</v>
      </c>
      <c r="E19" s="696">
        <v>4603004186</v>
      </c>
      <c r="F19" s="696" t="s">
        <v>8</v>
      </c>
      <c r="G19" s="1253" t="s">
        <v>964</v>
      </c>
      <c r="H19" s="870">
        <v>2344.94</v>
      </c>
      <c r="I19" s="827">
        <v>2344.94</v>
      </c>
      <c r="J19" s="827">
        <v>2344.94</v>
      </c>
      <c r="K19" s="827">
        <v>0</v>
      </c>
      <c r="L19" s="827">
        <v>2344.94</v>
      </c>
      <c r="M19" s="871">
        <v>0</v>
      </c>
      <c r="N19" s="854">
        <v>2541.2199999999998</v>
      </c>
      <c r="O19" s="714">
        <v>2541.2199999999998</v>
      </c>
      <c r="P19" s="714">
        <v>2541.2199999999998</v>
      </c>
      <c r="Q19" s="714">
        <v>0</v>
      </c>
      <c r="R19" s="714">
        <v>2541.2199999999998</v>
      </c>
      <c r="S19" s="912">
        <v>0</v>
      </c>
      <c r="T19" s="928">
        <v>2356.9499999999998</v>
      </c>
      <c r="U19" s="715">
        <v>1254</v>
      </c>
      <c r="V19" s="715">
        <v>0</v>
      </c>
      <c r="W19" s="715">
        <v>346.56</v>
      </c>
      <c r="X19" s="716">
        <v>0</v>
      </c>
      <c r="Y19" s="716">
        <v>0</v>
      </c>
      <c r="Z19" s="929">
        <f t="shared" ref="Z19:Z76" si="50">SUM(T19:W19)</f>
        <v>3957.5099999999998</v>
      </c>
      <c r="AA19" s="896">
        <v>1778.05</v>
      </c>
      <c r="AB19" s="715">
        <v>946</v>
      </c>
      <c r="AC19" s="715">
        <v>0</v>
      </c>
      <c r="AD19" s="715">
        <v>261.44</v>
      </c>
      <c r="AE19" s="716">
        <v>0</v>
      </c>
      <c r="AF19" s="716">
        <v>0</v>
      </c>
      <c r="AG19" s="912">
        <f t="shared" ref="AG19:AG76" si="51">SUM(AA19:AD19)</f>
        <v>2985.4900000000002</v>
      </c>
      <c r="AH19" s="854">
        <f t="shared" ref="AH19:AH82" si="52">Z19+AG19</f>
        <v>6943</v>
      </c>
      <c r="AI19" s="714">
        <f t="shared" si="6"/>
        <v>4135</v>
      </c>
      <c r="AJ19" s="714">
        <f t="shared" si="6"/>
        <v>2200</v>
      </c>
      <c r="AK19" s="716">
        <f t="shared" si="6"/>
        <v>0</v>
      </c>
      <c r="AL19" s="714">
        <f t="shared" si="6"/>
        <v>608</v>
      </c>
      <c r="AM19" s="716">
        <f t="shared" si="6"/>
        <v>0</v>
      </c>
      <c r="AN19" s="716">
        <v>0</v>
      </c>
      <c r="AO19" s="714">
        <f t="shared" si="7"/>
        <v>6943</v>
      </c>
      <c r="AP19" s="714">
        <f t="shared" si="8"/>
        <v>6943</v>
      </c>
      <c r="AQ19" s="714">
        <f t="shared" si="9"/>
        <v>6943</v>
      </c>
      <c r="AR19" s="717">
        <f t="shared" si="32"/>
        <v>0</v>
      </c>
      <c r="AS19" s="716">
        <f t="shared" si="10"/>
        <v>9696326.9000000004</v>
      </c>
      <c r="AT19" s="716">
        <f t="shared" si="10"/>
        <v>5158868</v>
      </c>
      <c r="AU19" s="716">
        <f t="shared" si="10"/>
        <v>0</v>
      </c>
      <c r="AV19" s="716">
        <f t="shared" si="10"/>
        <v>1425723.52</v>
      </c>
      <c r="AW19" s="716">
        <f t="shared" si="10"/>
        <v>0</v>
      </c>
      <c r="AX19" s="716">
        <f t="shared" si="46"/>
        <v>16280918.42</v>
      </c>
      <c r="AY19" s="716">
        <f t="shared" si="47"/>
        <v>16280918.42</v>
      </c>
      <c r="AZ19" s="716">
        <f t="shared" si="11"/>
        <v>10507944.699999999</v>
      </c>
      <c r="BA19" s="716">
        <f t="shared" si="11"/>
        <v>5590684</v>
      </c>
      <c r="BB19" s="716">
        <f t="shared" si="11"/>
        <v>0</v>
      </c>
      <c r="BC19" s="716">
        <f t="shared" si="11"/>
        <v>1545061.7599999998</v>
      </c>
      <c r="BD19" s="716">
        <f t="shared" si="11"/>
        <v>0</v>
      </c>
      <c r="BE19" s="716">
        <f t="shared" si="48"/>
        <v>17643690.460000001</v>
      </c>
      <c r="BF19" s="716">
        <f t="shared" si="49"/>
        <v>17643690.460000001</v>
      </c>
      <c r="BG19" s="716">
        <v>0</v>
      </c>
      <c r="BH19" s="716">
        <v>0</v>
      </c>
      <c r="BI19" s="716">
        <f t="shared" si="5"/>
        <v>0</v>
      </c>
      <c r="BJ19" s="965">
        <v>17643.689999999999</v>
      </c>
      <c r="BK19" s="965">
        <v>18545.84</v>
      </c>
      <c r="BL19" s="716">
        <f t="shared" ref="BL19:BP44" si="53">I19*T19</f>
        <v>5526906.3329999996</v>
      </c>
      <c r="BM19" s="716">
        <f t="shared" si="53"/>
        <v>2940554.7600000002</v>
      </c>
      <c r="BN19" s="716">
        <f t="shared" si="12"/>
        <v>0</v>
      </c>
      <c r="BO19" s="716">
        <f t="shared" si="12"/>
        <v>812662.40639999998</v>
      </c>
      <c r="BP19" s="716">
        <f t="shared" si="12"/>
        <v>0</v>
      </c>
      <c r="BQ19" s="716">
        <f t="shared" ref="BQ19:BQ82" si="54">BL19+BM19+BN19+BO19+BP19</f>
        <v>9280123.499400001</v>
      </c>
      <c r="BR19" s="716">
        <f t="shared" ref="BR19:BR82" si="55">BQ19-BP19</f>
        <v>9280123.499400001</v>
      </c>
      <c r="BS19" s="716">
        <f t="shared" ref="BS19:BU44" si="56">O19*AA19</f>
        <v>4518416.2209999999</v>
      </c>
      <c r="BT19" s="716">
        <f t="shared" si="56"/>
        <v>2403994.1199999996</v>
      </c>
      <c r="BU19" s="716">
        <f t="shared" si="13"/>
        <v>0</v>
      </c>
      <c r="BV19" s="716">
        <f t="shared" ref="BV19:BV82" si="57">R19*W19</f>
        <v>880685.20319999999</v>
      </c>
      <c r="BW19" s="716">
        <f t="shared" si="14"/>
        <v>0</v>
      </c>
      <c r="BX19" s="716">
        <f t="shared" ref="BX19:BX82" si="58">BS19+BT19+BU19+BV19+BW19</f>
        <v>7803095.5442000004</v>
      </c>
      <c r="BY19" s="716">
        <f t="shared" ref="BY19:BY82" si="59">BX19-BW19</f>
        <v>7803095.5442000004</v>
      </c>
      <c r="BZ19" s="718">
        <f t="shared" ref="BZ19:CA75" si="60">BM19+BT19</f>
        <v>5344548.88</v>
      </c>
      <c r="CA19" s="718">
        <f t="shared" si="33"/>
        <v>0</v>
      </c>
      <c r="CB19" s="718">
        <f t="shared" ref="CB19:CB82" si="61">BZ19+CA19</f>
        <v>5344548.88</v>
      </c>
      <c r="CC19" s="719">
        <f t="shared" ref="CC19:CD75" si="62">BZ19/AJ19</f>
        <v>2429.3404</v>
      </c>
      <c r="CD19" s="719" t="e">
        <f t="shared" si="34"/>
        <v>#DIV/0!</v>
      </c>
      <c r="CE19" s="719">
        <f t="shared" si="35"/>
        <v>2429.3404</v>
      </c>
      <c r="CF19" s="720">
        <f t="shared" si="15"/>
        <v>2429.3404</v>
      </c>
      <c r="CG19" s="721">
        <f t="shared" si="16"/>
        <v>5344548.88</v>
      </c>
      <c r="CH19" s="722">
        <f t="shared" si="36"/>
        <v>2429.3404</v>
      </c>
      <c r="CI19" s="723"/>
      <c r="CJ19" s="208">
        <f t="shared" si="37"/>
        <v>10056.903562199999</v>
      </c>
      <c r="CK19" s="208">
        <f t="shared" si="17"/>
        <v>7586.7868978000006</v>
      </c>
      <c r="CL19" s="717">
        <f t="shared" si="38"/>
        <v>17643.690459999998</v>
      </c>
      <c r="CM19" s="18">
        <f t="shared" si="39"/>
        <v>17643.690459999998</v>
      </c>
      <c r="CN19" s="18">
        <f t="shared" si="40"/>
        <v>0</v>
      </c>
      <c r="CO19" s="716">
        <f t="shared" si="18"/>
        <v>16866910.3972</v>
      </c>
      <c r="CP19" s="716">
        <f t="shared" si="19"/>
        <v>16280918.42</v>
      </c>
      <c r="CQ19" s="716">
        <f t="shared" si="20"/>
        <v>16280918.42</v>
      </c>
      <c r="CR19" s="716">
        <f t="shared" si="21"/>
        <v>9280123.499400001</v>
      </c>
      <c r="CS19" s="716">
        <f t="shared" si="22"/>
        <v>17643690.460000001</v>
      </c>
      <c r="CT19" s="716">
        <f t="shared" si="23"/>
        <v>17643690.460000001</v>
      </c>
      <c r="CU19" s="716">
        <f t="shared" si="24"/>
        <v>7586786.8978000004</v>
      </c>
      <c r="CV19" s="716">
        <f t="shared" si="41"/>
        <v>33924608.880000003</v>
      </c>
      <c r="CW19" s="843">
        <f t="shared" si="42"/>
        <v>4886.1600000000008</v>
      </c>
      <c r="CX19" s="716">
        <f t="shared" si="25"/>
        <v>5158868</v>
      </c>
      <c r="CY19" s="716">
        <f t="shared" si="26"/>
        <v>5590684</v>
      </c>
      <c r="CZ19" s="716"/>
      <c r="DA19" s="716">
        <f t="shared" si="27"/>
        <v>16280918.42</v>
      </c>
      <c r="DB19" s="716">
        <f t="shared" si="28"/>
        <v>17643690.460000001</v>
      </c>
      <c r="DC19" s="723"/>
      <c r="DD19" s="653">
        <f t="shared" si="43"/>
        <v>108.37036342081245</v>
      </c>
      <c r="DE19" s="723"/>
      <c r="DF19" s="723"/>
      <c r="DG19" s="723"/>
      <c r="DH19" s="716">
        <v>6943</v>
      </c>
      <c r="DI19" s="18">
        <v>2200</v>
      </c>
      <c r="DJ19" s="797">
        <f t="shared" si="44"/>
        <v>4743</v>
      </c>
      <c r="DK19" s="723"/>
      <c r="DL19" s="701">
        <f t="shared" si="29"/>
        <v>0</v>
      </c>
      <c r="DM19" s="701">
        <f t="shared" si="30"/>
        <v>0</v>
      </c>
      <c r="DN19" s="701">
        <f t="shared" si="31"/>
        <v>0</v>
      </c>
    </row>
    <row r="20" spans="1:119" customFormat="1" ht="100.5" customHeight="1">
      <c r="A20" s="20">
        <f t="shared" si="45"/>
        <v>7</v>
      </c>
      <c r="B20" s="1283"/>
      <c r="C20" s="757" t="s">
        <v>132</v>
      </c>
      <c r="D20" s="967" t="s">
        <v>142</v>
      </c>
      <c r="E20" s="617">
        <v>4632024035</v>
      </c>
      <c r="F20" s="1280" t="s">
        <v>8</v>
      </c>
      <c r="G20" s="1245" t="s">
        <v>956</v>
      </c>
      <c r="H20" s="866">
        <v>3299.1600000000003</v>
      </c>
      <c r="I20" s="825">
        <v>3299.1600000000003</v>
      </c>
      <c r="J20" s="756"/>
      <c r="K20" s="756"/>
      <c r="L20" s="872">
        <v>3299.1600000000003</v>
      </c>
      <c r="M20" s="867"/>
      <c r="N20" s="1207">
        <f t="shared" ref="N20:N28" si="63">2762.47*1.2</f>
        <v>3314.9639999999995</v>
      </c>
      <c r="O20" s="1208">
        <f t="shared" ref="O20:O28" si="64">N20</f>
        <v>3314.9639999999995</v>
      </c>
      <c r="P20" s="963"/>
      <c r="Q20" s="963"/>
      <c r="R20" s="1208">
        <f t="shared" ref="R20:R28" si="65">O20</f>
        <v>3314.9639999999995</v>
      </c>
      <c r="S20" s="910"/>
      <c r="T20" s="968">
        <v>523.40244475779889</v>
      </c>
      <c r="U20" s="969"/>
      <c r="V20" s="970"/>
      <c r="W20" s="969"/>
      <c r="X20" s="969"/>
      <c r="Y20" s="969"/>
      <c r="Z20" s="971">
        <f t="shared" si="50"/>
        <v>523.40244475779889</v>
      </c>
      <c r="AA20" s="972">
        <v>363.47391997069371</v>
      </c>
      <c r="AB20" s="15"/>
      <c r="AC20" s="208"/>
      <c r="AD20" s="15"/>
      <c r="AE20" s="15"/>
      <c r="AF20" s="15"/>
      <c r="AG20" s="926">
        <f t="shared" si="51"/>
        <v>363.47391997069371</v>
      </c>
      <c r="AH20" s="894">
        <f t="shared" si="52"/>
        <v>886.8763647284926</v>
      </c>
      <c r="AI20" s="15">
        <f t="shared" si="6"/>
        <v>886.8763647284926</v>
      </c>
      <c r="AJ20" s="15">
        <f t="shared" si="6"/>
        <v>0</v>
      </c>
      <c r="AK20" s="15">
        <f t="shared" si="6"/>
        <v>0</v>
      </c>
      <c r="AL20" s="15">
        <f t="shared" si="6"/>
        <v>0</v>
      </c>
      <c r="AM20" s="15">
        <f t="shared" si="6"/>
        <v>0</v>
      </c>
      <c r="AN20" s="15"/>
      <c r="AO20" s="15">
        <f t="shared" ref="AO20:AO27" si="66">SUM(AI20:AN20)</f>
        <v>886.8763647284926</v>
      </c>
      <c r="AP20" s="15">
        <f t="shared" si="8"/>
        <v>886.8763647284926</v>
      </c>
      <c r="AQ20" s="15">
        <f t="shared" si="9"/>
        <v>886.8763647284926</v>
      </c>
      <c r="AR20" s="127">
        <f t="shared" si="32"/>
        <v>0</v>
      </c>
      <c r="AS20" s="112">
        <f t="shared" si="10"/>
        <v>2925947.027457654</v>
      </c>
      <c r="AT20" s="112">
        <f t="shared" si="10"/>
        <v>0</v>
      </c>
      <c r="AU20" s="112">
        <f t="shared" si="10"/>
        <v>0</v>
      </c>
      <c r="AV20" s="112">
        <f t="shared" si="10"/>
        <v>0</v>
      </c>
      <c r="AW20" s="112">
        <f t="shared" si="10"/>
        <v>0</v>
      </c>
      <c r="AX20" s="112">
        <f t="shared" si="46"/>
        <v>2925947.027457654</v>
      </c>
      <c r="AY20" s="112">
        <f t="shared" si="47"/>
        <v>2925947.027457654</v>
      </c>
      <c r="AZ20" s="112">
        <f t="shared" si="11"/>
        <v>2939963.2215258223</v>
      </c>
      <c r="BA20" s="112">
        <f t="shared" si="11"/>
        <v>0</v>
      </c>
      <c r="BB20" s="112">
        <f t="shared" si="11"/>
        <v>0</v>
      </c>
      <c r="BC20" s="112">
        <f t="shared" si="11"/>
        <v>0</v>
      </c>
      <c r="BD20" s="112">
        <f t="shared" si="11"/>
        <v>0</v>
      </c>
      <c r="BE20" s="112">
        <f t="shared" si="48"/>
        <v>2939963.2215258223</v>
      </c>
      <c r="BF20" s="112">
        <f t="shared" si="49"/>
        <v>2939963.2215258223</v>
      </c>
      <c r="BG20" s="112"/>
      <c r="BH20" s="112"/>
      <c r="BI20" s="112">
        <f t="shared" si="5"/>
        <v>0</v>
      </c>
      <c r="BJ20" s="112"/>
      <c r="BK20" s="112"/>
      <c r="BL20" s="112">
        <f t="shared" si="53"/>
        <v>1726788.40964714</v>
      </c>
      <c r="BM20" s="112">
        <f t="shared" si="53"/>
        <v>0</v>
      </c>
      <c r="BN20" s="112">
        <f t="shared" si="12"/>
        <v>0</v>
      </c>
      <c r="BO20" s="112">
        <f t="shared" si="12"/>
        <v>0</v>
      </c>
      <c r="BP20" s="112">
        <f t="shared" si="12"/>
        <v>0</v>
      </c>
      <c r="BQ20" s="112">
        <f t="shared" si="54"/>
        <v>1726788.40964714</v>
      </c>
      <c r="BR20" s="112">
        <f t="shared" si="55"/>
        <v>1726788.40964714</v>
      </c>
      <c r="BS20" s="112">
        <f t="shared" si="56"/>
        <v>1204902.9596417306</v>
      </c>
      <c r="BT20" s="112">
        <f t="shared" si="56"/>
        <v>0</v>
      </c>
      <c r="BU20" s="112">
        <f t="shared" si="13"/>
        <v>0</v>
      </c>
      <c r="BV20" s="112">
        <f t="shared" si="57"/>
        <v>0</v>
      </c>
      <c r="BW20" s="112">
        <f t="shared" si="14"/>
        <v>0</v>
      </c>
      <c r="BX20" s="112">
        <f t="shared" si="58"/>
        <v>1204902.9596417306</v>
      </c>
      <c r="BY20" s="112">
        <f t="shared" si="59"/>
        <v>1204902.9596417306</v>
      </c>
      <c r="BZ20" s="113">
        <f t="shared" si="60"/>
        <v>0</v>
      </c>
      <c r="CA20" s="113">
        <f t="shared" si="33"/>
        <v>0</v>
      </c>
      <c r="CB20" s="113">
        <f t="shared" si="61"/>
        <v>0</v>
      </c>
      <c r="CC20" s="122" t="e">
        <f t="shared" si="62"/>
        <v>#DIV/0!</v>
      </c>
      <c r="CD20" s="122" t="e">
        <f t="shared" si="34"/>
        <v>#DIV/0!</v>
      </c>
      <c r="CE20" s="122" t="e">
        <f t="shared" si="35"/>
        <v>#DIV/0!</v>
      </c>
      <c r="CF20" s="113" t="e">
        <f t="shared" si="15"/>
        <v>#DIV/0!</v>
      </c>
      <c r="CG20" s="619">
        <f t="shared" si="16"/>
        <v>0</v>
      </c>
      <c r="CH20" s="132" t="e">
        <f t="shared" si="36"/>
        <v>#DIV/0!</v>
      </c>
      <c r="CI20" s="106"/>
      <c r="CJ20" s="208">
        <f t="shared" si="37"/>
        <v>1735.0602618840917</v>
      </c>
      <c r="CK20" s="208">
        <f t="shared" si="17"/>
        <v>1204.9029596417306</v>
      </c>
      <c r="CL20" s="208">
        <f t="shared" si="38"/>
        <v>2939.9632215258225</v>
      </c>
      <c r="CM20" s="18">
        <f t="shared" si="39"/>
        <v>2939.9632215258225</v>
      </c>
      <c r="CN20" s="18">
        <f t="shared" si="40"/>
        <v>0</v>
      </c>
      <c r="CO20" s="112">
        <f t="shared" si="18"/>
        <v>2931691.3692888706</v>
      </c>
      <c r="CP20" s="112">
        <f t="shared" si="19"/>
        <v>2925947.027457654</v>
      </c>
      <c r="CQ20" s="112">
        <f t="shared" si="20"/>
        <v>2925947.027457654</v>
      </c>
      <c r="CR20" s="112">
        <f t="shared" si="21"/>
        <v>1726788.40964714</v>
      </c>
      <c r="CS20" s="112">
        <f t="shared" si="22"/>
        <v>2939963.2215258223</v>
      </c>
      <c r="CT20" s="112">
        <f t="shared" si="23"/>
        <v>2939963.2215258223</v>
      </c>
      <c r="CU20" s="112">
        <f t="shared" si="24"/>
        <v>1204902.9596417306</v>
      </c>
      <c r="CV20" s="112">
        <f t="shared" si="41"/>
        <v>5865910.2489834763</v>
      </c>
      <c r="CW20" s="843">
        <f t="shared" si="42"/>
        <v>6614.1239999999998</v>
      </c>
      <c r="CX20" s="112">
        <f t="shared" si="25"/>
        <v>0</v>
      </c>
      <c r="CY20" s="112">
        <f t="shared" si="26"/>
        <v>0</v>
      </c>
      <c r="CZ20" s="112"/>
      <c r="DA20" s="112">
        <f t="shared" si="27"/>
        <v>2925947.027457654</v>
      </c>
      <c r="DB20" s="112">
        <f t="shared" si="28"/>
        <v>2939963.2215258223</v>
      </c>
      <c r="DC20" s="106"/>
      <c r="DD20" s="128" t="e">
        <f t="shared" si="43"/>
        <v>#DIV/0!</v>
      </c>
      <c r="DE20" s="106"/>
      <c r="DF20" s="106"/>
      <c r="DG20" s="106"/>
      <c r="DH20" s="797">
        <v>915</v>
      </c>
      <c r="DI20" s="797">
        <v>0</v>
      </c>
      <c r="DJ20" s="797">
        <f t="shared" si="44"/>
        <v>915</v>
      </c>
      <c r="DK20" s="106"/>
      <c r="DL20" s="618">
        <f t="shared" si="29"/>
        <v>0</v>
      </c>
      <c r="DM20" s="618">
        <f t="shared" si="30"/>
        <v>0</v>
      </c>
      <c r="DN20" s="618">
        <f t="shared" si="31"/>
        <v>0</v>
      </c>
      <c r="DO20" s="115"/>
    </row>
    <row r="21" spans="1:119" customFormat="1" ht="100.5" customHeight="1">
      <c r="A21" s="20">
        <f t="shared" si="45"/>
        <v>8</v>
      </c>
      <c r="B21" s="1284"/>
      <c r="C21" s="757" t="s">
        <v>74</v>
      </c>
      <c r="D21" s="967" t="s">
        <v>141</v>
      </c>
      <c r="E21" s="617">
        <v>4632024035</v>
      </c>
      <c r="F21" s="1280" t="s">
        <v>8</v>
      </c>
      <c r="G21" s="1245" t="s">
        <v>956</v>
      </c>
      <c r="H21" s="866">
        <v>3299.1600000000003</v>
      </c>
      <c r="I21" s="825">
        <v>3299.1600000000003</v>
      </c>
      <c r="J21" s="756"/>
      <c r="K21" s="756"/>
      <c r="L21" s="872">
        <v>3299.1600000000003</v>
      </c>
      <c r="M21" s="867"/>
      <c r="N21" s="1207">
        <f t="shared" si="63"/>
        <v>3314.9639999999995</v>
      </c>
      <c r="O21" s="1208">
        <f t="shared" si="64"/>
        <v>3314.9639999999995</v>
      </c>
      <c r="P21" s="963"/>
      <c r="Q21" s="963"/>
      <c r="R21" s="1208">
        <f t="shared" si="65"/>
        <v>3314.9639999999995</v>
      </c>
      <c r="S21" s="910"/>
      <c r="T21" s="968">
        <v>363.62512512140154</v>
      </c>
      <c r="U21" s="969"/>
      <c r="V21" s="970"/>
      <c r="W21" s="969"/>
      <c r="X21" s="969"/>
      <c r="Y21" s="969"/>
      <c r="Z21" s="971">
        <f t="shared" si="50"/>
        <v>363.62512512140154</v>
      </c>
      <c r="AA21" s="972">
        <v>211.15217738073517</v>
      </c>
      <c r="AB21" s="15"/>
      <c r="AC21" s="208"/>
      <c r="AD21" s="15"/>
      <c r="AE21" s="15"/>
      <c r="AF21" s="15"/>
      <c r="AG21" s="926">
        <f t="shared" si="51"/>
        <v>211.15217738073517</v>
      </c>
      <c r="AH21" s="894">
        <f t="shared" si="52"/>
        <v>574.77730250213676</v>
      </c>
      <c r="AI21" s="15">
        <f t="shared" si="6"/>
        <v>574.77730250213676</v>
      </c>
      <c r="AJ21" s="15">
        <f t="shared" si="6"/>
        <v>0</v>
      </c>
      <c r="AK21" s="15">
        <f t="shared" si="6"/>
        <v>0</v>
      </c>
      <c r="AL21" s="15">
        <f t="shared" si="6"/>
        <v>0</v>
      </c>
      <c r="AM21" s="15">
        <f t="shared" si="6"/>
        <v>0</v>
      </c>
      <c r="AN21" s="15"/>
      <c r="AO21" s="15">
        <f t="shared" si="66"/>
        <v>574.77730250213676</v>
      </c>
      <c r="AP21" s="15">
        <f t="shared" si="8"/>
        <v>574.77730250213676</v>
      </c>
      <c r="AQ21" s="15">
        <f t="shared" si="9"/>
        <v>574.77730250213676</v>
      </c>
      <c r="AR21" s="127">
        <f t="shared" si="32"/>
        <v>0</v>
      </c>
      <c r="AS21" s="112">
        <f t="shared" si="10"/>
        <v>1896282.2853229498</v>
      </c>
      <c r="AT21" s="112">
        <f t="shared" si="10"/>
        <v>0</v>
      </c>
      <c r="AU21" s="112">
        <f t="shared" si="10"/>
        <v>0</v>
      </c>
      <c r="AV21" s="112">
        <f t="shared" si="10"/>
        <v>0</v>
      </c>
      <c r="AW21" s="112">
        <f t="shared" si="10"/>
        <v>0</v>
      </c>
      <c r="AX21" s="112">
        <f t="shared" si="46"/>
        <v>1896282.2853229498</v>
      </c>
      <c r="AY21" s="112">
        <f t="shared" si="47"/>
        <v>1896282.2853229498</v>
      </c>
      <c r="AZ21" s="112">
        <f t="shared" si="11"/>
        <v>1905366.065811693</v>
      </c>
      <c r="BA21" s="112">
        <f t="shared" si="11"/>
        <v>0</v>
      </c>
      <c r="BB21" s="112">
        <f t="shared" si="11"/>
        <v>0</v>
      </c>
      <c r="BC21" s="112">
        <f t="shared" si="11"/>
        <v>0</v>
      </c>
      <c r="BD21" s="112">
        <f t="shared" si="11"/>
        <v>0</v>
      </c>
      <c r="BE21" s="112">
        <f t="shared" si="48"/>
        <v>1905366.065811693</v>
      </c>
      <c r="BF21" s="112">
        <f t="shared" si="49"/>
        <v>1905366.065811693</v>
      </c>
      <c r="BG21" s="112"/>
      <c r="BH21" s="112"/>
      <c r="BI21" s="112">
        <f t="shared" si="5"/>
        <v>0</v>
      </c>
      <c r="BJ21" s="112"/>
      <c r="BK21" s="112"/>
      <c r="BL21" s="112">
        <f t="shared" si="53"/>
        <v>1199657.4677955231</v>
      </c>
      <c r="BM21" s="112">
        <f t="shared" si="53"/>
        <v>0</v>
      </c>
      <c r="BN21" s="112">
        <f t="shared" si="12"/>
        <v>0</v>
      </c>
      <c r="BO21" s="112">
        <f t="shared" si="12"/>
        <v>0</v>
      </c>
      <c r="BP21" s="112">
        <f t="shared" si="12"/>
        <v>0</v>
      </c>
      <c r="BQ21" s="112">
        <f t="shared" si="54"/>
        <v>1199657.4677955231</v>
      </c>
      <c r="BR21" s="112">
        <f t="shared" si="55"/>
        <v>1199657.4677955231</v>
      </c>
      <c r="BS21" s="112">
        <f t="shared" si="56"/>
        <v>699961.86653875129</v>
      </c>
      <c r="BT21" s="112">
        <f t="shared" si="56"/>
        <v>0</v>
      </c>
      <c r="BU21" s="112">
        <f t="shared" si="13"/>
        <v>0</v>
      </c>
      <c r="BV21" s="112">
        <f t="shared" si="57"/>
        <v>0</v>
      </c>
      <c r="BW21" s="112">
        <f t="shared" si="14"/>
        <v>0</v>
      </c>
      <c r="BX21" s="112">
        <f t="shared" si="58"/>
        <v>699961.86653875129</v>
      </c>
      <c r="BY21" s="112">
        <f t="shared" si="59"/>
        <v>699961.86653875129</v>
      </c>
      <c r="BZ21" s="113">
        <f t="shared" si="60"/>
        <v>0</v>
      </c>
      <c r="CA21" s="113">
        <f t="shared" si="33"/>
        <v>0</v>
      </c>
      <c r="CB21" s="113">
        <f t="shared" si="61"/>
        <v>0</v>
      </c>
      <c r="CC21" s="122" t="e">
        <f t="shared" si="62"/>
        <v>#DIV/0!</v>
      </c>
      <c r="CD21" s="122" t="e">
        <f t="shared" si="34"/>
        <v>#DIV/0!</v>
      </c>
      <c r="CE21" s="122" t="e">
        <f t="shared" si="35"/>
        <v>#DIV/0!</v>
      </c>
      <c r="CF21" s="113" t="e">
        <f t="shared" si="15"/>
        <v>#DIV/0!</v>
      </c>
      <c r="CG21" s="619">
        <f t="shared" si="16"/>
        <v>0</v>
      </c>
      <c r="CH21" s="132" t="e">
        <f t="shared" si="36"/>
        <v>#DIV/0!</v>
      </c>
      <c r="CI21" s="106"/>
      <c r="CJ21" s="208">
        <f t="shared" si="37"/>
        <v>1205.4041992729415</v>
      </c>
      <c r="CK21" s="208">
        <f t="shared" si="17"/>
        <v>699.96186653875134</v>
      </c>
      <c r="CL21" s="208">
        <f t="shared" si="38"/>
        <v>1905.3660658116928</v>
      </c>
      <c r="CM21" s="18">
        <f t="shared" si="39"/>
        <v>1905.366065811693</v>
      </c>
      <c r="CN21" s="18">
        <f t="shared" si="40"/>
        <v>0</v>
      </c>
      <c r="CO21" s="112">
        <f t="shared" si="18"/>
        <v>1899619.3343342743</v>
      </c>
      <c r="CP21" s="112">
        <f t="shared" si="19"/>
        <v>1896282.2853229498</v>
      </c>
      <c r="CQ21" s="112">
        <f t="shared" si="20"/>
        <v>1896282.2853229498</v>
      </c>
      <c r="CR21" s="112">
        <f t="shared" si="21"/>
        <v>1199657.4677955231</v>
      </c>
      <c r="CS21" s="112">
        <f t="shared" si="22"/>
        <v>1905366.065811693</v>
      </c>
      <c r="CT21" s="112">
        <f t="shared" si="23"/>
        <v>1905366.065811693</v>
      </c>
      <c r="CU21" s="112">
        <f t="shared" si="24"/>
        <v>699961.86653875129</v>
      </c>
      <c r="CV21" s="112">
        <f t="shared" si="41"/>
        <v>3801648.351134643</v>
      </c>
      <c r="CW21" s="843">
        <f t="shared" si="42"/>
        <v>6614.1239999999998</v>
      </c>
      <c r="CX21" s="112">
        <f t="shared" si="25"/>
        <v>0</v>
      </c>
      <c r="CY21" s="112">
        <f t="shared" si="26"/>
        <v>0</v>
      </c>
      <c r="CZ21" s="112"/>
      <c r="DA21" s="112">
        <f t="shared" si="27"/>
        <v>1896282.2853229498</v>
      </c>
      <c r="DB21" s="112">
        <f t="shared" si="28"/>
        <v>1905366.065811693</v>
      </c>
      <c r="DC21" s="106"/>
      <c r="DD21" s="128" t="e">
        <f t="shared" si="43"/>
        <v>#DIV/0!</v>
      </c>
      <c r="DE21" s="106"/>
      <c r="DF21" s="106"/>
      <c r="DG21" s="106"/>
      <c r="DH21" s="797">
        <v>593.00400000000002</v>
      </c>
      <c r="DI21" s="797">
        <v>0</v>
      </c>
      <c r="DJ21" s="797">
        <f t="shared" si="44"/>
        <v>593.00400000000002</v>
      </c>
      <c r="DK21" s="106"/>
      <c r="DL21" s="618">
        <f t="shared" si="29"/>
        <v>0</v>
      </c>
      <c r="DM21" s="618">
        <f t="shared" si="30"/>
        <v>0</v>
      </c>
      <c r="DN21" s="618">
        <f t="shared" si="31"/>
        <v>0</v>
      </c>
      <c r="DO21" s="115"/>
    </row>
    <row r="22" spans="1:119" customFormat="1" ht="100.5" customHeight="1">
      <c r="A22" s="20">
        <f t="shared" si="45"/>
        <v>9</v>
      </c>
      <c r="B22" s="1288" t="s">
        <v>11</v>
      </c>
      <c r="C22" s="757" t="s">
        <v>75</v>
      </c>
      <c r="D22" s="967" t="s">
        <v>142</v>
      </c>
      <c r="E22" s="617">
        <v>4632024035</v>
      </c>
      <c r="F22" s="1280" t="s">
        <v>8</v>
      </c>
      <c r="G22" s="1245" t="s">
        <v>956</v>
      </c>
      <c r="H22" s="866">
        <v>3299.1600000000003</v>
      </c>
      <c r="I22" s="825">
        <v>3299.1600000000003</v>
      </c>
      <c r="J22" s="756">
        <v>2239.86</v>
      </c>
      <c r="K22" s="756"/>
      <c r="L22" s="872">
        <v>3299.1600000000003</v>
      </c>
      <c r="M22" s="873"/>
      <c r="N22" s="1207">
        <f t="shared" si="63"/>
        <v>3314.9639999999995</v>
      </c>
      <c r="O22" s="1208">
        <f t="shared" si="64"/>
        <v>3314.9639999999995</v>
      </c>
      <c r="P22" s="964">
        <v>2484</v>
      </c>
      <c r="Q22" s="964"/>
      <c r="R22" s="1208">
        <f t="shared" si="65"/>
        <v>3314.9639999999995</v>
      </c>
      <c r="S22" s="913"/>
      <c r="T22" s="973">
        <v>3223.888635111583</v>
      </c>
      <c r="U22" s="974">
        <v>548.19233536358684</v>
      </c>
      <c r="V22" s="227"/>
      <c r="W22" s="16"/>
      <c r="X22" s="16"/>
      <c r="Y22" s="16"/>
      <c r="Z22" s="930">
        <f t="shared" si="50"/>
        <v>3772.08097047517</v>
      </c>
      <c r="AA22" s="975">
        <v>1834.5604623724025</v>
      </c>
      <c r="AB22" s="974">
        <v>411.14425152269007</v>
      </c>
      <c r="AC22" s="227"/>
      <c r="AD22" s="16"/>
      <c r="AE22" s="16"/>
      <c r="AF22" s="16"/>
      <c r="AG22" s="930">
        <f t="shared" si="51"/>
        <v>2245.7047138950925</v>
      </c>
      <c r="AH22" s="898">
        <f t="shared" si="52"/>
        <v>6017.785684370263</v>
      </c>
      <c r="AI22" s="16">
        <f t="shared" si="6"/>
        <v>5058.4490974839855</v>
      </c>
      <c r="AJ22" s="16">
        <f t="shared" si="6"/>
        <v>959.3365868862769</v>
      </c>
      <c r="AK22" s="16">
        <f t="shared" si="6"/>
        <v>0</v>
      </c>
      <c r="AL22" s="16">
        <f t="shared" si="6"/>
        <v>0</v>
      </c>
      <c r="AM22" s="16">
        <f t="shared" si="6"/>
        <v>0</v>
      </c>
      <c r="AN22" s="16"/>
      <c r="AO22" s="16">
        <f t="shared" si="66"/>
        <v>6017.7856843702621</v>
      </c>
      <c r="AP22" s="16">
        <f t="shared" si="8"/>
        <v>6017.7856843702621</v>
      </c>
      <c r="AQ22" s="16">
        <f t="shared" si="9"/>
        <v>6017.7856843702621</v>
      </c>
      <c r="AR22" s="127">
        <f t="shared" si="32"/>
        <v>0</v>
      </c>
      <c r="AS22" s="112">
        <f t="shared" si="10"/>
        <v>16688632.924455266</v>
      </c>
      <c r="AT22" s="112">
        <f t="shared" si="10"/>
        <v>2148779.6475030961</v>
      </c>
      <c r="AU22" s="112">
        <f t="shared" si="10"/>
        <v>0</v>
      </c>
      <c r="AV22" s="112">
        <f t="shared" si="10"/>
        <v>0</v>
      </c>
      <c r="AW22" s="112">
        <f t="shared" si="10"/>
        <v>0</v>
      </c>
      <c r="AX22" s="112">
        <f t="shared" si="46"/>
        <v>18837412.571958363</v>
      </c>
      <c r="AY22" s="112">
        <f t="shared" si="47"/>
        <v>18837412.571958363</v>
      </c>
      <c r="AZ22" s="112">
        <f t="shared" si="11"/>
        <v>16768576.6539919</v>
      </c>
      <c r="BA22" s="112">
        <f t="shared" si="11"/>
        <v>2382992.081825512</v>
      </c>
      <c r="BB22" s="112">
        <f t="shared" si="11"/>
        <v>0</v>
      </c>
      <c r="BC22" s="112">
        <f t="shared" si="11"/>
        <v>0</v>
      </c>
      <c r="BD22" s="112">
        <f t="shared" si="11"/>
        <v>0</v>
      </c>
      <c r="BE22" s="112">
        <f t="shared" si="48"/>
        <v>19151568.735817414</v>
      </c>
      <c r="BF22" s="112">
        <f t="shared" si="49"/>
        <v>19151568.735817414</v>
      </c>
      <c r="BG22" s="623">
        <f>(O22-P22)/1.2*U22/1000</f>
        <v>379.60674646922274</v>
      </c>
      <c r="BH22" s="624">
        <f>(O22-P22)/1.2*AB22/1000</f>
        <v>284.70505985191704</v>
      </c>
      <c r="BI22" s="623">
        <f t="shared" si="5"/>
        <v>664.31180632113978</v>
      </c>
      <c r="BJ22" s="169"/>
      <c r="BK22" s="169"/>
      <c r="BL22" s="112">
        <f t="shared" si="53"/>
        <v>10636124.429414731</v>
      </c>
      <c r="BM22" s="112">
        <f t="shared" si="53"/>
        <v>1227874.0842874837</v>
      </c>
      <c r="BN22" s="112">
        <f t="shared" si="12"/>
        <v>0</v>
      </c>
      <c r="BO22" s="112">
        <f t="shared" si="12"/>
        <v>0</v>
      </c>
      <c r="BP22" s="112">
        <f t="shared" si="12"/>
        <v>0</v>
      </c>
      <c r="BQ22" s="112">
        <f t="shared" si="54"/>
        <v>11863998.513702214</v>
      </c>
      <c r="BR22" s="112">
        <f t="shared" si="55"/>
        <v>11863998.513702214</v>
      </c>
      <c r="BS22" s="112">
        <f t="shared" si="56"/>
        <v>6081501.8885878678</v>
      </c>
      <c r="BT22" s="112">
        <f t="shared" si="56"/>
        <v>1021282.3207823621</v>
      </c>
      <c r="BU22" s="112">
        <f t="shared" si="13"/>
        <v>0</v>
      </c>
      <c r="BV22" s="112">
        <f t="shared" si="57"/>
        <v>0</v>
      </c>
      <c r="BW22" s="112">
        <f t="shared" si="14"/>
        <v>0</v>
      </c>
      <c r="BX22" s="112">
        <f t="shared" si="58"/>
        <v>7102784.2093702303</v>
      </c>
      <c r="BY22" s="112">
        <f t="shared" si="59"/>
        <v>7102784.2093702303</v>
      </c>
      <c r="BZ22" s="113">
        <f t="shared" si="60"/>
        <v>2249156.4050698457</v>
      </c>
      <c r="CA22" s="113">
        <f t="shared" si="33"/>
        <v>0</v>
      </c>
      <c r="CB22" s="113">
        <f t="shared" si="61"/>
        <v>2249156.4050698457</v>
      </c>
      <c r="CC22" s="119">
        <f t="shared" si="62"/>
        <v>2344.4914285714285</v>
      </c>
      <c r="CD22" s="119" t="e">
        <f t="shared" si="34"/>
        <v>#DIV/0!</v>
      </c>
      <c r="CE22" s="119">
        <f t="shared" si="35"/>
        <v>2344.4914285714285</v>
      </c>
      <c r="CF22" s="119">
        <f t="shared" si="15"/>
        <v>2344.4914285714285</v>
      </c>
      <c r="CG22" s="619">
        <f t="shared" si="16"/>
        <v>3171502.6177427936</v>
      </c>
      <c r="CH22" s="132">
        <f t="shared" si="36"/>
        <v>3305.9331428571427</v>
      </c>
      <c r="CI22" s="625"/>
      <c r="CJ22" s="208">
        <f t="shared" si="37"/>
        <v>12504.312622210249</v>
      </c>
      <c r="CK22" s="208">
        <f t="shared" si="17"/>
        <v>7444.4302811925299</v>
      </c>
      <c r="CL22" s="208">
        <f t="shared" si="38"/>
        <v>19948.742903402781</v>
      </c>
      <c r="CM22" s="18">
        <f t="shared" si="39"/>
        <v>19948.742903402785</v>
      </c>
      <c r="CN22" s="18">
        <f t="shared" si="40"/>
        <v>0</v>
      </c>
      <c r="CO22" s="112">
        <f t="shared" si="18"/>
        <v>19889128.935745396</v>
      </c>
      <c r="CP22" s="112">
        <f t="shared" si="19"/>
        <v>18837412.571958363</v>
      </c>
      <c r="CQ22" s="112">
        <f t="shared" si="20"/>
        <v>18837412.571958363</v>
      </c>
      <c r="CR22" s="112">
        <f t="shared" si="21"/>
        <v>11863998.513702214</v>
      </c>
      <c r="CS22" s="112">
        <f t="shared" si="22"/>
        <v>19151568.735817414</v>
      </c>
      <c r="CT22" s="112">
        <f t="shared" si="23"/>
        <v>19151568.735817414</v>
      </c>
      <c r="CU22" s="112">
        <f t="shared" si="24"/>
        <v>7102784.2093702303</v>
      </c>
      <c r="CV22" s="112">
        <f t="shared" si="41"/>
        <v>37988981.307775781</v>
      </c>
      <c r="CW22" s="843">
        <f t="shared" si="42"/>
        <v>6312.784020614582</v>
      </c>
      <c r="CX22" s="112">
        <f t="shared" si="25"/>
        <v>2148779.6475030961</v>
      </c>
      <c r="CY22" s="112">
        <f t="shared" si="26"/>
        <v>2382992.081825512</v>
      </c>
      <c r="CZ22" s="112"/>
      <c r="DA22" s="112">
        <f t="shared" si="27"/>
        <v>19853637.818446998</v>
      </c>
      <c r="DB22" s="112">
        <f t="shared" si="28"/>
        <v>19948742.903402779</v>
      </c>
      <c r="DC22" s="625"/>
      <c r="DD22" s="128">
        <f t="shared" si="43"/>
        <v>147.99871420535209</v>
      </c>
      <c r="DE22" s="625"/>
      <c r="DF22" s="625"/>
      <c r="DG22" s="625"/>
      <c r="DH22" s="797">
        <v>6208.6149999999998</v>
      </c>
      <c r="DI22" s="797">
        <v>989.75800000000004</v>
      </c>
      <c r="DJ22" s="797">
        <f t="shared" si="44"/>
        <v>5218.857</v>
      </c>
      <c r="DK22" s="625"/>
      <c r="DL22" s="618">
        <f t="shared" si="29"/>
        <v>0</v>
      </c>
      <c r="DM22" s="618">
        <f t="shared" si="30"/>
        <v>0</v>
      </c>
      <c r="DN22" s="618">
        <f t="shared" si="31"/>
        <v>0</v>
      </c>
      <c r="DO22" s="123"/>
    </row>
    <row r="23" spans="1:119" customFormat="1" ht="100.5" customHeight="1">
      <c r="A23" s="20">
        <f t="shared" si="45"/>
        <v>10</v>
      </c>
      <c r="B23" s="1287"/>
      <c r="C23" s="757" t="s">
        <v>76</v>
      </c>
      <c r="D23" s="967" t="s">
        <v>141</v>
      </c>
      <c r="E23" s="617">
        <v>4632024035</v>
      </c>
      <c r="F23" s="1280" t="s">
        <v>8</v>
      </c>
      <c r="G23" s="1245" t="s">
        <v>956</v>
      </c>
      <c r="H23" s="866">
        <v>3299.1600000000003</v>
      </c>
      <c r="I23" s="825">
        <v>3299.1600000000003</v>
      </c>
      <c r="J23" s="756"/>
      <c r="K23" s="756"/>
      <c r="L23" s="872">
        <v>3299.1600000000003</v>
      </c>
      <c r="M23" s="867"/>
      <c r="N23" s="1207">
        <f t="shared" si="63"/>
        <v>3314.9639999999995</v>
      </c>
      <c r="O23" s="1208">
        <f t="shared" si="64"/>
        <v>3314.9639999999995</v>
      </c>
      <c r="P23" s="963"/>
      <c r="Q23" s="963"/>
      <c r="R23" s="1208">
        <f t="shared" si="65"/>
        <v>3314.9639999999995</v>
      </c>
      <c r="S23" s="910"/>
      <c r="T23" s="968">
        <v>197.49525062770297</v>
      </c>
      <c r="U23" s="15"/>
      <c r="V23" s="208"/>
      <c r="W23" s="15"/>
      <c r="X23" s="15"/>
      <c r="Y23" s="15"/>
      <c r="Z23" s="926">
        <f t="shared" si="50"/>
        <v>197.49525062770297</v>
      </c>
      <c r="AA23" s="972">
        <v>114.68329122915327</v>
      </c>
      <c r="AB23" s="15"/>
      <c r="AC23" s="208"/>
      <c r="AD23" s="15"/>
      <c r="AE23" s="15"/>
      <c r="AF23" s="15"/>
      <c r="AG23" s="926">
        <f t="shared" si="51"/>
        <v>114.68329122915327</v>
      </c>
      <c r="AH23" s="894">
        <f t="shared" si="52"/>
        <v>312.17854185685621</v>
      </c>
      <c r="AI23" s="15">
        <f t="shared" si="6"/>
        <v>312.17854185685621</v>
      </c>
      <c r="AJ23" s="15">
        <f t="shared" si="6"/>
        <v>0</v>
      </c>
      <c r="AK23" s="15">
        <f t="shared" si="6"/>
        <v>0</v>
      </c>
      <c r="AL23" s="15">
        <f t="shared" si="6"/>
        <v>0</v>
      </c>
      <c r="AM23" s="15">
        <f t="shared" si="6"/>
        <v>0</v>
      </c>
      <c r="AN23" s="15"/>
      <c r="AO23" s="15">
        <f t="shared" si="66"/>
        <v>312.17854185685621</v>
      </c>
      <c r="AP23" s="15">
        <f t="shared" si="8"/>
        <v>312.17854185685621</v>
      </c>
      <c r="AQ23" s="15">
        <f t="shared" si="9"/>
        <v>312.17854185685621</v>
      </c>
      <c r="AR23" s="127">
        <f t="shared" si="32"/>
        <v>0</v>
      </c>
      <c r="AS23" s="112">
        <f t="shared" si="10"/>
        <v>1029926.9581524659</v>
      </c>
      <c r="AT23" s="112">
        <f t="shared" si="10"/>
        <v>0</v>
      </c>
      <c r="AU23" s="112">
        <f t="shared" si="10"/>
        <v>0</v>
      </c>
      <c r="AV23" s="112">
        <f t="shared" si="10"/>
        <v>0</v>
      </c>
      <c r="AW23" s="112">
        <f t="shared" si="10"/>
        <v>0</v>
      </c>
      <c r="AX23" s="112">
        <f t="shared" si="46"/>
        <v>1029926.9581524659</v>
      </c>
      <c r="AY23" s="112">
        <f t="shared" si="47"/>
        <v>1029926.9581524659</v>
      </c>
      <c r="AZ23" s="112">
        <f t="shared" si="11"/>
        <v>1034860.6278279714</v>
      </c>
      <c r="BA23" s="112">
        <f t="shared" si="11"/>
        <v>0</v>
      </c>
      <c r="BB23" s="112">
        <f t="shared" si="11"/>
        <v>0</v>
      </c>
      <c r="BC23" s="112">
        <f t="shared" si="11"/>
        <v>0</v>
      </c>
      <c r="BD23" s="112">
        <f t="shared" si="11"/>
        <v>0</v>
      </c>
      <c r="BE23" s="112">
        <f t="shared" si="48"/>
        <v>1034860.6278279714</v>
      </c>
      <c r="BF23" s="112">
        <f t="shared" si="49"/>
        <v>1034860.6278279714</v>
      </c>
      <c r="BG23" s="112"/>
      <c r="BH23" s="112"/>
      <c r="BI23" s="112">
        <f t="shared" si="5"/>
        <v>0</v>
      </c>
      <c r="BJ23" s="112"/>
      <c r="BK23" s="112"/>
      <c r="BL23" s="112">
        <f t="shared" si="53"/>
        <v>651568.43106089265</v>
      </c>
      <c r="BM23" s="112">
        <f t="shared" si="53"/>
        <v>0</v>
      </c>
      <c r="BN23" s="112">
        <f t="shared" si="12"/>
        <v>0</v>
      </c>
      <c r="BO23" s="112">
        <f t="shared" si="12"/>
        <v>0</v>
      </c>
      <c r="BP23" s="112">
        <f t="shared" si="12"/>
        <v>0</v>
      </c>
      <c r="BQ23" s="112">
        <f t="shared" si="54"/>
        <v>651568.43106089265</v>
      </c>
      <c r="BR23" s="112">
        <f t="shared" si="55"/>
        <v>651568.43106089265</v>
      </c>
      <c r="BS23" s="112">
        <f t="shared" si="56"/>
        <v>380170.98182615876</v>
      </c>
      <c r="BT23" s="112">
        <f t="shared" si="56"/>
        <v>0</v>
      </c>
      <c r="BU23" s="112">
        <f t="shared" si="13"/>
        <v>0</v>
      </c>
      <c r="BV23" s="112">
        <f t="shared" si="57"/>
        <v>0</v>
      </c>
      <c r="BW23" s="112">
        <f t="shared" si="14"/>
        <v>0</v>
      </c>
      <c r="BX23" s="112">
        <f t="shared" si="58"/>
        <v>380170.98182615876</v>
      </c>
      <c r="BY23" s="112">
        <f t="shared" si="59"/>
        <v>380170.98182615876</v>
      </c>
      <c r="BZ23" s="113">
        <f t="shared" si="60"/>
        <v>0</v>
      </c>
      <c r="CA23" s="113">
        <f t="shared" si="33"/>
        <v>0</v>
      </c>
      <c r="CB23" s="113">
        <f t="shared" si="61"/>
        <v>0</v>
      </c>
      <c r="CC23" s="119" t="e">
        <f t="shared" si="62"/>
        <v>#DIV/0!</v>
      </c>
      <c r="CD23" s="119" t="e">
        <f t="shared" si="34"/>
        <v>#DIV/0!</v>
      </c>
      <c r="CE23" s="119" t="e">
        <f t="shared" si="35"/>
        <v>#DIV/0!</v>
      </c>
      <c r="CF23" s="113" t="e">
        <f t="shared" si="15"/>
        <v>#DIV/0!</v>
      </c>
      <c r="CG23" s="619">
        <f t="shared" si="16"/>
        <v>0</v>
      </c>
      <c r="CH23" s="132" t="e">
        <f t="shared" si="36"/>
        <v>#DIV/0!</v>
      </c>
      <c r="CI23" s="106"/>
      <c r="CJ23" s="208">
        <f t="shared" si="37"/>
        <v>654.68964600181266</v>
      </c>
      <c r="CK23" s="208">
        <f t="shared" si="17"/>
        <v>380.17098182615877</v>
      </c>
      <c r="CL23" s="208">
        <f t="shared" si="38"/>
        <v>1034.8606278279715</v>
      </c>
      <c r="CM23" s="18">
        <f t="shared" si="39"/>
        <v>1034.8606278279713</v>
      </c>
      <c r="CN23" s="18">
        <f t="shared" si="40"/>
        <v>0</v>
      </c>
      <c r="CO23" s="112">
        <f t="shared" si="18"/>
        <v>1031739.4128870515</v>
      </c>
      <c r="CP23" s="112">
        <f t="shared" si="19"/>
        <v>1029926.9581524659</v>
      </c>
      <c r="CQ23" s="112">
        <f t="shared" si="20"/>
        <v>1029926.9581524659</v>
      </c>
      <c r="CR23" s="112">
        <f t="shared" si="21"/>
        <v>651568.43106089265</v>
      </c>
      <c r="CS23" s="112">
        <f t="shared" si="22"/>
        <v>1034860.6278279714</v>
      </c>
      <c r="CT23" s="112">
        <f t="shared" si="23"/>
        <v>1034860.6278279714</v>
      </c>
      <c r="CU23" s="112">
        <f t="shared" si="24"/>
        <v>380170.98182615876</v>
      </c>
      <c r="CV23" s="112">
        <f t="shared" si="41"/>
        <v>2064787.5859804372</v>
      </c>
      <c r="CW23" s="843">
        <f t="shared" si="42"/>
        <v>6614.1239999999998</v>
      </c>
      <c r="CX23" s="112">
        <f t="shared" si="25"/>
        <v>0</v>
      </c>
      <c r="CY23" s="112">
        <f t="shared" si="26"/>
        <v>0</v>
      </c>
      <c r="CZ23" s="112"/>
      <c r="DA23" s="112">
        <f t="shared" si="27"/>
        <v>1029926.9581524659</v>
      </c>
      <c r="DB23" s="112">
        <f t="shared" si="28"/>
        <v>1034860.6278279714</v>
      </c>
      <c r="DC23" s="106"/>
      <c r="DD23" s="128" t="e">
        <f t="shared" si="43"/>
        <v>#DIV/0!</v>
      </c>
      <c r="DE23" s="106"/>
      <c r="DF23" s="106"/>
      <c r="DG23" s="106"/>
      <c r="DH23" s="797">
        <v>322.07800000000003</v>
      </c>
      <c r="DI23" s="797">
        <v>0</v>
      </c>
      <c r="DJ23" s="797">
        <f t="shared" si="44"/>
        <v>322.07800000000003</v>
      </c>
      <c r="DK23" s="106"/>
      <c r="DL23" s="618">
        <f t="shared" si="29"/>
        <v>0</v>
      </c>
      <c r="DM23" s="618">
        <f t="shared" si="30"/>
        <v>0</v>
      </c>
      <c r="DN23" s="618">
        <f t="shared" si="31"/>
        <v>0</v>
      </c>
      <c r="DO23" s="115"/>
    </row>
    <row r="24" spans="1:119" customFormat="1" ht="100.5" customHeight="1">
      <c r="A24" s="20">
        <f t="shared" si="45"/>
        <v>11</v>
      </c>
      <c r="B24" s="1287"/>
      <c r="C24" s="757" t="s">
        <v>77</v>
      </c>
      <c r="D24" s="967" t="s">
        <v>141</v>
      </c>
      <c r="E24" s="617">
        <v>4632024035</v>
      </c>
      <c r="F24" s="1280" t="s">
        <v>8</v>
      </c>
      <c r="G24" s="1245" t="s">
        <v>956</v>
      </c>
      <c r="H24" s="866">
        <v>3299.1600000000003</v>
      </c>
      <c r="I24" s="825">
        <v>3299.1600000000003</v>
      </c>
      <c r="J24" s="756"/>
      <c r="K24" s="756"/>
      <c r="L24" s="872">
        <v>3299.1600000000003</v>
      </c>
      <c r="M24" s="867"/>
      <c r="N24" s="1207">
        <f t="shared" si="63"/>
        <v>3314.9639999999995</v>
      </c>
      <c r="O24" s="1208">
        <f t="shared" si="64"/>
        <v>3314.9639999999995</v>
      </c>
      <c r="P24" s="963"/>
      <c r="Q24" s="963"/>
      <c r="R24" s="1208">
        <f t="shared" si="65"/>
        <v>3314.9639999999995</v>
      </c>
      <c r="S24" s="910"/>
      <c r="T24" s="968">
        <v>232.34900712963943</v>
      </c>
      <c r="U24" s="15"/>
      <c r="V24" s="208"/>
      <c r="W24" s="15"/>
      <c r="X24" s="15"/>
      <c r="Y24" s="15"/>
      <c r="Z24" s="926">
        <f t="shared" si="50"/>
        <v>232.34900712963943</v>
      </c>
      <c r="AA24" s="972">
        <v>134.9215190931215</v>
      </c>
      <c r="AB24" s="15"/>
      <c r="AC24" s="208"/>
      <c r="AD24" s="15"/>
      <c r="AE24" s="15"/>
      <c r="AF24" s="15"/>
      <c r="AG24" s="926">
        <f t="shared" si="51"/>
        <v>134.9215190931215</v>
      </c>
      <c r="AH24" s="894">
        <f t="shared" si="52"/>
        <v>367.27052622276096</v>
      </c>
      <c r="AI24" s="15">
        <f t="shared" si="6"/>
        <v>367.27052622276096</v>
      </c>
      <c r="AJ24" s="15">
        <f t="shared" si="6"/>
        <v>0</v>
      </c>
      <c r="AK24" s="15">
        <f t="shared" si="6"/>
        <v>0</v>
      </c>
      <c r="AL24" s="15">
        <f t="shared" si="6"/>
        <v>0</v>
      </c>
      <c r="AM24" s="15">
        <f t="shared" si="6"/>
        <v>0</v>
      </c>
      <c r="AN24" s="15"/>
      <c r="AO24" s="15">
        <f t="shared" si="66"/>
        <v>367.27052622276096</v>
      </c>
      <c r="AP24" s="15">
        <f t="shared" si="8"/>
        <v>367.27052622276096</v>
      </c>
      <c r="AQ24" s="15">
        <f t="shared" si="9"/>
        <v>367.27052622276096</v>
      </c>
      <c r="AR24" s="127">
        <f t="shared" si="32"/>
        <v>0</v>
      </c>
      <c r="AS24" s="112">
        <f t="shared" si="10"/>
        <v>1211684.2292930842</v>
      </c>
      <c r="AT24" s="112">
        <f t="shared" si="10"/>
        <v>0</v>
      </c>
      <c r="AU24" s="112">
        <f t="shared" si="10"/>
        <v>0</v>
      </c>
      <c r="AV24" s="112">
        <f t="shared" si="10"/>
        <v>0</v>
      </c>
      <c r="AW24" s="112">
        <f t="shared" si="10"/>
        <v>0</v>
      </c>
      <c r="AX24" s="112">
        <f t="shared" si="46"/>
        <v>1211684.2292930842</v>
      </c>
      <c r="AY24" s="112">
        <f t="shared" si="47"/>
        <v>1211684.2292930842</v>
      </c>
      <c r="AZ24" s="112">
        <f t="shared" si="11"/>
        <v>1217488.5726895083</v>
      </c>
      <c r="BA24" s="112">
        <f t="shared" si="11"/>
        <v>0</v>
      </c>
      <c r="BB24" s="112">
        <f t="shared" si="11"/>
        <v>0</v>
      </c>
      <c r="BC24" s="112">
        <f t="shared" si="11"/>
        <v>0</v>
      </c>
      <c r="BD24" s="112">
        <f t="shared" si="11"/>
        <v>0</v>
      </c>
      <c r="BE24" s="112">
        <f t="shared" si="48"/>
        <v>1217488.5726895083</v>
      </c>
      <c r="BF24" s="112">
        <f t="shared" si="49"/>
        <v>1217488.5726895083</v>
      </c>
      <c r="BG24" s="112"/>
      <c r="BH24" s="112"/>
      <c r="BI24" s="112">
        <f t="shared" si="5"/>
        <v>0</v>
      </c>
      <c r="BJ24" s="112"/>
      <c r="BK24" s="112"/>
      <c r="BL24" s="112">
        <f t="shared" si="53"/>
        <v>766556.55036182131</v>
      </c>
      <c r="BM24" s="112">
        <f t="shared" si="53"/>
        <v>0</v>
      </c>
      <c r="BN24" s="112">
        <f t="shared" si="12"/>
        <v>0</v>
      </c>
      <c r="BO24" s="112">
        <f t="shared" si="12"/>
        <v>0</v>
      </c>
      <c r="BP24" s="112">
        <f t="shared" si="12"/>
        <v>0</v>
      </c>
      <c r="BQ24" s="112">
        <f t="shared" si="54"/>
        <v>766556.55036182131</v>
      </c>
      <c r="BR24" s="112">
        <f t="shared" si="55"/>
        <v>766556.55036182131</v>
      </c>
      <c r="BS24" s="112">
        <f t="shared" si="56"/>
        <v>447259.97861901036</v>
      </c>
      <c r="BT24" s="112">
        <f t="shared" si="56"/>
        <v>0</v>
      </c>
      <c r="BU24" s="112">
        <f t="shared" si="13"/>
        <v>0</v>
      </c>
      <c r="BV24" s="112">
        <f t="shared" si="57"/>
        <v>0</v>
      </c>
      <c r="BW24" s="112">
        <f t="shared" si="14"/>
        <v>0</v>
      </c>
      <c r="BX24" s="112">
        <f t="shared" si="58"/>
        <v>447259.97861901036</v>
      </c>
      <c r="BY24" s="112">
        <f t="shared" si="59"/>
        <v>447259.97861901036</v>
      </c>
      <c r="BZ24" s="113">
        <f t="shared" si="60"/>
        <v>0</v>
      </c>
      <c r="CA24" s="113">
        <f t="shared" si="33"/>
        <v>0</v>
      </c>
      <c r="CB24" s="113">
        <f t="shared" si="61"/>
        <v>0</v>
      </c>
      <c r="CC24" s="119" t="e">
        <f t="shared" si="62"/>
        <v>#DIV/0!</v>
      </c>
      <c r="CD24" s="119" t="e">
        <f t="shared" si="34"/>
        <v>#DIV/0!</v>
      </c>
      <c r="CE24" s="119" t="e">
        <f t="shared" si="35"/>
        <v>#DIV/0!</v>
      </c>
      <c r="CF24" s="113" t="e">
        <f t="shared" si="15"/>
        <v>#DIV/0!</v>
      </c>
      <c r="CG24" s="619">
        <f t="shared" si="16"/>
        <v>0</v>
      </c>
      <c r="CH24" s="132" t="e">
        <f t="shared" si="36"/>
        <v>#DIV/0!</v>
      </c>
      <c r="CI24" s="106"/>
      <c r="CJ24" s="208">
        <f t="shared" si="37"/>
        <v>770.22859407049793</v>
      </c>
      <c r="CK24" s="208">
        <f t="shared" si="17"/>
        <v>447.25997861901038</v>
      </c>
      <c r="CL24" s="208">
        <f t="shared" si="38"/>
        <v>1217.4885726895084</v>
      </c>
      <c r="CM24" s="18">
        <f t="shared" si="39"/>
        <v>1217.4885726895084</v>
      </c>
      <c r="CN24" s="18">
        <f t="shared" si="40"/>
        <v>0</v>
      </c>
      <c r="CO24" s="112">
        <f t="shared" si="18"/>
        <v>1213816.5289808316</v>
      </c>
      <c r="CP24" s="112">
        <f t="shared" si="19"/>
        <v>1211684.2292930842</v>
      </c>
      <c r="CQ24" s="112">
        <f t="shared" si="20"/>
        <v>1211684.2292930842</v>
      </c>
      <c r="CR24" s="112">
        <f t="shared" si="21"/>
        <v>766556.55036182131</v>
      </c>
      <c r="CS24" s="112">
        <f t="shared" si="22"/>
        <v>1217488.5726895083</v>
      </c>
      <c r="CT24" s="112">
        <f t="shared" si="23"/>
        <v>1217488.5726895083</v>
      </c>
      <c r="CU24" s="112">
        <f t="shared" si="24"/>
        <v>447259.97861901036</v>
      </c>
      <c r="CV24" s="112">
        <f t="shared" si="41"/>
        <v>2429172.8019825928</v>
      </c>
      <c r="CW24" s="843">
        <f t="shared" si="42"/>
        <v>6614.1240000000007</v>
      </c>
      <c r="CX24" s="112">
        <f t="shared" si="25"/>
        <v>0</v>
      </c>
      <c r="CY24" s="112">
        <f t="shared" si="26"/>
        <v>0</v>
      </c>
      <c r="CZ24" s="112"/>
      <c r="DA24" s="112">
        <f t="shared" si="27"/>
        <v>1211684.2292930842</v>
      </c>
      <c r="DB24" s="112">
        <f t="shared" si="28"/>
        <v>1217488.5726895083</v>
      </c>
      <c r="DC24" s="106"/>
      <c r="DD24" s="128" t="e">
        <f t="shared" si="43"/>
        <v>#DIV/0!</v>
      </c>
      <c r="DE24" s="106"/>
      <c r="DF24" s="106"/>
      <c r="DG24" s="106"/>
      <c r="DH24" s="797">
        <v>378.91700000000003</v>
      </c>
      <c r="DI24" s="797">
        <v>0</v>
      </c>
      <c r="DJ24" s="797">
        <f t="shared" si="44"/>
        <v>378.91700000000003</v>
      </c>
      <c r="DK24" s="106"/>
      <c r="DL24" s="618">
        <f t="shared" si="29"/>
        <v>0</v>
      </c>
      <c r="DM24" s="618">
        <f t="shared" si="30"/>
        <v>0</v>
      </c>
      <c r="DN24" s="618">
        <f t="shared" si="31"/>
        <v>0</v>
      </c>
      <c r="DO24" s="115"/>
    </row>
    <row r="25" spans="1:119" customFormat="1" ht="100.5" customHeight="1">
      <c r="A25" s="20">
        <f t="shared" si="45"/>
        <v>12</v>
      </c>
      <c r="B25" s="1287"/>
      <c r="C25" s="757" t="s">
        <v>78</v>
      </c>
      <c r="D25" s="967" t="s">
        <v>141</v>
      </c>
      <c r="E25" s="617">
        <v>4632024035</v>
      </c>
      <c r="F25" s="1280" t="s">
        <v>8</v>
      </c>
      <c r="G25" s="1245" t="s">
        <v>956</v>
      </c>
      <c r="H25" s="866">
        <v>3299.1600000000003</v>
      </c>
      <c r="I25" s="825">
        <v>3299.1600000000003</v>
      </c>
      <c r="J25" s="756"/>
      <c r="K25" s="756"/>
      <c r="L25" s="872">
        <v>3299.1600000000003</v>
      </c>
      <c r="M25" s="867"/>
      <c r="N25" s="1207">
        <f t="shared" si="63"/>
        <v>3314.9639999999995</v>
      </c>
      <c r="O25" s="1208">
        <f t="shared" si="64"/>
        <v>3314.9639999999995</v>
      </c>
      <c r="P25" s="963"/>
      <c r="Q25" s="963"/>
      <c r="R25" s="1208">
        <f t="shared" si="65"/>
        <v>3314.9639999999995</v>
      </c>
      <c r="S25" s="910"/>
      <c r="T25" s="968">
        <v>151.02583690728969</v>
      </c>
      <c r="U25" s="15"/>
      <c r="V25" s="208"/>
      <c r="W25" s="15"/>
      <c r="X25" s="15"/>
      <c r="Y25" s="15"/>
      <c r="Z25" s="926">
        <f t="shared" si="50"/>
        <v>151.02583690728969</v>
      </c>
      <c r="AA25" s="972">
        <v>87.698987410528986</v>
      </c>
      <c r="AB25" s="15"/>
      <c r="AC25" s="208"/>
      <c r="AD25" s="15"/>
      <c r="AE25" s="15"/>
      <c r="AF25" s="15"/>
      <c r="AG25" s="926">
        <f t="shared" si="51"/>
        <v>87.698987410528986</v>
      </c>
      <c r="AH25" s="894">
        <f t="shared" si="52"/>
        <v>238.72482431781867</v>
      </c>
      <c r="AI25" s="15">
        <f t="shared" si="6"/>
        <v>238.72482431781867</v>
      </c>
      <c r="AJ25" s="15">
        <f t="shared" si="6"/>
        <v>0</v>
      </c>
      <c r="AK25" s="15">
        <f t="shared" si="6"/>
        <v>0</v>
      </c>
      <c r="AL25" s="15">
        <f t="shared" si="6"/>
        <v>0</v>
      </c>
      <c r="AM25" s="15">
        <f t="shared" si="6"/>
        <v>0</v>
      </c>
      <c r="AN25" s="15"/>
      <c r="AO25" s="15">
        <f t="shared" si="66"/>
        <v>238.72482431781867</v>
      </c>
      <c r="AP25" s="15">
        <f t="shared" si="8"/>
        <v>238.72482431781867</v>
      </c>
      <c r="AQ25" s="15">
        <f t="shared" si="9"/>
        <v>238.72482431781867</v>
      </c>
      <c r="AR25" s="127">
        <f t="shared" si="32"/>
        <v>0</v>
      </c>
      <c r="AS25" s="112">
        <f t="shared" si="10"/>
        <v>787591.39139637467</v>
      </c>
      <c r="AT25" s="112">
        <f t="shared" si="10"/>
        <v>0</v>
      </c>
      <c r="AU25" s="112">
        <f t="shared" si="10"/>
        <v>0</v>
      </c>
      <c r="AV25" s="112">
        <f t="shared" si="10"/>
        <v>0</v>
      </c>
      <c r="AW25" s="112">
        <f t="shared" si="10"/>
        <v>0</v>
      </c>
      <c r="AX25" s="112">
        <f t="shared" si="46"/>
        <v>787591.39139637467</v>
      </c>
      <c r="AY25" s="112">
        <f t="shared" si="47"/>
        <v>787591.39139637467</v>
      </c>
      <c r="AZ25" s="112">
        <f t="shared" si="11"/>
        <v>791364.19851989334</v>
      </c>
      <c r="BA25" s="112">
        <f t="shared" si="11"/>
        <v>0</v>
      </c>
      <c r="BB25" s="112">
        <f t="shared" si="11"/>
        <v>0</v>
      </c>
      <c r="BC25" s="112">
        <f t="shared" si="11"/>
        <v>0</v>
      </c>
      <c r="BD25" s="112">
        <f t="shared" si="11"/>
        <v>0</v>
      </c>
      <c r="BE25" s="112">
        <f t="shared" si="48"/>
        <v>791364.19851989334</v>
      </c>
      <c r="BF25" s="112">
        <f t="shared" si="49"/>
        <v>791364.19851989334</v>
      </c>
      <c r="BG25" s="112"/>
      <c r="BH25" s="112"/>
      <c r="BI25" s="112">
        <f t="shared" si="5"/>
        <v>0</v>
      </c>
      <c r="BJ25" s="112"/>
      <c r="BK25" s="112"/>
      <c r="BL25" s="112">
        <f t="shared" si="53"/>
        <v>498258.40009105392</v>
      </c>
      <c r="BM25" s="112">
        <f t="shared" si="53"/>
        <v>0</v>
      </c>
      <c r="BN25" s="112">
        <f t="shared" si="12"/>
        <v>0</v>
      </c>
      <c r="BO25" s="112">
        <f t="shared" si="12"/>
        <v>0</v>
      </c>
      <c r="BP25" s="112">
        <f t="shared" si="12"/>
        <v>0</v>
      </c>
      <c r="BQ25" s="112">
        <f t="shared" si="54"/>
        <v>498258.40009105392</v>
      </c>
      <c r="BR25" s="112">
        <f t="shared" si="55"/>
        <v>498258.40009105392</v>
      </c>
      <c r="BS25" s="112">
        <f t="shared" si="56"/>
        <v>290718.98610235675</v>
      </c>
      <c r="BT25" s="112">
        <f t="shared" si="56"/>
        <v>0</v>
      </c>
      <c r="BU25" s="112">
        <f t="shared" si="13"/>
        <v>0</v>
      </c>
      <c r="BV25" s="112">
        <f t="shared" si="57"/>
        <v>0</v>
      </c>
      <c r="BW25" s="112">
        <f t="shared" si="14"/>
        <v>0</v>
      </c>
      <c r="BX25" s="112">
        <f t="shared" si="58"/>
        <v>290718.98610235675</v>
      </c>
      <c r="BY25" s="112">
        <f t="shared" si="59"/>
        <v>290718.98610235675</v>
      </c>
      <c r="BZ25" s="113">
        <f t="shared" si="60"/>
        <v>0</v>
      </c>
      <c r="CA25" s="113">
        <f t="shared" si="33"/>
        <v>0</v>
      </c>
      <c r="CB25" s="113">
        <f t="shared" si="61"/>
        <v>0</v>
      </c>
      <c r="CC25" s="119" t="e">
        <f t="shared" si="62"/>
        <v>#DIV/0!</v>
      </c>
      <c r="CD25" s="119" t="e">
        <f t="shared" si="34"/>
        <v>#DIV/0!</v>
      </c>
      <c r="CE25" s="119" t="e">
        <f t="shared" si="35"/>
        <v>#DIV/0!</v>
      </c>
      <c r="CF25" s="113" t="e">
        <f t="shared" si="15"/>
        <v>#DIV/0!</v>
      </c>
      <c r="CG25" s="619">
        <f t="shared" si="16"/>
        <v>0</v>
      </c>
      <c r="CH25" s="132" t="e">
        <f t="shared" si="36"/>
        <v>#DIV/0!</v>
      </c>
      <c r="CI25" s="106"/>
      <c r="CJ25" s="208">
        <f t="shared" si="37"/>
        <v>500.64521241753658</v>
      </c>
      <c r="CK25" s="208">
        <f t="shared" si="17"/>
        <v>290.71898610235672</v>
      </c>
      <c r="CL25" s="208">
        <f t="shared" si="38"/>
        <v>791.36419851989331</v>
      </c>
      <c r="CM25" s="18">
        <f t="shared" si="39"/>
        <v>791.36419851989331</v>
      </c>
      <c r="CN25" s="18">
        <f t="shared" si="40"/>
        <v>0</v>
      </c>
      <c r="CO25" s="112">
        <f t="shared" si="18"/>
        <v>788977.38619341073</v>
      </c>
      <c r="CP25" s="112">
        <f t="shared" si="19"/>
        <v>787591.39139637467</v>
      </c>
      <c r="CQ25" s="112">
        <f t="shared" si="20"/>
        <v>787591.39139637467</v>
      </c>
      <c r="CR25" s="112">
        <f t="shared" si="21"/>
        <v>498258.40009105392</v>
      </c>
      <c r="CS25" s="112">
        <f t="shared" si="22"/>
        <v>791364.19851989334</v>
      </c>
      <c r="CT25" s="112">
        <f t="shared" si="23"/>
        <v>791364.19851989334</v>
      </c>
      <c r="CU25" s="112">
        <f t="shared" si="24"/>
        <v>290718.98610235675</v>
      </c>
      <c r="CV25" s="112">
        <f t="shared" si="41"/>
        <v>1578955.5899162679</v>
      </c>
      <c r="CW25" s="843">
        <f t="shared" si="42"/>
        <v>6614.1239999999989</v>
      </c>
      <c r="CX25" s="112">
        <f t="shared" si="25"/>
        <v>0</v>
      </c>
      <c r="CY25" s="112">
        <f t="shared" si="26"/>
        <v>0</v>
      </c>
      <c r="CZ25" s="112"/>
      <c r="DA25" s="112">
        <f t="shared" si="27"/>
        <v>787591.39139637467</v>
      </c>
      <c r="DB25" s="112">
        <f t="shared" si="28"/>
        <v>791364.19851989334</v>
      </c>
      <c r="DC25" s="106"/>
      <c r="DD25" s="128" t="e">
        <f t="shared" si="43"/>
        <v>#DIV/0!</v>
      </c>
      <c r="DE25" s="106"/>
      <c r="DF25" s="106"/>
      <c r="DG25" s="106"/>
      <c r="DH25" s="797">
        <v>246.29500000000002</v>
      </c>
      <c r="DI25" s="797">
        <v>0</v>
      </c>
      <c r="DJ25" s="797">
        <f t="shared" si="44"/>
        <v>246.29500000000002</v>
      </c>
      <c r="DK25" s="106"/>
      <c r="DL25" s="618">
        <f t="shared" si="29"/>
        <v>0</v>
      </c>
      <c r="DM25" s="618">
        <f t="shared" si="30"/>
        <v>0</v>
      </c>
      <c r="DN25" s="618">
        <f t="shared" si="31"/>
        <v>0</v>
      </c>
      <c r="DO25" s="115"/>
    </row>
    <row r="26" spans="1:119" customFormat="1" ht="100.5" customHeight="1">
      <c r="A26" s="20">
        <f t="shared" si="45"/>
        <v>13</v>
      </c>
      <c r="B26" s="1287"/>
      <c r="C26" s="757" t="s">
        <v>79</v>
      </c>
      <c r="D26" s="967" t="s">
        <v>141</v>
      </c>
      <c r="E26" s="617">
        <v>4632024035</v>
      </c>
      <c r="F26" s="1280" t="s">
        <v>8</v>
      </c>
      <c r="G26" s="1245" t="s">
        <v>956</v>
      </c>
      <c r="H26" s="866">
        <v>3299.1600000000003</v>
      </c>
      <c r="I26" s="825">
        <v>3299.1600000000003</v>
      </c>
      <c r="J26" s="756"/>
      <c r="K26" s="756"/>
      <c r="L26" s="872">
        <v>3299.1600000000003</v>
      </c>
      <c r="M26" s="867"/>
      <c r="N26" s="1207">
        <f t="shared" si="63"/>
        <v>3314.9639999999995</v>
      </c>
      <c r="O26" s="1208">
        <f t="shared" si="64"/>
        <v>3314.9639999999995</v>
      </c>
      <c r="P26" s="963"/>
      <c r="Q26" s="963"/>
      <c r="R26" s="1208">
        <f t="shared" si="65"/>
        <v>3314.9639999999995</v>
      </c>
      <c r="S26" s="910"/>
      <c r="T26" s="968">
        <v>174.26102839938963</v>
      </c>
      <c r="U26" s="15"/>
      <c r="V26" s="208"/>
      <c r="W26" s="15"/>
      <c r="X26" s="15"/>
      <c r="Y26" s="15"/>
      <c r="Z26" s="926">
        <f t="shared" si="50"/>
        <v>174.26102839938963</v>
      </c>
      <c r="AA26" s="972">
        <v>101.19113931984113</v>
      </c>
      <c r="AB26" s="15"/>
      <c r="AC26" s="208"/>
      <c r="AD26" s="15"/>
      <c r="AE26" s="15"/>
      <c r="AF26" s="15"/>
      <c r="AG26" s="926">
        <f t="shared" si="51"/>
        <v>101.19113931984113</v>
      </c>
      <c r="AH26" s="894">
        <f t="shared" si="52"/>
        <v>275.45216771923077</v>
      </c>
      <c r="AI26" s="15">
        <f t="shared" si="6"/>
        <v>275.45216771923077</v>
      </c>
      <c r="AJ26" s="15">
        <f t="shared" si="6"/>
        <v>0</v>
      </c>
      <c r="AK26" s="15">
        <f t="shared" si="6"/>
        <v>0</v>
      </c>
      <c r="AL26" s="15">
        <f t="shared" si="6"/>
        <v>0</v>
      </c>
      <c r="AM26" s="15">
        <f t="shared" si="6"/>
        <v>0</v>
      </c>
      <c r="AN26" s="15"/>
      <c r="AO26" s="15">
        <f t="shared" si="66"/>
        <v>275.45216771923077</v>
      </c>
      <c r="AP26" s="15">
        <f t="shared" si="8"/>
        <v>275.45216771923077</v>
      </c>
      <c r="AQ26" s="15">
        <f t="shared" si="9"/>
        <v>275.45216771923077</v>
      </c>
      <c r="AR26" s="127">
        <f t="shared" si="32"/>
        <v>0</v>
      </c>
      <c r="AS26" s="112">
        <f t="shared" si="10"/>
        <v>908760.77365257742</v>
      </c>
      <c r="AT26" s="112">
        <f t="shared" si="10"/>
        <v>0</v>
      </c>
      <c r="AU26" s="112">
        <f t="shared" si="10"/>
        <v>0</v>
      </c>
      <c r="AV26" s="112">
        <f t="shared" si="10"/>
        <v>0</v>
      </c>
      <c r="AW26" s="112">
        <f t="shared" si="10"/>
        <v>0</v>
      </c>
      <c r="AX26" s="112">
        <f t="shared" si="46"/>
        <v>908760.77365257742</v>
      </c>
      <c r="AY26" s="112">
        <f t="shared" si="47"/>
        <v>908760.77365257742</v>
      </c>
      <c r="AZ26" s="112">
        <f t="shared" si="11"/>
        <v>913114.01971121202</v>
      </c>
      <c r="BA26" s="112">
        <f t="shared" si="11"/>
        <v>0</v>
      </c>
      <c r="BB26" s="112">
        <f t="shared" si="11"/>
        <v>0</v>
      </c>
      <c r="BC26" s="112">
        <f t="shared" si="11"/>
        <v>0</v>
      </c>
      <c r="BD26" s="112">
        <f t="shared" si="11"/>
        <v>0</v>
      </c>
      <c r="BE26" s="112">
        <f t="shared" si="48"/>
        <v>913114.01971121202</v>
      </c>
      <c r="BF26" s="112">
        <f t="shared" si="49"/>
        <v>913114.01971121202</v>
      </c>
      <c r="BG26" s="112"/>
      <c r="BH26" s="112"/>
      <c r="BI26" s="112">
        <f t="shared" si="5"/>
        <v>0</v>
      </c>
      <c r="BJ26" s="112"/>
      <c r="BK26" s="112"/>
      <c r="BL26" s="112">
        <f t="shared" si="53"/>
        <v>574915.01445413032</v>
      </c>
      <c r="BM26" s="112">
        <f t="shared" si="53"/>
        <v>0</v>
      </c>
      <c r="BN26" s="112">
        <f t="shared" si="12"/>
        <v>0</v>
      </c>
      <c r="BO26" s="112">
        <f t="shared" si="12"/>
        <v>0</v>
      </c>
      <c r="BP26" s="112">
        <f t="shared" si="12"/>
        <v>0</v>
      </c>
      <c r="BQ26" s="112">
        <f t="shared" si="54"/>
        <v>574915.01445413032</v>
      </c>
      <c r="BR26" s="112">
        <f t="shared" si="55"/>
        <v>574915.01445413032</v>
      </c>
      <c r="BS26" s="112">
        <f t="shared" si="56"/>
        <v>335444.98396425776</v>
      </c>
      <c r="BT26" s="112">
        <f t="shared" si="56"/>
        <v>0</v>
      </c>
      <c r="BU26" s="112">
        <f t="shared" si="13"/>
        <v>0</v>
      </c>
      <c r="BV26" s="112">
        <f t="shared" si="57"/>
        <v>0</v>
      </c>
      <c r="BW26" s="112">
        <f t="shared" si="14"/>
        <v>0</v>
      </c>
      <c r="BX26" s="112">
        <f t="shared" si="58"/>
        <v>335444.98396425776</v>
      </c>
      <c r="BY26" s="112">
        <f t="shared" si="59"/>
        <v>335444.98396425776</v>
      </c>
      <c r="BZ26" s="113">
        <f t="shared" si="60"/>
        <v>0</v>
      </c>
      <c r="CA26" s="113">
        <f t="shared" si="33"/>
        <v>0</v>
      </c>
      <c r="CB26" s="113">
        <f t="shared" si="61"/>
        <v>0</v>
      </c>
      <c r="CC26" s="119" t="e">
        <f t="shared" si="62"/>
        <v>#DIV/0!</v>
      </c>
      <c r="CD26" s="119" t="e">
        <f t="shared" si="34"/>
        <v>#DIV/0!</v>
      </c>
      <c r="CE26" s="119" t="e">
        <f t="shared" si="35"/>
        <v>#DIV/0!</v>
      </c>
      <c r="CF26" s="113" t="e">
        <f t="shared" si="15"/>
        <v>#DIV/0!</v>
      </c>
      <c r="CG26" s="619">
        <f t="shared" si="16"/>
        <v>0</v>
      </c>
      <c r="CH26" s="132" t="e">
        <f t="shared" si="36"/>
        <v>#DIV/0!</v>
      </c>
      <c r="CI26" s="106"/>
      <c r="CJ26" s="208">
        <f t="shared" si="37"/>
        <v>577.66903574695414</v>
      </c>
      <c r="CK26" s="208">
        <f t="shared" si="17"/>
        <v>335.44498396425774</v>
      </c>
      <c r="CL26" s="208">
        <f t="shared" si="38"/>
        <v>913.11401971121188</v>
      </c>
      <c r="CM26" s="18">
        <f t="shared" si="39"/>
        <v>913.11401971121199</v>
      </c>
      <c r="CN26" s="18">
        <f t="shared" si="40"/>
        <v>0</v>
      </c>
      <c r="CO26" s="112">
        <f t="shared" si="18"/>
        <v>910359.99841838807</v>
      </c>
      <c r="CP26" s="112">
        <f t="shared" si="19"/>
        <v>908760.77365257742</v>
      </c>
      <c r="CQ26" s="112">
        <f t="shared" si="20"/>
        <v>908760.77365257742</v>
      </c>
      <c r="CR26" s="112">
        <f t="shared" si="21"/>
        <v>574915.01445413032</v>
      </c>
      <c r="CS26" s="112">
        <f t="shared" si="22"/>
        <v>913114.01971121202</v>
      </c>
      <c r="CT26" s="112">
        <f t="shared" si="23"/>
        <v>913114.01971121202</v>
      </c>
      <c r="CU26" s="112">
        <f t="shared" si="24"/>
        <v>335444.98396425776</v>
      </c>
      <c r="CV26" s="112">
        <f t="shared" si="41"/>
        <v>1821874.7933637896</v>
      </c>
      <c r="CW26" s="843">
        <f t="shared" si="42"/>
        <v>6614.1239999999998</v>
      </c>
      <c r="CX26" s="112">
        <f t="shared" si="25"/>
        <v>0</v>
      </c>
      <c r="CY26" s="112">
        <f t="shared" si="26"/>
        <v>0</v>
      </c>
      <c r="CZ26" s="112"/>
      <c r="DA26" s="112">
        <f t="shared" si="27"/>
        <v>908760.77365257742</v>
      </c>
      <c r="DB26" s="112">
        <f t="shared" si="28"/>
        <v>913114.01971121202</v>
      </c>
      <c r="DC26" s="106"/>
      <c r="DD26" s="128" t="e">
        <f t="shared" si="43"/>
        <v>#DIV/0!</v>
      </c>
      <c r="DE26" s="106"/>
      <c r="DF26" s="106"/>
      <c r="DG26" s="106"/>
      <c r="DH26" s="797">
        <v>284.18700000000001</v>
      </c>
      <c r="DI26" s="797">
        <v>0</v>
      </c>
      <c r="DJ26" s="797">
        <f t="shared" si="44"/>
        <v>284.18700000000001</v>
      </c>
      <c r="DK26" s="106"/>
      <c r="DL26" s="618">
        <f t="shared" si="29"/>
        <v>0</v>
      </c>
      <c r="DM26" s="618">
        <f t="shared" si="30"/>
        <v>0</v>
      </c>
      <c r="DN26" s="618">
        <f t="shared" si="31"/>
        <v>0</v>
      </c>
      <c r="DO26" s="115"/>
    </row>
    <row r="27" spans="1:119" customFormat="1" ht="100.5" customHeight="1">
      <c r="A27" s="20">
        <f t="shared" si="45"/>
        <v>14</v>
      </c>
      <c r="B27" s="1285"/>
      <c r="C27" s="757" t="s">
        <v>80</v>
      </c>
      <c r="D27" s="824" t="s">
        <v>141</v>
      </c>
      <c r="E27" s="617">
        <v>4632024035</v>
      </c>
      <c r="F27" s="1280" t="s">
        <v>8</v>
      </c>
      <c r="G27" s="1245" t="s">
        <v>956</v>
      </c>
      <c r="H27" s="866">
        <v>3299.1600000000003</v>
      </c>
      <c r="I27" s="825">
        <v>3299.1600000000003</v>
      </c>
      <c r="J27" s="756"/>
      <c r="K27" s="756"/>
      <c r="L27" s="872">
        <v>3299.1600000000003</v>
      </c>
      <c r="M27" s="867"/>
      <c r="N27" s="1207">
        <f t="shared" si="63"/>
        <v>3314.9639999999995</v>
      </c>
      <c r="O27" s="1208">
        <f t="shared" si="64"/>
        <v>3314.9639999999995</v>
      </c>
      <c r="P27" s="963"/>
      <c r="Q27" s="963"/>
      <c r="R27" s="1208">
        <f t="shared" si="65"/>
        <v>3314.9639999999995</v>
      </c>
      <c r="S27" s="910"/>
      <c r="T27" s="968">
        <v>174.26102839938963</v>
      </c>
      <c r="U27" s="15"/>
      <c r="V27" s="208"/>
      <c r="W27" s="15"/>
      <c r="X27" s="15"/>
      <c r="Y27" s="15"/>
      <c r="Z27" s="926">
        <f t="shared" si="50"/>
        <v>174.26102839938963</v>
      </c>
      <c r="AA27" s="972">
        <v>101.19113931984113</v>
      </c>
      <c r="AB27" s="15"/>
      <c r="AC27" s="208"/>
      <c r="AD27" s="15"/>
      <c r="AE27" s="15"/>
      <c r="AF27" s="15"/>
      <c r="AG27" s="926">
        <f t="shared" si="51"/>
        <v>101.19113931984113</v>
      </c>
      <c r="AH27" s="894">
        <f t="shared" si="52"/>
        <v>275.45216771923077</v>
      </c>
      <c r="AI27" s="15">
        <f t="shared" si="6"/>
        <v>275.45216771923077</v>
      </c>
      <c r="AJ27" s="15">
        <f t="shared" si="6"/>
        <v>0</v>
      </c>
      <c r="AK27" s="15">
        <f t="shared" si="6"/>
        <v>0</v>
      </c>
      <c r="AL27" s="15">
        <f t="shared" si="6"/>
        <v>0</v>
      </c>
      <c r="AM27" s="15">
        <f t="shared" si="6"/>
        <v>0</v>
      </c>
      <c r="AN27" s="15"/>
      <c r="AO27" s="15">
        <f t="shared" si="66"/>
        <v>275.45216771923077</v>
      </c>
      <c r="AP27" s="15">
        <f t="shared" si="8"/>
        <v>275.45216771923077</v>
      </c>
      <c r="AQ27" s="15">
        <f t="shared" si="9"/>
        <v>275.45216771923077</v>
      </c>
      <c r="AR27" s="127">
        <f t="shared" si="32"/>
        <v>0</v>
      </c>
      <c r="AS27" s="112">
        <f t="shared" si="10"/>
        <v>908760.77365257742</v>
      </c>
      <c r="AT27" s="112">
        <f t="shared" si="10"/>
        <v>0</v>
      </c>
      <c r="AU27" s="112">
        <f t="shared" si="10"/>
        <v>0</v>
      </c>
      <c r="AV27" s="112">
        <f t="shared" si="10"/>
        <v>0</v>
      </c>
      <c r="AW27" s="112">
        <f t="shared" si="10"/>
        <v>0</v>
      </c>
      <c r="AX27" s="112">
        <f t="shared" si="46"/>
        <v>908760.77365257742</v>
      </c>
      <c r="AY27" s="112">
        <f t="shared" si="47"/>
        <v>908760.77365257742</v>
      </c>
      <c r="AZ27" s="112">
        <f t="shared" si="11"/>
        <v>913114.01971121202</v>
      </c>
      <c r="BA27" s="112">
        <f t="shared" si="11"/>
        <v>0</v>
      </c>
      <c r="BB27" s="112">
        <f t="shared" si="11"/>
        <v>0</v>
      </c>
      <c r="BC27" s="112">
        <f t="shared" si="11"/>
        <v>0</v>
      </c>
      <c r="BD27" s="112">
        <f t="shared" si="11"/>
        <v>0</v>
      </c>
      <c r="BE27" s="112">
        <f t="shared" si="48"/>
        <v>913114.01971121202</v>
      </c>
      <c r="BF27" s="112">
        <f t="shared" si="49"/>
        <v>913114.01971121202</v>
      </c>
      <c r="BG27" s="112"/>
      <c r="BH27" s="112"/>
      <c r="BI27" s="112">
        <f t="shared" si="5"/>
        <v>0</v>
      </c>
      <c r="BJ27" s="112"/>
      <c r="BK27" s="112"/>
      <c r="BL27" s="112">
        <f t="shared" si="53"/>
        <v>574915.01445413032</v>
      </c>
      <c r="BM27" s="112">
        <f t="shared" si="53"/>
        <v>0</v>
      </c>
      <c r="BN27" s="112">
        <f t="shared" si="12"/>
        <v>0</v>
      </c>
      <c r="BO27" s="112">
        <f t="shared" si="12"/>
        <v>0</v>
      </c>
      <c r="BP27" s="112">
        <f t="shared" si="12"/>
        <v>0</v>
      </c>
      <c r="BQ27" s="112">
        <f t="shared" si="54"/>
        <v>574915.01445413032</v>
      </c>
      <c r="BR27" s="112">
        <f t="shared" si="55"/>
        <v>574915.01445413032</v>
      </c>
      <c r="BS27" s="112">
        <f t="shared" si="56"/>
        <v>335444.98396425776</v>
      </c>
      <c r="BT27" s="112">
        <f t="shared" si="56"/>
        <v>0</v>
      </c>
      <c r="BU27" s="112">
        <f t="shared" si="13"/>
        <v>0</v>
      </c>
      <c r="BV27" s="112">
        <f t="shared" si="57"/>
        <v>0</v>
      </c>
      <c r="BW27" s="112">
        <f t="shared" si="14"/>
        <v>0</v>
      </c>
      <c r="BX27" s="112">
        <f t="shared" si="58"/>
        <v>335444.98396425776</v>
      </c>
      <c r="BY27" s="112">
        <f t="shared" si="59"/>
        <v>335444.98396425776</v>
      </c>
      <c r="BZ27" s="113">
        <f t="shared" si="60"/>
        <v>0</v>
      </c>
      <c r="CA27" s="113">
        <f t="shared" si="33"/>
        <v>0</v>
      </c>
      <c r="CB27" s="113">
        <f t="shared" si="61"/>
        <v>0</v>
      </c>
      <c r="CC27" s="119" t="e">
        <f t="shared" si="62"/>
        <v>#DIV/0!</v>
      </c>
      <c r="CD27" s="119" t="e">
        <f t="shared" si="34"/>
        <v>#DIV/0!</v>
      </c>
      <c r="CE27" s="119" t="e">
        <f t="shared" si="35"/>
        <v>#DIV/0!</v>
      </c>
      <c r="CF27" s="113" t="e">
        <f t="shared" si="15"/>
        <v>#DIV/0!</v>
      </c>
      <c r="CG27" s="619">
        <f t="shared" si="16"/>
        <v>0</v>
      </c>
      <c r="CH27" s="132" t="e">
        <f t="shared" si="36"/>
        <v>#DIV/0!</v>
      </c>
      <c r="CI27" s="106"/>
      <c r="CJ27" s="208">
        <f t="shared" si="37"/>
        <v>577.66903574695414</v>
      </c>
      <c r="CK27" s="208">
        <f t="shared" si="17"/>
        <v>335.44498396425774</v>
      </c>
      <c r="CL27" s="208">
        <f t="shared" si="38"/>
        <v>913.11401971121188</v>
      </c>
      <c r="CM27" s="18">
        <f t="shared" si="39"/>
        <v>913.11401971121199</v>
      </c>
      <c r="CN27" s="18">
        <f t="shared" si="40"/>
        <v>0</v>
      </c>
      <c r="CO27" s="112">
        <f t="shared" si="18"/>
        <v>910359.99841838807</v>
      </c>
      <c r="CP27" s="112">
        <f t="shared" si="19"/>
        <v>908760.77365257742</v>
      </c>
      <c r="CQ27" s="112">
        <f t="shared" si="20"/>
        <v>908760.77365257742</v>
      </c>
      <c r="CR27" s="112">
        <f t="shared" si="21"/>
        <v>574915.01445413032</v>
      </c>
      <c r="CS27" s="112">
        <f t="shared" si="22"/>
        <v>913114.01971121202</v>
      </c>
      <c r="CT27" s="112">
        <f t="shared" si="23"/>
        <v>913114.01971121202</v>
      </c>
      <c r="CU27" s="112">
        <f t="shared" si="24"/>
        <v>335444.98396425776</v>
      </c>
      <c r="CV27" s="112">
        <f t="shared" si="41"/>
        <v>1821874.7933637896</v>
      </c>
      <c r="CW27" s="843">
        <f t="shared" si="42"/>
        <v>6614.1239999999998</v>
      </c>
      <c r="CX27" s="112">
        <f t="shared" si="25"/>
        <v>0</v>
      </c>
      <c r="CY27" s="112">
        <f t="shared" si="26"/>
        <v>0</v>
      </c>
      <c r="CZ27" s="112"/>
      <c r="DA27" s="112">
        <f t="shared" si="27"/>
        <v>908760.77365257742</v>
      </c>
      <c r="DB27" s="112">
        <f t="shared" si="28"/>
        <v>913114.01971121202</v>
      </c>
      <c r="DC27" s="106"/>
      <c r="DD27" s="128" t="e">
        <f t="shared" si="43"/>
        <v>#DIV/0!</v>
      </c>
      <c r="DE27" s="106"/>
      <c r="DF27" s="106"/>
      <c r="DG27" s="106"/>
      <c r="DH27" s="797">
        <v>284.18700000000001</v>
      </c>
      <c r="DI27" s="797">
        <v>0</v>
      </c>
      <c r="DJ27" s="797">
        <f t="shared" si="44"/>
        <v>284.18700000000001</v>
      </c>
      <c r="DK27" s="106"/>
      <c r="DL27" s="618">
        <f t="shared" si="29"/>
        <v>0</v>
      </c>
      <c r="DM27" s="618">
        <f t="shared" si="30"/>
        <v>0</v>
      </c>
      <c r="DN27" s="618">
        <f t="shared" si="31"/>
        <v>0</v>
      </c>
      <c r="DO27" s="115"/>
    </row>
    <row r="28" spans="1:119" customFormat="1" ht="100.5" customHeight="1">
      <c r="A28" s="20">
        <f t="shared" si="45"/>
        <v>15</v>
      </c>
      <c r="B28" s="966" t="s">
        <v>12</v>
      </c>
      <c r="C28" s="966" t="s">
        <v>81</v>
      </c>
      <c r="D28" s="967" t="s">
        <v>141</v>
      </c>
      <c r="E28" s="617">
        <v>4632024035</v>
      </c>
      <c r="F28" s="1280" t="s">
        <v>8</v>
      </c>
      <c r="G28" s="1245" t="s">
        <v>956</v>
      </c>
      <c r="H28" s="866">
        <v>3299.1600000000003</v>
      </c>
      <c r="I28" s="825">
        <v>3299.1600000000003</v>
      </c>
      <c r="J28" s="756">
        <v>2239.86</v>
      </c>
      <c r="K28" s="756"/>
      <c r="L28" s="872">
        <v>3299.1600000000003</v>
      </c>
      <c r="M28" s="867"/>
      <c r="N28" s="1207">
        <f t="shared" si="63"/>
        <v>3314.9639999999995</v>
      </c>
      <c r="O28" s="1208">
        <f t="shared" si="64"/>
        <v>3314.9639999999995</v>
      </c>
      <c r="P28" s="964">
        <v>2484</v>
      </c>
      <c r="Q28" s="964"/>
      <c r="R28" s="1208">
        <f t="shared" si="65"/>
        <v>3314.9639999999995</v>
      </c>
      <c r="S28" s="910"/>
      <c r="T28" s="973">
        <v>3593.4485623982664</v>
      </c>
      <c r="U28" s="974">
        <v>5550.1285077705288</v>
      </c>
      <c r="V28" s="977"/>
      <c r="W28" s="974"/>
      <c r="X28" s="974"/>
      <c r="Y28" s="974"/>
      <c r="Z28" s="978">
        <f t="shared" si="50"/>
        <v>9143.5770701687943</v>
      </c>
      <c r="AA28" s="975">
        <v>2113.0435179522956</v>
      </c>
      <c r="AB28" s="974">
        <v>4162.5963808278966</v>
      </c>
      <c r="AC28" s="227"/>
      <c r="AD28" s="16"/>
      <c r="AE28" s="16"/>
      <c r="AF28" s="16"/>
      <c r="AG28" s="926">
        <f t="shared" si="51"/>
        <v>6275.6398987801922</v>
      </c>
      <c r="AH28" s="894">
        <f t="shared" si="52"/>
        <v>15419.216968948986</v>
      </c>
      <c r="AI28" s="15">
        <f t="shared" si="6"/>
        <v>5706.492080350562</v>
      </c>
      <c r="AJ28" s="15">
        <f t="shared" si="6"/>
        <v>9712.7248885984263</v>
      </c>
      <c r="AK28" s="15">
        <f t="shared" si="6"/>
        <v>0</v>
      </c>
      <c r="AL28" s="15">
        <f t="shared" si="6"/>
        <v>0</v>
      </c>
      <c r="AM28" s="15">
        <f t="shared" si="6"/>
        <v>0</v>
      </c>
      <c r="AN28" s="15"/>
      <c r="AO28" s="15">
        <f t="shared" ref="AO28:AO91" si="67">SUM(AI28:AN28)</f>
        <v>15419.216968948989</v>
      </c>
      <c r="AP28" s="15">
        <f t="shared" ref="AP28:AP91" si="68">SUM(AI28:AM28)</f>
        <v>15419.216968948989</v>
      </c>
      <c r="AQ28" s="15">
        <f t="shared" ref="AQ28:AQ71" si="69">SUM(AI28:AL28)</f>
        <v>15419.216968948989</v>
      </c>
      <c r="AR28" s="127">
        <f t="shared" si="32"/>
        <v>0</v>
      </c>
      <c r="AS28" s="112">
        <f t="shared" si="10"/>
        <v>18826630.411809362</v>
      </c>
      <c r="AT28" s="112">
        <f t="shared" si="10"/>
        <v>21755143.968976073</v>
      </c>
      <c r="AU28" s="112">
        <f t="shared" si="10"/>
        <v>0</v>
      </c>
      <c r="AV28" s="112">
        <f t="shared" si="10"/>
        <v>0</v>
      </c>
      <c r="AW28" s="112">
        <f t="shared" si="10"/>
        <v>0</v>
      </c>
      <c r="AX28" s="112">
        <f t="shared" si="46"/>
        <v>40581774.380785435</v>
      </c>
      <c r="AY28" s="112">
        <f t="shared" si="47"/>
        <v>40581774.380785435</v>
      </c>
      <c r="AZ28" s="112">
        <f t="shared" si="11"/>
        <v>18916815.812647216</v>
      </c>
      <c r="BA28" s="112">
        <f t="shared" si="11"/>
        <v>24126408.623278491</v>
      </c>
      <c r="BB28" s="112">
        <f t="shared" si="11"/>
        <v>0</v>
      </c>
      <c r="BC28" s="112">
        <f t="shared" si="11"/>
        <v>0</v>
      </c>
      <c r="BD28" s="112">
        <f t="shared" si="11"/>
        <v>0</v>
      </c>
      <c r="BE28" s="112">
        <f t="shared" si="48"/>
        <v>43043224.435925707</v>
      </c>
      <c r="BF28" s="112">
        <f t="shared" si="49"/>
        <v>43043224.435925707</v>
      </c>
      <c r="BG28" s="623">
        <f>(O28-P28)/1.2*U28/1000</f>
        <v>3843.2974877758556</v>
      </c>
      <c r="BH28" s="624">
        <f>(O28-P28)/1.2*AB28/1000-0.0519074645999353</f>
        <v>2882.4212083672919</v>
      </c>
      <c r="BI28" s="623">
        <f t="shared" si="5"/>
        <v>6725.7186961431471</v>
      </c>
      <c r="BJ28" s="169"/>
      <c r="BK28" s="169"/>
      <c r="BL28" s="112">
        <f t="shared" si="53"/>
        <v>11855361.759121865</v>
      </c>
      <c r="BM28" s="112">
        <f t="shared" si="53"/>
        <v>12431510.839414896</v>
      </c>
      <c r="BN28" s="112">
        <f t="shared" si="12"/>
        <v>0</v>
      </c>
      <c r="BO28" s="112">
        <f t="shared" si="12"/>
        <v>0</v>
      </c>
      <c r="BP28" s="112">
        <f t="shared" si="12"/>
        <v>0</v>
      </c>
      <c r="BQ28" s="112">
        <f t="shared" si="54"/>
        <v>24286872.59853676</v>
      </c>
      <c r="BR28" s="112">
        <f t="shared" si="55"/>
        <v>24286872.59853676</v>
      </c>
      <c r="BS28" s="112">
        <f t="shared" si="56"/>
        <v>7004663.192445212</v>
      </c>
      <c r="BT28" s="112">
        <f t="shared" si="56"/>
        <v>10339889.409976495</v>
      </c>
      <c r="BU28" s="112">
        <f t="shared" si="13"/>
        <v>0</v>
      </c>
      <c r="BV28" s="112">
        <f t="shared" si="57"/>
        <v>0</v>
      </c>
      <c r="BW28" s="112">
        <f t="shared" si="14"/>
        <v>0</v>
      </c>
      <c r="BX28" s="112">
        <f t="shared" si="58"/>
        <v>17344552.602421708</v>
      </c>
      <c r="BY28" s="112">
        <f t="shared" si="59"/>
        <v>17344552.602421708</v>
      </c>
      <c r="BZ28" s="113">
        <f t="shared" si="60"/>
        <v>22771400.249391392</v>
      </c>
      <c r="CA28" s="113">
        <f t="shared" si="33"/>
        <v>0</v>
      </c>
      <c r="CB28" s="113">
        <f t="shared" si="61"/>
        <v>22771400.249391392</v>
      </c>
      <c r="CC28" s="119">
        <f t="shared" si="62"/>
        <v>2344.4914285714285</v>
      </c>
      <c r="CD28" s="119" t="e">
        <f t="shared" si="34"/>
        <v>#DIV/0!</v>
      </c>
      <c r="CE28" s="119">
        <f t="shared" si="35"/>
        <v>2344.4914285714285</v>
      </c>
      <c r="CF28" s="119">
        <f t="shared" si="15"/>
        <v>2344.4914285714285</v>
      </c>
      <c r="CG28" s="619">
        <f t="shared" si="16"/>
        <v>32109619.116670985</v>
      </c>
      <c r="CH28" s="132">
        <f t="shared" si="36"/>
        <v>3305.9331428571427</v>
      </c>
      <c r="CI28" s="625"/>
      <c r="CJ28" s="208">
        <f t="shared" si="37"/>
        <v>30310.628818835023</v>
      </c>
      <c r="CK28" s="208">
        <f t="shared" si="17"/>
        <v>20803.520341419975</v>
      </c>
      <c r="CL28" s="208">
        <f t="shared" si="38"/>
        <v>51114.149160254994</v>
      </c>
      <c r="CM28" s="18">
        <f t="shared" si="39"/>
        <v>51114.149160255001</v>
      </c>
      <c r="CN28" s="18">
        <f t="shared" si="40"/>
        <v>0</v>
      </c>
      <c r="CO28" s="112">
        <f t="shared" si="18"/>
        <v>50969644.068238057</v>
      </c>
      <c r="CP28" s="112">
        <f t="shared" si="19"/>
        <v>40581774.380785435</v>
      </c>
      <c r="CQ28" s="112">
        <f t="shared" si="20"/>
        <v>40581774.380785435</v>
      </c>
      <c r="CR28" s="112">
        <f t="shared" si="21"/>
        <v>24286872.59853676</v>
      </c>
      <c r="CS28" s="112">
        <f t="shared" si="22"/>
        <v>43043224.435925707</v>
      </c>
      <c r="CT28" s="112">
        <f t="shared" si="23"/>
        <v>43043224.435925707</v>
      </c>
      <c r="CU28" s="112">
        <f t="shared" si="24"/>
        <v>17344552.602421708</v>
      </c>
      <c r="CV28" s="112">
        <f t="shared" si="41"/>
        <v>83624998.816711143</v>
      </c>
      <c r="CW28" s="843">
        <f t="shared" si="42"/>
        <v>5423.4270770762259</v>
      </c>
      <c r="CX28" s="112">
        <f t="shared" si="25"/>
        <v>21755143.968976073</v>
      </c>
      <c r="CY28" s="112">
        <f t="shared" si="26"/>
        <v>24126408.623278491</v>
      </c>
      <c r="CZ28" s="112"/>
      <c r="DA28" s="112">
        <f t="shared" si="27"/>
        <v>50870463.855277747</v>
      </c>
      <c r="DB28" s="112">
        <f t="shared" si="28"/>
        <v>51114149.160255</v>
      </c>
      <c r="DC28" s="625"/>
      <c r="DD28" s="128">
        <f t="shared" si="43"/>
        <v>147.99871420535209</v>
      </c>
      <c r="DE28" s="625"/>
      <c r="DF28" s="625"/>
      <c r="DG28" s="625"/>
      <c r="DH28" s="797">
        <v>15908.176500000001</v>
      </c>
      <c r="DI28" s="797">
        <v>10020.723999999998</v>
      </c>
      <c r="DJ28" s="797">
        <f t="shared" si="44"/>
        <v>5887.4525000000031</v>
      </c>
      <c r="DK28" s="625"/>
      <c r="DL28" s="618">
        <f t="shared" si="29"/>
        <v>0</v>
      </c>
      <c r="DM28" s="618">
        <f t="shared" si="30"/>
        <v>0</v>
      </c>
      <c r="DN28" s="618">
        <f t="shared" si="31"/>
        <v>0</v>
      </c>
      <c r="DO28" s="123"/>
    </row>
    <row r="29" spans="1:119" customFormat="1" ht="100.5" customHeight="1">
      <c r="A29" s="20">
        <f t="shared" si="45"/>
        <v>16</v>
      </c>
      <c r="B29" s="1278" t="s">
        <v>13</v>
      </c>
      <c r="C29" s="1036" t="s">
        <v>83</v>
      </c>
      <c r="D29" s="1036" t="s">
        <v>82</v>
      </c>
      <c r="E29" s="626">
        <v>4633037132</v>
      </c>
      <c r="F29" s="1" t="s">
        <v>8</v>
      </c>
      <c r="G29" s="847" t="s">
        <v>967</v>
      </c>
      <c r="H29" s="874">
        <v>2678.7</v>
      </c>
      <c r="I29" s="756">
        <v>2678.7</v>
      </c>
      <c r="J29" s="826">
        <v>2208.35</v>
      </c>
      <c r="K29" s="756">
        <v>1788.0817500000001</v>
      </c>
      <c r="L29" s="756"/>
      <c r="M29" s="867"/>
      <c r="N29" s="1034">
        <v>2889.53</v>
      </c>
      <c r="O29" s="964">
        <v>2889.53</v>
      </c>
      <c r="P29" s="964">
        <v>2449.06</v>
      </c>
      <c r="Q29" s="964">
        <v>1982.98</v>
      </c>
      <c r="R29" s="10"/>
      <c r="S29" s="910"/>
      <c r="T29" s="1030">
        <v>754.10280700210478</v>
      </c>
      <c r="U29" s="1028">
        <v>4069.6165296242789</v>
      </c>
      <c r="V29" s="1029">
        <v>590.58045235738598</v>
      </c>
      <c r="W29" s="1028"/>
      <c r="X29" s="1028"/>
      <c r="Y29" s="1028"/>
      <c r="Z29" s="971">
        <f t="shared" si="50"/>
        <v>5414.2997889837698</v>
      </c>
      <c r="AA29" s="1031">
        <v>569.57460874335663</v>
      </c>
      <c r="AB29" s="1028">
        <v>3052.9622588150355</v>
      </c>
      <c r="AC29" s="1029">
        <v>592.37280909694277</v>
      </c>
      <c r="AD29" s="23"/>
      <c r="AE29" s="23"/>
      <c r="AF29" s="23"/>
      <c r="AG29" s="926">
        <f t="shared" si="51"/>
        <v>4214.9096766553348</v>
      </c>
      <c r="AH29" s="894">
        <f t="shared" si="52"/>
        <v>9629.2094656391055</v>
      </c>
      <c r="AI29" s="15">
        <f t="shared" si="6"/>
        <v>1323.6774157454615</v>
      </c>
      <c r="AJ29" s="15">
        <f t="shared" si="6"/>
        <v>7122.5787884393139</v>
      </c>
      <c r="AK29" s="15">
        <f t="shared" si="6"/>
        <v>1182.9532614543286</v>
      </c>
      <c r="AL29" s="15">
        <f t="shared" si="6"/>
        <v>0</v>
      </c>
      <c r="AM29" s="15">
        <f t="shared" si="6"/>
        <v>0</v>
      </c>
      <c r="AN29" s="15"/>
      <c r="AO29" s="15">
        <f t="shared" si="67"/>
        <v>9629.2094656391055</v>
      </c>
      <c r="AP29" s="15">
        <f t="shared" si="68"/>
        <v>9629.2094656391055</v>
      </c>
      <c r="AQ29" s="15">
        <f t="shared" si="69"/>
        <v>9629.2094656391055</v>
      </c>
      <c r="AR29" s="127">
        <f t="shared" si="32"/>
        <v>0</v>
      </c>
      <c r="AS29" s="112">
        <f t="shared" si="10"/>
        <v>3545734.6935573677</v>
      </c>
      <c r="AT29" s="112">
        <f t="shared" si="10"/>
        <v>15729146.867449958</v>
      </c>
      <c r="AU29" s="112">
        <f t="shared" si="10"/>
        <v>2115217.1379094636</v>
      </c>
      <c r="AV29" s="118">
        <f t="shared" si="10"/>
        <v>0</v>
      </c>
      <c r="AW29" s="118">
        <f t="shared" si="10"/>
        <v>0</v>
      </c>
      <c r="AX29" s="112">
        <f t="shared" si="46"/>
        <v>21390098.698916789</v>
      </c>
      <c r="AY29" s="112">
        <f t="shared" si="47"/>
        <v>21390098.698916789</v>
      </c>
      <c r="AZ29" s="112">
        <f t="shared" si="11"/>
        <v>3824805.6031189836</v>
      </c>
      <c r="BA29" s="112">
        <f t="shared" si="11"/>
        <v>17443622.807615187</v>
      </c>
      <c r="BB29" s="112">
        <f t="shared" si="11"/>
        <v>2345772.6583987046</v>
      </c>
      <c r="BC29" s="112">
        <f t="shared" si="11"/>
        <v>0</v>
      </c>
      <c r="BD29" s="112">
        <f t="shared" si="11"/>
        <v>0</v>
      </c>
      <c r="BE29" s="112">
        <f t="shared" si="48"/>
        <v>23614201.069132872</v>
      </c>
      <c r="BF29" s="112">
        <f t="shared" si="49"/>
        <v>23614201.069132872</v>
      </c>
      <c r="BG29" s="1038">
        <f>(O29-P29)*U29/1000+(O29-Q29)*V29/1000</f>
        <v>2327.9347018881954</v>
      </c>
      <c r="BH29" s="1039">
        <f>(O29-P29)*AB29/1000+(O29-Q29)*AC29/1000</f>
        <v>1881.7538562270929</v>
      </c>
      <c r="BI29" s="1038">
        <f>BG29+BH29+0.0727996472733139</f>
        <v>4209.7613577625616</v>
      </c>
      <c r="BJ29" s="1255">
        <v>57012.317550545107</v>
      </c>
      <c r="BK29" s="1214">
        <v>55327.080106317306</v>
      </c>
      <c r="BL29" s="112">
        <f t="shared" si="53"/>
        <v>2020015.189116538</v>
      </c>
      <c r="BM29" s="112">
        <f t="shared" si="53"/>
        <v>8987137.6631957758</v>
      </c>
      <c r="BN29" s="112">
        <f t="shared" si="12"/>
        <v>1056006.1287669863</v>
      </c>
      <c r="BO29" s="112">
        <f t="shared" si="12"/>
        <v>0</v>
      </c>
      <c r="BP29" s="112">
        <f t="shared" si="12"/>
        <v>0</v>
      </c>
      <c r="BQ29" s="112">
        <f t="shared" si="54"/>
        <v>12063158.981079299</v>
      </c>
      <c r="BR29" s="112">
        <f t="shared" si="55"/>
        <v>12063158.981079299</v>
      </c>
      <c r="BS29" s="112">
        <f t="shared" si="56"/>
        <v>1645802.9192021915</v>
      </c>
      <c r="BT29" s="112">
        <f t="shared" si="56"/>
        <v>7476887.7495735511</v>
      </c>
      <c r="BU29" s="112">
        <f t="shared" si="13"/>
        <v>1174663.4329830555</v>
      </c>
      <c r="BV29" s="112">
        <f t="shared" si="57"/>
        <v>0</v>
      </c>
      <c r="BW29" s="112">
        <f t="shared" si="14"/>
        <v>0</v>
      </c>
      <c r="BX29" s="112">
        <f t="shared" si="58"/>
        <v>10297354.101758799</v>
      </c>
      <c r="BY29" s="112">
        <f t="shared" si="59"/>
        <v>10297354.101758799</v>
      </c>
      <c r="BZ29" s="113">
        <f t="shared" si="60"/>
        <v>16464025.412769327</v>
      </c>
      <c r="CA29" s="113">
        <f t="shared" si="33"/>
        <v>2230669.5617500418</v>
      </c>
      <c r="CB29" s="113">
        <f t="shared" si="61"/>
        <v>18694694.974519368</v>
      </c>
      <c r="CC29" s="119">
        <f t="shared" si="62"/>
        <v>2311.5259096174764</v>
      </c>
      <c r="CD29" s="119">
        <f t="shared" si="34"/>
        <v>1885.678525462321</v>
      </c>
      <c r="CE29" s="119">
        <f t="shared" si="35"/>
        <v>2250.8726547817928</v>
      </c>
      <c r="CF29" s="119">
        <f t="shared" si="15"/>
        <v>2250.8726547817923</v>
      </c>
      <c r="CG29" s="619">
        <f t="shared" si="16"/>
        <v>23016574.694417983</v>
      </c>
      <c r="CH29" s="132">
        <f t="shared" si="36"/>
        <v>2771.2342275186002</v>
      </c>
      <c r="CI29" s="128"/>
      <c r="CJ29" s="1040">
        <f t="shared" si="37"/>
        <v>15644.781669262273</v>
      </c>
      <c r="CK29" s="1040">
        <f t="shared" si="17"/>
        <v>12179.107957985891</v>
      </c>
      <c r="CL29" s="1040">
        <f>CJ29+CK29+0.0890459272777662</f>
        <v>27823.978673175443</v>
      </c>
      <c r="CM29" s="18">
        <f t="shared" si="39"/>
        <v>27823.889627248169</v>
      </c>
      <c r="CN29" s="18">
        <f t="shared" si="40"/>
        <v>-8.9045927274128189E-2</v>
      </c>
      <c r="CO29" s="112">
        <f t="shared" si="18"/>
        <v>26682392.802736714</v>
      </c>
      <c r="CP29" s="112">
        <f t="shared" si="19"/>
        <v>21390098.698916789</v>
      </c>
      <c r="CQ29" s="112">
        <f t="shared" si="20"/>
        <v>21887256.395939991</v>
      </c>
      <c r="CR29" s="112">
        <f t="shared" si="21"/>
        <v>12063158.981079299</v>
      </c>
      <c r="CS29" s="112">
        <f t="shared" si="22"/>
        <v>23614201.069132872</v>
      </c>
      <c r="CT29" s="112">
        <f t="shared" si="23"/>
        <v>24165551.925231505</v>
      </c>
      <c r="CU29" s="112">
        <f t="shared" si="24"/>
        <v>10297354.101758799</v>
      </c>
      <c r="CV29" s="112">
        <f t="shared" si="41"/>
        <v>45004299.768049657</v>
      </c>
      <c r="CW29" s="843">
        <f t="shared" si="42"/>
        <v>4673.727363460428</v>
      </c>
      <c r="CX29" s="112">
        <f t="shared" si="25"/>
        <v>17844364.005359422</v>
      </c>
      <c r="CY29" s="112">
        <f t="shared" si="26"/>
        <v>19789395.466013893</v>
      </c>
      <c r="CZ29" s="112"/>
      <c r="DA29" s="112">
        <f t="shared" si="27"/>
        <v>25793763.395607464</v>
      </c>
      <c r="DB29" s="112">
        <f t="shared" si="28"/>
        <v>27823889.627248161</v>
      </c>
      <c r="DC29" s="128"/>
      <c r="DD29" s="128">
        <f t="shared" si="43"/>
        <v>130.8456539950642</v>
      </c>
      <c r="DE29" s="128"/>
      <c r="DF29" s="128"/>
      <c r="DG29" s="128"/>
      <c r="DH29" s="112">
        <v>9772.3045312928407</v>
      </c>
      <c r="DI29" s="797">
        <v>8444.3777042718102</v>
      </c>
      <c r="DJ29" s="797">
        <f t="shared" si="44"/>
        <v>1327.9268270210305</v>
      </c>
      <c r="DK29" s="128"/>
      <c r="DL29" s="618">
        <f t="shared" si="29"/>
        <v>0</v>
      </c>
      <c r="DM29" s="618">
        <f t="shared" si="30"/>
        <v>0</v>
      </c>
      <c r="DN29" s="618">
        <f t="shared" si="31"/>
        <v>0</v>
      </c>
      <c r="DO29" s="116"/>
    </row>
    <row r="30" spans="1:119" customFormat="1" ht="100.5" customHeight="1">
      <c r="A30" s="20">
        <f t="shared" si="45"/>
        <v>17</v>
      </c>
      <c r="B30" s="1281"/>
      <c r="C30" s="1037" t="s">
        <v>84</v>
      </c>
      <c r="D30" s="1037" t="s">
        <v>82</v>
      </c>
      <c r="E30" s="5" t="s">
        <v>231</v>
      </c>
      <c r="F30" s="5" t="s">
        <v>8</v>
      </c>
      <c r="G30" s="847" t="s">
        <v>967</v>
      </c>
      <c r="H30" s="868">
        <v>2678.7</v>
      </c>
      <c r="I30" s="756">
        <v>2678.7</v>
      </c>
      <c r="J30" s="826">
        <v>2283.75</v>
      </c>
      <c r="K30" s="826">
        <v>2283.75</v>
      </c>
      <c r="L30" s="826"/>
      <c r="M30" s="869"/>
      <c r="N30" s="1034">
        <v>2889.53</v>
      </c>
      <c r="O30" s="964">
        <v>2889.53</v>
      </c>
      <c r="P30" s="1035">
        <v>2449.06</v>
      </c>
      <c r="Q30" s="1035">
        <v>2449.06</v>
      </c>
      <c r="R30" s="36"/>
      <c r="S30" s="911"/>
      <c r="T30" s="1032">
        <v>432.22509330004323</v>
      </c>
      <c r="U30" s="1011">
        <v>1454.7084428728649</v>
      </c>
      <c r="V30" s="1012">
        <v>61.349944196051652</v>
      </c>
      <c r="W30" s="1011"/>
      <c r="X30" s="1011"/>
      <c r="Y30" s="1011"/>
      <c r="Z30" s="971">
        <f t="shared" si="50"/>
        <v>1948.2834803689598</v>
      </c>
      <c r="AA30" s="1033">
        <v>315.35747980412253</v>
      </c>
      <c r="AB30" s="1011">
        <v>1091.0289247947321</v>
      </c>
      <c r="AC30" s="1012">
        <v>23.771967882300935</v>
      </c>
      <c r="AD30" s="173"/>
      <c r="AE30" s="173"/>
      <c r="AF30" s="173"/>
      <c r="AG30" s="926">
        <f t="shared" si="51"/>
        <v>1430.1583724811555</v>
      </c>
      <c r="AH30" s="894">
        <f t="shared" si="52"/>
        <v>3378.4418528501155</v>
      </c>
      <c r="AI30" s="15">
        <f t="shared" ref="AI30:AM84" si="70">T30+AA30</f>
        <v>747.5825731041657</v>
      </c>
      <c r="AJ30" s="15">
        <f t="shared" si="70"/>
        <v>2545.737367667597</v>
      </c>
      <c r="AK30" s="15">
        <f t="shared" si="70"/>
        <v>85.12191207835258</v>
      </c>
      <c r="AL30" s="15">
        <f t="shared" si="70"/>
        <v>0</v>
      </c>
      <c r="AM30" s="15">
        <f t="shared" si="70"/>
        <v>0</v>
      </c>
      <c r="AN30" s="15"/>
      <c r="AO30" s="15">
        <f t="shared" si="67"/>
        <v>3378.4418528501155</v>
      </c>
      <c r="AP30" s="15">
        <f t="shared" si="68"/>
        <v>3378.4418528501155</v>
      </c>
      <c r="AQ30" s="15">
        <f t="shared" si="69"/>
        <v>3378.4418528501155</v>
      </c>
      <c r="AR30" s="127">
        <f t="shared" si="32"/>
        <v>0</v>
      </c>
      <c r="AS30" s="112">
        <f t="shared" ref="AS30:AW56" si="71">I30*AI30</f>
        <v>2002549.4385741286</v>
      </c>
      <c r="AT30" s="112">
        <f t="shared" si="71"/>
        <v>5813827.7134108748</v>
      </c>
      <c r="AU30" s="112">
        <f t="shared" si="71"/>
        <v>194397.1667089377</v>
      </c>
      <c r="AV30" s="118">
        <f t="shared" si="71"/>
        <v>0</v>
      </c>
      <c r="AW30" s="118">
        <f t="shared" si="71"/>
        <v>0</v>
      </c>
      <c r="AX30" s="112">
        <f t="shared" si="46"/>
        <v>8010774.3186939415</v>
      </c>
      <c r="AY30" s="112">
        <f t="shared" si="47"/>
        <v>8010774.3186939415</v>
      </c>
      <c r="AZ30" s="112">
        <f t="shared" ref="AZ30:BD56" si="72">O30*AI30</f>
        <v>2160162.2724616802</v>
      </c>
      <c r="BA30" s="112">
        <f t="shared" si="72"/>
        <v>6234663.5576600051</v>
      </c>
      <c r="BB30" s="112">
        <f t="shared" si="72"/>
        <v>208468.66999461016</v>
      </c>
      <c r="BC30" s="112">
        <f t="shared" si="72"/>
        <v>0</v>
      </c>
      <c r="BD30" s="112">
        <f t="shared" si="72"/>
        <v>0</v>
      </c>
      <c r="BE30" s="112">
        <f t="shared" si="48"/>
        <v>8603294.5001162942</v>
      </c>
      <c r="BF30" s="112">
        <f t="shared" si="49"/>
        <v>8603294.5001162942</v>
      </c>
      <c r="BG30" s="1038">
        <f>(O30-P30)*U30/1000+(O30-Q30)*V30/1000</f>
        <v>667.77823775224601</v>
      </c>
      <c r="BH30" s="1039">
        <f>(O30-P30)*AB30/1000+(O30-Q30)*AC30/1000</f>
        <v>491.03634919745303</v>
      </c>
      <c r="BI30" s="1038">
        <f>BG30+BH30</f>
        <v>1158.8145869496991</v>
      </c>
      <c r="BJ30" s="169"/>
      <c r="BK30" s="169"/>
      <c r="BL30" s="112">
        <f t="shared" si="53"/>
        <v>1157801.3574228256</v>
      </c>
      <c r="BM30" s="112">
        <f t="shared" si="53"/>
        <v>3322190.4064109051</v>
      </c>
      <c r="BN30" s="112">
        <f t="shared" si="53"/>
        <v>140107.93505773295</v>
      </c>
      <c r="BO30" s="112">
        <f t="shared" si="53"/>
        <v>0</v>
      </c>
      <c r="BP30" s="112">
        <f t="shared" si="53"/>
        <v>0</v>
      </c>
      <c r="BQ30" s="112">
        <f t="shared" si="54"/>
        <v>4620099.6988914637</v>
      </c>
      <c r="BR30" s="112">
        <f t="shared" si="55"/>
        <v>4620099.6988914637</v>
      </c>
      <c r="BS30" s="112">
        <f t="shared" si="56"/>
        <v>911234.89861840627</v>
      </c>
      <c r="BT30" s="112">
        <f t="shared" si="56"/>
        <v>2671995.2985577867</v>
      </c>
      <c r="BU30" s="112">
        <f t="shared" si="56"/>
        <v>58218.975661827928</v>
      </c>
      <c r="BV30" s="112">
        <f t="shared" si="57"/>
        <v>0</v>
      </c>
      <c r="BW30" s="112">
        <f t="shared" si="14"/>
        <v>0</v>
      </c>
      <c r="BX30" s="112">
        <f t="shared" si="58"/>
        <v>3641449.1728380206</v>
      </c>
      <c r="BY30" s="112">
        <f t="shared" si="59"/>
        <v>3641449.1728380206</v>
      </c>
      <c r="BZ30" s="113">
        <f t="shared" si="60"/>
        <v>5994185.7049686918</v>
      </c>
      <c r="CA30" s="113">
        <f t="shared" si="33"/>
        <v>198326.91071956087</v>
      </c>
      <c r="CB30" s="113">
        <f t="shared" si="61"/>
        <v>6192512.6156882523</v>
      </c>
      <c r="CC30" s="119">
        <f t="shared" si="62"/>
        <v>2354.5970535289589</v>
      </c>
      <c r="CD30" s="119">
        <f t="shared" si="34"/>
        <v>2329.9160683444929</v>
      </c>
      <c r="CE30" s="119">
        <f t="shared" si="35"/>
        <v>2353.7984959371279</v>
      </c>
      <c r="CF30" s="119">
        <f t="shared" si="15"/>
        <v>2353.7984959371279</v>
      </c>
      <c r="CG30" s="619">
        <f t="shared" si="16"/>
        <v>7282316.2248585736</v>
      </c>
      <c r="CH30" s="132">
        <f t="shared" si="36"/>
        <v>2768.0371507980444</v>
      </c>
      <c r="CI30" s="171"/>
      <c r="CJ30" s="1040">
        <f t="shared" si="37"/>
        <v>5629.6235650305207</v>
      </c>
      <c r="CK30" s="1040">
        <f t="shared" si="17"/>
        <v>4132.4855220354739</v>
      </c>
      <c r="CL30" s="1040">
        <f>CJ30+CK30</f>
        <v>9762.1090870659937</v>
      </c>
      <c r="CM30" s="18">
        <f t="shared" si="39"/>
        <v>9762.1090870659955</v>
      </c>
      <c r="CN30" s="18">
        <f t="shared" si="40"/>
        <v>0</v>
      </c>
      <c r="CO30" s="112">
        <f t="shared" si="18"/>
        <v>9351352.4808998052</v>
      </c>
      <c r="CP30" s="112">
        <f t="shared" si="19"/>
        <v>8010774.3186939415</v>
      </c>
      <c r="CQ30" s="112">
        <f t="shared" si="20"/>
        <v>8010774.3186939415</v>
      </c>
      <c r="CR30" s="112">
        <f t="shared" si="21"/>
        <v>4620099.6988914637</v>
      </c>
      <c r="CS30" s="112">
        <f t="shared" si="22"/>
        <v>8603294.5001162942</v>
      </c>
      <c r="CT30" s="112">
        <f t="shared" si="23"/>
        <v>8603294.5001162961</v>
      </c>
      <c r="CU30" s="112">
        <f t="shared" si="24"/>
        <v>3641449.1728380206</v>
      </c>
      <c r="CV30" s="112">
        <f t="shared" si="41"/>
        <v>16614068.818810236</v>
      </c>
      <c r="CW30" s="843">
        <f t="shared" si="42"/>
        <v>4917.6719749651165</v>
      </c>
      <c r="CX30" s="112">
        <f t="shared" si="25"/>
        <v>6008224.8801198127</v>
      </c>
      <c r="CY30" s="112">
        <f t="shared" si="26"/>
        <v>6443132.2276546154</v>
      </c>
      <c r="CZ30" s="112"/>
      <c r="DA30" s="112">
        <f t="shared" si="27"/>
        <v>9049832.1912296023</v>
      </c>
      <c r="DB30" s="112">
        <f t="shared" si="28"/>
        <v>9762109.0870659947</v>
      </c>
      <c r="DC30" s="171"/>
      <c r="DD30" s="128">
        <f t="shared" si="43"/>
        <v>126.5256704980843</v>
      </c>
      <c r="DE30" s="171"/>
      <c r="DF30" s="171"/>
      <c r="DG30" s="171"/>
      <c r="DH30" s="112">
        <v>3424.8225545326604</v>
      </c>
      <c r="DI30" s="797">
        <v>2674.8400116339062</v>
      </c>
      <c r="DJ30" s="797">
        <f t="shared" si="44"/>
        <v>749.98254289875422</v>
      </c>
      <c r="DK30" s="171"/>
      <c r="DL30" s="618">
        <f t="shared" si="29"/>
        <v>0</v>
      </c>
      <c r="DM30" s="618">
        <f t="shared" si="30"/>
        <v>0</v>
      </c>
      <c r="DN30" s="618">
        <f t="shared" si="31"/>
        <v>0</v>
      </c>
      <c r="DO30" s="125"/>
    </row>
    <row r="31" spans="1:119" customFormat="1" ht="100.5" customHeight="1">
      <c r="A31" s="20">
        <f t="shared" si="45"/>
        <v>18</v>
      </c>
      <c r="B31" s="1281"/>
      <c r="C31" s="1037" t="s">
        <v>85</v>
      </c>
      <c r="D31" s="1037" t="s">
        <v>82</v>
      </c>
      <c r="E31" s="5" t="s">
        <v>231</v>
      </c>
      <c r="F31" s="5" t="s">
        <v>8</v>
      </c>
      <c r="G31" s="847" t="s">
        <v>967</v>
      </c>
      <c r="H31" s="868">
        <v>2678.7</v>
      </c>
      <c r="I31" s="756">
        <v>2678.7</v>
      </c>
      <c r="J31" s="826">
        <v>2462.83</v>
      </c>
      <c r="K31" s="826"/>
      <c r="L31" s="826"/>
      <c r="M31" s="869"/>
      <c r="N31" s="1034">
        <v>2889.53</v>
      </c>
      <c r="O31" s="964">
        <v>2889.53</v>
      </c>
      <c r="P31" s="1035">
        <v>2731.28</v>
      </c>
      <c r="Q31" s="36"/>
      <c r="R31" s="36"/>
      <c r="S31" s="911"/>
      <c r="T31" s="1032">
        <v>14.833714303172224</v>
      </c>
      <c r="U31" s="1011">
        <v>1177.9482392506429</v>
      </c>
      <c r="V31" s="224"/>
      <c r="W31" s="173"/>
      <c r="X31" s="173"/>
      <c r="Y31" s="173"/>
      <c r="Z31" s="971">
        <f t="shared" si="50"/>
        <v>1192.7819535538151</v>
      </c>
      <c r="AA31" s="1033">
        <v>11.130937315325815</v>
      </c>
      <c r="AB31" s="1011">
        <v>884.55330377925372</v>
      </c>
      <c r="AC31" s="224"/>
      <c r="AD31" s="173"/>
      <c r="AE31" s="173"/>
      <c r="AF31" s="173"/>
      <c r="AG31" s="926">
        <f t="shared" si="51"/>
        <v>895.68424109457953</v>
      </c>
      <c r="AH31" s="894">
        <f t="shared" si="52"/>
        <v>2088.4661946483948</v>
      </c>
      <c r="AI31" s="15">
        <f t="shared" si="70"/>
        <v>25.964651618498038</v>
      </c>
      <c r="AJ31" s="15">
        <f t="shared" si="70"/>
        <v>2062.5015430298968</v>
      </c>
      <c r="AK31" s="15">
        <f t="shared" si="70"/>
        <v>0</v>
      </c>
      <c r="AL31" s="15">
        <f t="shared" si="70"/>
        <v>0</v>
      </c>
      <c r="AM31" s="15">
        <f t="shared" si="70"/>
        <v>0</v>
      </c>
      <c r="AN31" s="15"/>
      <c r="AO31" s="15">
        <f t="shared" si="67"/>
        <v>2088.4661946483948</v>
      </c>
      <c r="AP31" s="15">
        <f t="shared" si="68"/>
        <v>2088.4661946483948</v>
      </c>
      <c r="AQ31" s="15">
        <f t="shared" si="69"/>
        <v>2088.4661946483948</v>
      </c>
      <c r="AR31" s="127">
        <f t="shared" si="32"/>
        <v>0</v>
      </c>
      <c r="AS31" s="112">
        <f t="shared" si="71"/>
        <v>69551.512290470695</v>
      </c>
      <c r="AT31" s="112">
        <f t="shared" si="71"/>
        <v>5079590.6752203209</v>
      </c>
      <c r="AU31" s="112">
        <f t="shared" si="71"/>
        <v>0</v>
      </c>
      <c r="AV31" s="118">
        <f t="shared" si="71"/>
        <v>0</v>
      </c>
      <c r="AW31" s="118">
        <f t="shared" si="71"/>
        <v>0</v>
      </c>
      <c r="AX31" s="112">
        <f t="shared" si="46"/>
        <v>5149142.1875107912</v>
      </c>
      <c r="AY31" s="112">
        <f t="shared" si="47"/>
        <v>5149142.1875107912</v>
      </c>
      <c r="AZ31" s="112">
        <f t="shared" si="72"/>
        <v>75025.639791198642</v>
      </c>
      <c r="BA31" s="112">
        <f t="shared" si="72"/>
        <v>5633269.2144466965</v>
      </c>
      <c r="BB31" s="112">
        <f t="shared" si="72"/>
        <v>0</v>
      </c>
      <c r="BC31" s="112">
        <f t="shared" si="72"/>
        <v>0</v>
      </c>
      <c r="BD31" s="112">
        <f t="shared" si="72"/>
        <v>0</v>
      </c>
      <c r="BE31" s="112">
        <f t="shared" si="48"/>
        <v>5708294.8542378955</v>
      </c>
      <c r="BF31" s="112">
        <f t="shared" si="49"/>
        <v>5708294.8542378955</v>
      </c>
      <c r="BG31" s="1038">
        <f>(O31-P31)*U31/1000+(O31-Q31)*V31/1000</f>
        <v>186.41030886141422</v>
      </c>
      <c r="BH31" s="1039">
        <f>(O31-P31)*AB31/1000+(O31-Q31)*AC31/1000</f>
        <v>139.9805603230669</v>
      </c>
      <c r="BI31" s="1038">
        <f>BG31+BH31</f>
        <v>326.39086918448112</v>
      </c>
      <c r="BJ31" s="169"/>
      <c r="BK31" s="169"/>
      <c r="BL31" s="112">
        <f t="shared" si="53"/>
        <v>39735.070503907431</v>
      </c>
      <c r="BM31" s="112">
        <f t="shared" si="53"/>
        <v>2901086.2620736607</v>
      </c>
      <c r="BN31" s="112">
        <f t="shared" si="53"/>
        <v>0</v>
      </c>
      <c r="BO31" s="112">
        <f t="shared" si="53"/>
        <v>0</v>
      </c>
      <c r="BP31" s="112">
        <f t="shared" si="53"/>
        <v>0</v>
      </c>
      <c r="BQ31" s="112">
        <f t="shared" si="54"/>
        <v>2940821.332577568</v>
      </c>
      <c r="BR31" s="112">
        <f t="shared" si="55"/>
        <v>2940821.332577568</v>
      </c>
      <c r="BS31" s="112">
        <f t="shared" si="56"/>
        <v>32163.177300753403</v>
      </c>
      <c r="BT31" s="112">
        <f t="shared" si="56"/>
        <v>2415962.7475462002</v>
      </c>
      <c r="BU31" s="112">
        <f t="shared" si="56"/>
        <v>0</v>
      </c>
      <c r="BV31" s="112">
        <f t="shared" si="57"/>
        <v>0</v>
      </c>
      <c r="BW31" s="112">
        <f t="shared" si="14"/>
        <v>0</v>
      </c>
      <c r="BX31" s="112">
        <f t="shared" si="58"/>
        <v>2448125.9248469537</v>
      </c>
      <c r="BY31" s="112">
        <f t="shared" si="59"/>
        <v>2448125.9248469537</v>
      </c>
      <c r="BZ31" s="113">
        <f t="shared" si="60"/>
        <v>5317049.0096198609</v>
      </c>
      <c r="CA31" s="113">
        <f t="shared" si="60"/>
        <v>0</v>
      </c>
      <c r="CB31" s="113">
        <f t="shared" si="61"/>
        <v>5317049.0096198609</v>
      </c>
      <c r="CC31" s="119">
        <f t="shared" si="62"/>
        <v>2577.9612275144796</v>
      </c>
      <c r="CD31" s="119" t="e">
        <f t="shared" si="62"/>
        <v>#DIV/0!</v>
      </c>
      <c r="CE31" s="119">
        <f t="shared" si="35"/>
        <v>2577.9612275144796</v>
      </c>
      <c r="CF31" s="119">
        <f t="shared" si="15"/>
        <v>2577.9612275144796</v>
      </c>
      <c r="CG31" s="619">
        <f t="shared" si="16"/>
        <v>5711313.2563499641</v>
      </c>
      <c r="CH31" s="132">
        <f t="shared" si="36"/>
        <v>2769.1195071591646</v>
      </c>
      <c r="CI31" s="171"/>
      <c r="CJ31" s="1040">
        <f t="shared" si="37"/>
        <v>3446.5792382523559</v>
      </c>
      <c r="CK31" s="1040">
        <f t="shared" si="17"/>
        <v>2588.1064851700207</v>
      </c>
      <c r="CL31" s="1040">
        <f>CJ31+CK31</f>
        <v>6034.6857234223771</v>
      </c>
      <c r="CM31" s="18">
        <f t="shared" si="39"/>
        <v>6034.6857234223762</v>
      </c>
      <c r="CN31" s="18">
        <f t="shared" si="40"/>
        <v>0</v>
      </c>
      <c r="CO31" s="112">
        <f t="shared" si="18"/>
        <v>5783211.5041546244</v>
      </c>
      <c r="CP31" s="112">
        <f t="shared" si="19"/>
        <v>5149142.1875107912</v>
      </c>
      <c r="CQ31" s="112">
        <f t="shared" si="20"/>
        <v>5149142.1875107912</v>
      </c>
      <c r="CR31" s="112">
        <f t="shared" si="21"/>
        <v>2940821.332577568</v>
      </c>
      <c r="CS31" s="112">
        <f t="shared" si="22"/>
        <v>5708294.8542378955</v>
      </c>
      <c r="CT31" s="112">
        <f t="shared" si="23"/>
        <v>5708294.8542378955</v>
      </c>
      <c r="CU31" s="112">
        <f t="shared" si="24"/>
        <v>2448125.9248469537</v>
      </c>
      <c r="CV31" s="112">
        <f t="shared" si="41"/>
        <v>10857437.041748688</v>
      </c>
      <c r="CW31" s="843">
        <f t="shared" si="42"/>
        <v>5198.7612102941412</v>
      </c>
      <c r="CX31" s="112">
        <f t="shared" si="25"/>
        <v>5079590.6752203209</v>
      </c>
      <c r="CY31" s="112">
        <f t="shared" si="26"/>
        <v>5633269.2144466965</v>
      </c>
      <c r="CZ31" s="112"/>
      <c r="DA31" s="112">
        <f t="shared" si="27"/>
        <v>5594374.3956046542</v>
      </c>
      <c r="DB31" s="112">
        <f t="shared" si="28"/>
        <v>6034685.7234223774</v>
      </c>
      <c r="DC31" s="171"/>
      <c r="DD31" s="128">
        <f t="shared" si="43"/>
        <v>117.32559697583676</v>
      </c>
      <c r="DE31" s="171"/>
      <c r="DF31" s="171"/>
      <c r="DG31" s="171"/>
      <c r="DH31" s="112">
        <v>2123.0289027607564</v>
      </c>
      <c r="DI31" s="797">
        <v>2096.9808966315286</v>
      </c>
      <c r="DJ31" s="797">
        <f t="shared" si="44"/>
        <v>26.048006129227815</v>
      </c>
      <c r="DK31" s="171"/>
      <c r="DL31" s="618">
        <f t="shared" si="29"/>
        <v>0</v>
      </c>
      <c r="DM31" s="618">
        <f t="shared" si="30"/>
        <v>0</v>
      </c>
      <c r="DN31" s="618">
        <f t="shared" si="31"/>
        <v>0</v>
      </c>
      <c r="DO31" s="125"/>
    </row>
    <row r="32" spans="1:119" customFormat="1" ht="100.5" customHeight="1">
      <c r="A32" s="20">
        <f t="shared" si="45"/>
        <v>19</v>
      </c>
      <c r="B32" s="1281"/>
      <c r="C32" s="1037" t="s">
        <v>86</v>
      </c>
      <c r="D32" s="1037" t="s">
        <v>82</v>
      </c>
      <c r="E32" s="5" t="s">
        <v>231</v>
      </c>
      <c r="F32" s="5" t="s">
        <v>8</v>
      </c>
      <c r="G32" s="847" t="s">
        <v>967</v>
      </c>
      <c r="H32" s="868">
        <v>2678.7</v>
      </c>
      <c r="I32" s="756">
        <v>2678.7</v>
      </c>
      <c r="J32" s="826">
        <v>2283.75</v>
      </c>
      <c r="K32" s="826">
        <v>2283.75</v>
      </c>
      <c r="L32" s="826"/>
      <c r="M32" s="869"/>
      <c r="N32" s="1034">
        <v>2889.53</v>
      </c>
      <c r="O32" s="964">
        <v>2889.53</v>
      </c>
      <c r="P32" s="1035">
        <v>2449.06</v>
      </c>
      <c r="Q32" s="1035">
        <v>2449.06</v>
      </c>
      <c r="R32" s="36"/>
      <c r="S32" s="911"/>
      <c r="T32" s="1032">
        <v>927.20205718412444</v>
      </c>
      <c r="U32" s="173">
        <v>1528.3083163923411</v>
      </c>
      <c r="V32" s="224">
        <v>200.73005837618507</v>
      </c>
      <c r="W32" s="173"/>
      <c r="X32" s="173"/>
      <c r="Y32" s="173"/>
      <c r="Z32" s="926">
        <f t="shared" si="50"/>
        <v>2656.2404319526504</v>
      </c>
      <c r="AA32" s="895">
        <v>660.44666634775069</v>
      </c>
      <c r="AB32" s="173">
        <v>1146.2530378990773</v>
      </c>
      <c r="AC32" s="224">
        <v>171.56584466290806</v>
      </c>
      <c r="AD32" s="173"/>
      <c r="AE32" s="173"/>
      <c r="AF32" s="173"/>
      <c r="AG32" s="926">
        <f t="shared" si="51"/>
        <v>1978.265548909736</v>
      </c>
      <c r="AH32" s="894">
        <f t="shared" si="52"/>
        <v>4634.5059808623864</v>
      </c>
      <c r="AI32" s="15">
        <f t="shared" si="70"/>
        <v>1587.648723531875</v>
      </c>
      <c r="AJ32" s="15">
        <f t="shared" si="70"/>
        <v>2674.5613542914184</v>
      </c>
      <c r="AK32" s="15">
        <f t="shared" si="70"/>
        <v>372.2959030390931</v>
      </c>
      <c r="AL32" s="15">
        <f t="shared" si="70"/>
        <v>0</v>
      </c>
      <c r="AM32" s="15">
        <f t="shared" si="70"/>
        <v>0</v>
      </c>
      <c r="AN32" s="15"/>
      <c r="AO32" s="15">
        <f t="shared" si="67"/>
        <v>4634.5059808623864</v>
      </c>
      <c r="AP32" s="15">
        <f t="shared" si="68"/>
        <v>4634.5059808623864</v>
      </c>
      <c r="AQ32" s="17">
        <f t="shared" si="69"/>
        <v>4634.5059808623864</v>
      </c>
      <c r="AR32" s="127">
        <f t="shared" si="32"/>
        <v>0</v>
      </c>
      <c r="AS32" s="112">
        <f t="shared" si="71"/>
        <v>4252834.6357248332</v>
      </c>
      <c r="AT32" s="112">
        <f t="shared" si="71"/>
        <v>6108029.4928630264</v>
      </c>
      <c r="AU32" s="112">
        <f t="shared" si="71"/>
        <v>850230.76856552891</v>
      </c>
      <c r="AV32" s="112">
        <f t="shared" si="71"/>
        <v>0</v>
      </c>
      <c r="AW32" s="112">
        <f t="shared" si="71"/>
        <v>0</v>
      </c>
      <c r="AX32" s="112">
        <f t="shared" si="46"/>
        <v>11211094.897153389</v>
      </c>
      <c r="AY32" s="112">
        <f t="shared" si="47"/>
        <v>11211094.897153389</v>
      </c>
      <c r="AZ32" s="112">
        <f t="shared" si="72"/>
        <v>4587558.6161070587</v>
      </c>
      <c r="BA32" s="112">
        <f t="shared" si="72"/>
        <v>6550161.2303409409</v>
      </c>
      <c r="BB32" s="112">
        <f t="shared" si="72"/>
        <v>911775.00429692131</v>
      </c>
      <c r="BC32" s="112">
        <f t="shared" si="72"/>
        <v>0</v>
      </c>
      <c r="BD32" s="112">
        <f t="shared" si="72"/>
        <v>0</v>
      </c>
      <c r="BE32" s="112">
        <f t="shared" si="48"/>
        <v>12049494.850744922</v>
      </c>
      <c r="BF32" s="112">
        <f t="shared" si="49"/>
        <v>12049494.850744922</v>
      </c>
      <c r="BG32" s="1038">
        <f>(O32-P32)*U32/1000+(O32-Q32)*V32/1000</f>
        <v>761.58953293429317</v>
      </c>
      <c r="BH32" s="1039">
        <f>(O32-P32)*AB32/1000+(O32-Q32)*AC32/1000</f>
        <v>580.45968320207805</v>
      </c>
      <c r="BI32" s="1038">
        <f>BG32+BH32</f>
        <v>1342.0492161363713</v>
      </c>
      <c r="BJ32" s="169"/>
      <c r="BK32" s="169"/>
      <c r="BL32" s="112">
        <f t="shared" si="53"/>
        <v>2483696.150579114</v>
      </c>
      <c r="BM32" s="112">
        <f t="shared" si="53"/>
        <v>3490274.1175610092</v>
      </c>
      <c r="BN32" s="112">
        <f t="shared" si="53"/>
        <v>458417.27081661264</v>
      </c>
      <c r="BO32" s="112">
        <f t="shared" si="53"/>
        <v>0</v>
      </c>
      <c r="BP32" s="112">
        <f t="shared" si="53"/>
        <v>0</v>
      </c>
      <c r="BQ32" s="112">
        <f t="shared" si="54"/>
        <v>6432387.5389567362</v>
      </c>
      <c r="BR32" s="112">
        <f t="shared" si="55"/>
        <v>6432387.5389567362</v>
      </c>
      <c r="BS32" s="112">
        <f t="shared" si="56"/>
        <v>1908380.4558118163</v>
      </c>
      <c r="BT32" s="112">
        <f t="shared" si="56"/>
        <v>2807242.4649971141</v>
      </c>
      <c r="BU32" s="112">
        <f t="shared" si="56"/>
        <v>420175.0475301416</v>
      </c>
      <c r="BV32" s="112">
        <f t="shared" si="57"/>
        <v>0</v>
      </c>
      <c r="BW32" s="112">
        <f t="shared" si="14"/>
        <v>0</v>
      </c>
      <c r="BX32" s="112">
        <f t="shared" si="58"/>
        <v>5135797.9683390716</v>
      </c>
      <c r="BY32" s="112">
        <f t="shared" si="59"/>
        <v>5135797.9683390716</v>
      </c>
      <c r="BZ32" s="113">
        <f t="shared" si="60"/>
        <v>6297516.5825581234</v>
      </c>
      <c r="CA32" s="113">
        <f t="shared" si="60"/>
        <v>878592.31834675418</v>
      </c>
      <c r="CB32" s="113">
        <f t="shared" si="61"/>
        <v>7176108.9009048771</v>
      </c>
      <c r="CC32" s="119">
        <f t="shared" si="62"/>
        <v>2354.5979128329059</v>
      </c>
      <c r="CD32" s="119">
        <f t="shared" si="62"/>
        <v>2359.9301286280802</v>
      </c>
      <c r="CE32" s="119">
        <f t="shared" si="35"/>
        <v>2355.2494570067875</v>
      </c>
      <c r="CF32" s="119">
        <f t="shared" si="15"/>
        <v>2355.2494570067875</v>
      </c>
      <c r="CG32" s="619">
        <f t="shared" si="16"/>
        <v>8439452.2902217843</v>
      </c>
      <c r="CH32" s="132">
        <f t="shared" si="36"/>
        <v>2769.887650600333</v>
      </c>
      <c r="CI32" s="171"/>
      <c r="CJ32" s="1040">
        <f t="shared" si="37"/>
        <v>7675.2864153401424</v>
      </c>
      <c r="CK32" s="1040">
        <f t="shared" si="17"/>
        <v>5716.2576515411502</v>
      </c>
      <c r="CL32" s="1040">
        <f>CJ32+CK32</f>
        <v>13391.544066881292</v>
      </c>
      <c r="CM32" s="18">
        <f t="shared" si="39"/>
        <v>13391.544066881292</v>
      </c>
      <c r="CN32" s="18">
        <f t="shared" si="40"/>
        <v>0</v>
      </c>
      <c r="CO32" s="112">
        <f t="shared" si="18"/>
        <v>12831528.896612715</v>
      </c>
      <c r="CP32" s="112">
        <f t="shared" si="19"/>
        <v>11211094.897153389</v>
      </c>
      <c r="CQ32" s="112">
        <f t="shared" si="20"/>
        <v>11211094.897153389</v>
      </c>
      <c r="CR32" s="112">
        <f t="shared" si="21"/>
        <v>6432387.5389567362</v>
      </c>
      <c r="CS32" s="112">
        <f t="shared" si="22"/>
        <v>12049494.850744922</v>
      </c>
      <c r="CT32" s="112">
        <f t="shared" si="23"/>
        <v>12049494.850744922</v>
      </c>
      <c r="CU32" s="112">
        <f t="shared" si="24"/>
        <v>5135797.9683390716</v>
      </c>
      <c r="CV32" s="112">
        <f t="shared" si="41"/>
        <v>23260589.74789831</v>
      </c>
      <c r="CW32" s="843">
        <f t="shared" si="42"/>
        <v>5019.0009127078511</v>
      </c>
      <c r="CX32" s="112">
        <f t="shared" si="25"/>
        <v>6958260.2614285555</v>
      </c>
      <c r="CY32" s="112">
        <f t="shared" si="26"/>
        <v>7461936.2346378621</v>
      </c>
      <c r="CZ32" s="112"/>
      <c r="DA32" s="112">
        <f t="shared" si="27"/>
        <v>12414451.170936074</v>
      </c>
      <c r="DB32" s="112">
        <f t="shared" si="28"/>
        <v>13391544.066881292</v>
      </c>
      <c r="DC32" s="171"/>
      <c r="DD32" s="128">
        <f t="shared" si="43"/>
        <v>126.5256704980843</v>
      </c>
      <c r="DE32" s="171"/>
      <c r="DF32" s="171"/>
      <c r="DG32" s="171"/>
      <c r="DH32" s="112">
        <v>4690.5378951697967</v>
      </c>
      <c r="DI32" s="797">
        <v>3097.7923313449865</v>
      </c>
      <c r="DJ32" s="797">
        <f t="shared" si="44"/>
        <v>1592.7455638248102</v>
      </c>
      <c r="DK32" s="171"/>
      <c r="DL32" s="618">
        <f t="shared" si="29"/>
        <v>0</v>
      </c>
      <c r="DM32" s="618">
        <f t="shared" si="30"/>
        <v>0</v>
      </c>
      <c r="DN32" s="618">
        <f t="shared" si="31"/>
        <v>0</v>
      </c>
      <c r="DO32" s="125"/>
    </row>
    <row r="33" spans="1:119" customFormat="1" ht="100.5" customHeight="1">
      <c r="A33" s="218">
        <f t="shared" si="45"/>
        <v>20</v>
      </c>
      <c r="B33" s="1285"/>
      <c r="C33" s="757" t="s">
        <v>55</v>
      </c>
      <c r="D33" s="967" t="s">
        <v>141</v>
      </c>
      <c r="E33" s="628">
        <v>4632024035</v>
      </c>
      <c r="F33" s="627" t="s">
        <v>8</v>
      </c>
      <c r="G33" s="1245" t="s">
        <v>956</v>
      </c>
      <c r="H33" s="828">
        <v>3181.08</v>
      </c>
      <c r="I33" s="828">
        <v>3181.08</v>
      </c>
      <c r="J33" s="828">
        <v>1604.93</v>
      </c>
      <c r="K33" s="828">
        <v>1604.93</v>
      </c>
      <c r="L33" s="828">
        <v>3181.08</v>
      </c>
      <c r="M33" s="875"/>
      <c r="N33" s="1207">
        <f>2762.47*1.2</f>
        <v>3314.9639999999995</v>
      </c>
      <c r="O33" s="1208">
        <f>N33</f>
        <v>3314.9639999999995</v>
      </c>
      <c r="P33" s="964">
        <v>1779.86</v>
      </c>
      <c r="Q33" s="964">
        <v>1779.86</v>
      </c>
      <c r="R33" s="1208">
        <f>O33</f>
        <v>3314.9639999999995</v>
      </c>
      <c r="S33" s="914"/>
      <c r="T33" s="983">
        <v>690.20304979181674</v>
      </c>
      <c r="U33" s="984">
        <v>4528.7008827153923</v>
      </c>
      <c r="V33" s="977">
        <v>942.81257785251591</v>
      </c>
      <c r="W33" s="632"/>
      <c r="X33" s="632"/>
      <c r="Y33" s="632"/>
      <c r="Z33" s="932">
        <f>SUM(T33:W33)</f>
        <v>6161.7165103597254</v>
      </c>
      <c r="AA33" s="982">
        <v>452.83034845628902</v>
      </c>
      <c r="AB33" s="632">
        <v>3396.5232388770773</v>
      </c>
      <c r="AC33" s="682">
        <v>942.81257785251591</v>
      </c>
      <c r="AD33" s="629"/>
      <c r="AE33" s="629"/>
      <c r="AF33" s="629"/>
      <c r="AG33" s="958">
        <f>SUM(AA33:AD33)</f>
        <v>4792.1661651858822</v>
      </c>
      <c r="AH33" s="952">
        <f t="shared" si="52"/>
        <v>10953.882675545607</v>
      </c>
      <c r="AI33" s="629">
        <f t="shared" si="70"/>
        <v>1143.0333982481056</v>
      </c>
      <c r="AJ33" s="629">
        <f t="shared" si="70"/>
        <v>7925.2241215924696</v>
      </c>
      <c r="AK33" s="629">
        <f t="shared" si="70"/>
        <v>1885.6251557050318</v>
      </c>
      <c r="AL33" s="629">
        <f t="shared" si="70"/>
        <v>0</v>
      </c>
      <c r="AM33" s="629">
        <f t="shared" si="70"/>
        <v>0</v>
      </c>
      <c r="AN33" s="629"/>
      <c r="AO33" s="629">
        <f t="shared" si="67"/>
        <v>10953.882675545607</v>
      </c>
      <c r="AP33" s="629">
        <f t="shared" si="68"/>
        <v>10953.882675545607</v>
      </c>
      <c r="AQ33" s="637">
        <f t="shared" si="69"/>
        <v>10953.882675545607</v>
      </c>
      <c r="AR33" s="636">
        <f t="shared" si="32"/>
        <v>0</v>
      </c>
      <c r="AS33" s="629">
        <f t="shared" si="71"/>
        <v>3636080.6824990837</v>
      </c>
      <c r="AT33" s="629">
        <f t="shared" si="71"/>
        <v>12719429.949467402</v>
      </c>
      <c r="AU33" s="629">
        <f t="shared" si="71"/>
        <v>3026296.3811456771</v>
      </c>
      <c r="AV33" s="629">
        <f t="shared" si="71"/>
        <v>0</v>
      </c>
      <c r="AW33" s="629">
        <f t="shared" si="71"/>
        <v>0</v>
      </c>
      <c r="AX33" s="629">
        <f t="shared" si="46"/>
        <v>19381807.013112165</v>
      </c>
      <c r="AY33" s="629">
        <f t="shared" si="47"/>
        <v>19381807.013112165</v>
      </c>
      <c r="AZ33" s="629">
        <f>O33*AI33</f>
        <v>3789114.5659901327</v>
      </c>
      <c r="BA33" s="629">
        <f t="shared" si="72"/>
        <v>14105789.405057572</v>
      </c>
      <c r="BB33" s="629">
        <f t="shared" si="72"/>
        <v>3356148.7896331577</v>
      </c>
      <c r="BC33" s="629">
        <f t="shared" si="72"/>
        <v>0</v>
      </c>
      <c r="BD33" s="629">
        <f t="shared" si="72"/>
        <v>0</v>
      </c>
      <c r="BE33" s="629">
        <f t="shared" si="48"/>
        <v>21251052.760680862</v>
      </c>
      <c r="BF33" s="629">
        <f t="shared" si="49"/>
        <v>21251052.760680862</v>
      </c>
      <c r="BG33" s="623">
        <f>(O33-P33)/1.2*U33/1000+(O33-Q33)/1.2*V33/1000</f>
        <v>6999.4518328096974</v>
      </c>
      <c r="BH33" s="624">
        <f>(O33-P33)*AB33/1000/1.2+(O33-Q33)*AC33/1000/1.2</f>
        <v>5551.1098080040538</v>
      </c>
      <c r="BI33" s="1045">
        <f>BG33+BH33+0.0233556705716182</f>
        <v>12550.584996484322</v>
      </c>
      <c r="BJ33" s="623"/>
      <c r="BK33" s="623"/>
      <c r="BL33" s="629">
        <f t="shared" si="53"/>
        <v>2195591.1176317525</v>
      </c>
      <c r="BM33" s="629">
        <f t="shared" si="53"/>
        <v>7268247.9076964147</v>
      </c>
      <c r="BN33" s="629">
        <f t="shared" si="53"/>
        <v>1513148.1905728385</v>
      </c>
      <c r="BO33" s="629">
        <f t="shared" si="53"/>
        <v>0</v>
      </c>
      <c r="BP33" s="629">
        <f t="shared" si="53"/>
        <v>0</v>
      </c>
      <c r="BQ33" s="629">
        <f t="shared" si="54"/>
        <v>10976987.215901006</v>
      </c>
      <c r="BR33" s="629">
        <f t="shared" si="55"/>
        <v>10976987.215901006</v>
      </c>
      <c r="BS33" s="629">
        <f>O33*AA33</f>
        <v>1501116.3032400534</v>
      </c>
      <c r="BT33" s="629">
        <f t="shared" si="56"/>
        <v>6045335.8519477546</v>
      </c>
      <c r="BU33" s="629">
        <f t="shared" si="56"/>
        <v>1678074.3948165788</v>
      </c>
      <c r="BV33" s="629">
        <f t="shared" si="57"/>
        <v>0</v>
      </c>
      <c r="BW33" s="629">
        <f t="shared" si="14"/>
        <v>0</v>
      </c>
      <c r="BX33" s="629">
        <f t="shared" si="58"/>
        <v>9224526.5500043873</v>
      </c>
      <c r="BY33" s="629">
        <f t="shared" si="59"/>
        <v>9224526.5500043873</v>
      </c>
      <c r="BZ33" s="638">
        <f t="shared" si="60"/>
        <v>13313583.759644169</v>
      </c>
      <c r="CA33" s="638">
        <f t="shared" si="60"/>
        <v>3191222.5853894176</v>
      </c>
      <c r="CB33" s="638">
        <f t="shared" si="61"/>
        <v>16504806.345033586</v>
      </c>
      <c r="CC33" s="639">
        <f t="shared" si="62"/>
        <v>1679.8999694369502</v>
      </c>
      <c r="CD33" s="639">
        <f t="shared" si="62"/>
        <v>1692.3950000000002</v>
      </c>
      <c r="CE33" s="639">
        <f t="shared" si="35"/>
        <v>1682.3014887432869</v>
      </c>
      <c r="CF33" s="639">
        <f t="shared" si="15"/>
        <v>1682.3014887432867</v>
      </c>
      <c r="CG33" s="640">
        <f>I33*(U33+V33)+O33*(AB33+AC33)</f>
        <v>31790064.055512562</v>
      </c>
      <c r="CH33" s="641">
        <f t="shared" si="36"/>
        <v>3240.2968547356445</v>
      </c>
      <c r="CI33" s="642"/>
      <c r="CJ33" s="208">
        <f t="shared" si="37"/>
        <v>20425.868410048111</v>
      </c>
      <c r="CK33" s="208">
        <f t="shared" si="17"/>
        <v>15885.858319609251</v>
      </c>
      <c r="CL33" s="208">
        <f t="shared" si="38"/>
        <v>36311.726729657363</v>
      </c>
      <c r="CM33" s="18">
        <f t="shared" si="39"/>
        <v>36311.726729657363</v>
      </c>
      <c r="CN33" s="18">
        <f t="shared" si="40"/>
        <v>0</v>
      </c>
      <c r="CO33" s="645">
        <f>H33*Z33+N33*AG33</f>
        <v>35486771.476384364</v>
      </c>
      <c r="CP33" s="629">
        <f t="shared" si="19"/>
        <v>19381807.013112165</v>
      </c>
      <c r="CQ33" s="629">
        <f t="shared" si="20"/>
        <v>19381807.013112161</v>
      </c>
      <c r="CR33" s="629">
        <f t="shared" si="21"/>
        <v>10976987.215901006</v>
      </c>
      <c r="CS33" s="629">
        <f>O33*AI33+P33*AJ33+Q33*AK33+R33*AL33</f>
        <v>21251052.760680862</v>
      </c>
      <c r="CT33" s="629">
        <f>O33*AI33+P33*(AJ33+AK33)+R33*AL33</f>
        <v>21251052.760680858</v>
      </c>
      <c r="CU33" s="629">
        <f>O33*AA33+P33*AB33+Q33*AC33+R33*AD33</f>
        <v>9224526.5500043873</v>
      </c>
      <c r="CV33" s="629">
        <f t="shared" si="41"/>
        <v>40632859.773793027</v>
      </c>
      <c r="CW33" s="843">
        <f t="shared" si="42"/>
        <v>3709.448145223002</v>
      </c>
      <c r="CX33" s="629">
        <f t="shared" si="25"/>
        <v>15745726.330613079</v>
      </c>
      <c r="CY33" s="629">
        <f t="shared" si="26"/>
        <v>17461938.19469073</v>
      </c>
      <c r="CZ33" s="629"/>
      <c r="DA33" s="629">
        <f t="shared" si="27"/>
        <v>34845177.101524621</v>
      </c>
      <c r="DB33" s="629">
        <f>N33*AI33+N33*AJ33+N33*AK33+N33*AL33</f>
        <v>36311726.729657359</v>
      </c>
      <c r="DC33" s="642"/>
      <c r="DD33" s="647">
        <f>N33/J33*100</f>
        <v>206.54882144392585</v>
      </c>
      <c r="DE33" s="642"/>
      <c r="DF33" s="642"/>
      <c r="DG33" s="642"/>
      <c r="DH33" s="643">
        <v>11301.240000000002</v>
      </c>
      <c r="DI33" s="797">
        <v>10121.960000000001</v>
      </c>
      <c r="DJ33" s="797">
        <f t="shared" si="44"/>
        <v>1179.2800000000007</v>
      </c>
      <c r="DK33" s="642"/>
      <c r="DL33" s="618">
        <f t="shared" si="29"/>
        <v>0</v>
      </c>
      <c r="DM33" s="618">
        <f t="shared" si="30"/>
        <v>0</v>
      </c>
      <c r="DN33" s="618">
        <f t="shared" si="31"/>
        <v>0</v>
      </c>
    </row>
    <row r="34" spans="1:119" customFormat="1" ht="100.5" customHeight="1">
      <c r="A34" s="20">
        <f t="shared" si="45"/>
        <v>21</v>
      </c>
      <c r="B34" s="1288" t="s">
        <v>14</v>
      </c>
      <c r="C34" s="966" t="s">
        <v>87</v>
      </c>
      <c r="D34" s="967" t="s">
        <v>142</v>
      </c>
      <c r="E34" s="617">
        <v>4632024035</v>
      </c>
      <c r="F34" s="1280" t="s">
        <v>8</v>
      </c>
      <c r="G34" s="1245" t="s">
        <v>956</v>
      </c>
      <c r="H34" s="866">
        <v>3299.1600000000003</v>
      </c>
      <c r="I34" s="825">
        <v>3299.1600000000003</v>
      </c>
      <c r="J34" s="756">
        <v>2239.86</v>
      </c>
      <c r="K34" s="756"/>
      <c r="L34" s="872">
        <v>3299.1600000000003</v>
      </c>
      <c r="M34" s="867"/>
      <c r="N34" s="1207">
        <f>2762.47*1.2</f>
        <v>3314.9639999999995</v>
      </c>
      <c r="O34" s="1208">
        <f>N34</f>
        <v>3314.9639999999995</v>
      </c>
      <c r="P34" s="964">
        <v>2484</v>
      </c>
      <c r="Q34" s="964"/>
      <c r="R34" s="1208">
        <f>O34</f>
        <v>3314.9639999999995</v>
      </c>
      <c r="S34" s="910"/>
      <c r="T34" s="973">
        <v>1510.3068322622264</v>
      </c>
      <c r="U34" s="825">
        <v>1205.8145522330171</v>
      </c>
      <c r="V34" s="227"/>
      <c r="W34" s="16"/>
      <c r="X34" s="16"/>
      <c r="Y34" s="16"/>
      <c r="Z34" s="926">
        <f t="shared" si="50"/>
        <v>2716.1213844952435</v>
      </c>
      <c r="AA34" s="975">
        <v>876.98987410528969</v>
      </c>
      <c r="AB34" s="825">
        <v>904.36091417476291</v>
      </c>
      <c r="AC34" s="227"/>
      <c r="AD34" s="16"/>
      <c r="AE34" s="16"/>
      <c r="AF34" s="16"/>
      <c r="AG34" s="926">
        <f t="shared" si="51"/>
        <v>1781.3507882800527</v>
      </c>
      <c r="AH34" s="972">
        <f t="shared" si="52"/>
        <v>4497.4721727752967</v>
      </c>
      <c r="AI34" s="15">
        <f t="shared" si="70"/>
        <v>2387.296706367516</v>
      </c>
      <c r="AJ34" s="15">
        <f t="shared" si="70"/>
        <v>2110.1754664077798</v>
      </c>
      <c r="AK34" s="15">
        <f t="shared" si="70"/>
        <v>0</v>
      </c>
      <c r="AL34" s="15">
        <f t="shared" si="70"/>
        <v>0</v>
      </c>
      <c r="AM34" s="15">
        <f t="shared" si="70"/>
        <v>0</v>
      </c>
      <c r="AN34" s="15"/>
      <c r="AO34" s="15">
        <f t="shared" si="67"/>
        <v>4497.4721727752958</v>
      </c>
      <c r="AP34" s="15">
        <f t="shared" si="68"/>
        <v>4497.4721727752958</v>
      </c>
      <c r="AQ34" s="15">
        <f t="shared" si="69"/>
        <v>4497.4721727752958</v>
      </c>
      <c r="AR34" s="127">
        <f t="shared" si="32"/>
        <v>0</v>
      </c>
      <c r="AS34" s="112">
        <f t="shared" si="71"/>
        <v>7876073.8017794546</v>
      </c>
      <c r="AT34" s="112">
        <f t="shared" si="71"/>
        <v>4726497.6201881301</v>
      </c>
      <c r="AU34" s="112">
        <f t="shared" si="71"/>
        <v>0</v>
      </c>
      <c r="AV34" s="112">
        <f t="shared" si="71"/>
        <v>0</v>
      </c>
      <c r="AW34" s="112">
        <f t="shared" si="71"/>
        <v>0</v>
      </c>
      <c r="AX34" s="112">
        <f t="shared" si="46"/>
        <v>12602571.421967585</v>
      </c>
      <c r="AY34" s="112">
        <f t="shared" si="47"/>
        <v>12602571.421967585</v>
      </c>
      <c r="AZ34" s="112">
        <f t="shared" si="72"/>
        <v>7913802.6389268851</v>
      </c>
      <c r="BA34" s="112">
        <f t="shared" si="72"/>
        <v>5241675.8585569253</v>
      </c>
      <c r="BB34" s="112">
        <f t="shared" si="72"/>
        <v>0</v>
      </c>
      <c r="BC34" s="112">
        <f t="shared" si="72"/>
        <v>0</v>
      </c>
      <c r="BD34" s="112">
        <f t="shared" si="72"/>
        <v>0</v>
      </c>
      <c r="BE34" s="112">
        <f t="shared" si="48"/>
        <v>13155478.49748381</v>
      </c>
      <c r="BF34" s="112">
        <f t="shared" si="49"/>
        <v>13155478.49748381</v>
      </c>
      <c r="BG34" s="623">
        <f>(O34-P34)/1.2*U34/1000</f>
        <v>834.9904029847969</v>
      </c>
      <c r="BH34" s="624">
        <f>(O34-P34)/1.2*AB34/1000</f>
        <v>626.24280223859762</v>
      </c>
      <c r="BI34" s="623">
        <f>BG34+BH34</f>
        <v>1461.2332052233946</v>
      </c>
      <c r="BJ34" s="169"/>
      <c r="BK34" s="169"/>
      <c r="BL34" s="112">
        <f t="shared" si="53"/>
        <v>4982743.8887262475</v>
      </c>
      <c r="BM34" s="112">
        <f t="shared" si="53"/>
        <v>2700855.7829646459</v>
      </c>
      <c r="BN34" s="112">
        <f t="shared" si="53"/>
        <v>0</v>
      </c>
      <c r="BO34" s="112">
        <f t="shared" si="53"/>
        <v>0</v>
      </c>
      <c r="BP34" s="112">
        <f t="shared" si="53"/>
        <v>0</v>
      </c>
      <c r="BQ34" s="112">
        <f t="shared" si="54"/>
        <v>7683599.6716908934</v>
      </c>
      <c r="BR34" s="112">
        <f t="shared" si="55"/>
        <v>7683599.6716908934</v>
      </c>
      <c r="BS34" s="112">
        <f t="shared" si="56"/>
        <v>2907189.8610235672</v>
      </c>
      <c r="BT34" s="112">
        <f t="shared" si="56"/>
        <v>2246432.5108101112</v>
      </c>
      <c r="BU34" s="112">
        <f t="shared" si="56"/>
        <v>0</v>
      </c>
      <c r="BV34" s="112">
        <f t="shared" si="57"/>
        <v>0</v>
      </c>
      <c r="BW34" s="112">
        <f t="shared" si="14"/>
        <v>0</v>
      </c>
      <c r="BX34" s="112">
        <f t="shared" si="58"/>
        <v>5153622.3718336783</v>
      </c>
      <c r="BY34" s="112">
        <f t="shared" si="59"/>
        <v>5153622.3718336783</v>
      </c>
      <c r="BZ34" s="113">
        <f t="shared" si="60"/>
        <v>4947288.2937747575</v>
      </c>
      <c r="CA34" s="113">
        <f t="shared" si="60"/>
        <v>0</v>
      </c>
      <c r="CB34" s="113">
        <f t="shared" si="61"/>
        <v>4947288.2937747575</v>
      </c>
      <c r="CC34" s="119">
        <f t="shared" si="62"/>
        <v>2344.491428571429</v>
      </c>
      <c r="CD34" s="119" t="e">
        <f t="shared" si="62"/>
        <v>#DIV/0!</v>
      </c>
      <c r="CE34" s="119">
        <f t="shared" si="35"/>
        <v>2344.491428571429</v>
      </c>
      <c r="CF34" s="119">
        <f t="shared" si="15"/>
        <v>2344.491428571429</v>
      </c>
      <c r="CG34" s="619">
        <f t="shared" si="16"/>
        <v>6976099.0116415098</v>
      </c>
      <c r="CH34" s="132">
        <f t="shared" si="36"/>
        <v>3305.9331428571431</v>
      </c>
      <c r="CI34" s="625"/>
      <c r="CJ34" s="208">
        <f t="shared" si="37"/>
        <v>9003.84460923189</v>
      </c>
      <c r="CK34" s="208">
        <f t="shared" si="17"/>
        <v>5905.1137345199959</v>
      </c>
      <c r="CL34" s="208">
        <f t="shared" si="38"/>
        <v>14908.958343751885</v>
      </c>
      <c r="CM34" s="18">
        <f t="shared" si="39"/>
        <v>14908.958343751887</v>
      </c>
      <c r="CN34" s="18">
        <f t="shared" si="40"/>
        <v>0</v>
      </c>
      <c r="CO34" s="112">
        <f t="shared" si="18"/>
        <v>14866032.761391325</v>
      </c>
      <c r="CP34" s="112">
        <f t="shared" si="19"/>
        <v>12602571.421967585</v>
      </c>
      <c r="CQ34" s="112">
        <f t="shared" si="20"/>
        <v>12602571.421967585</v>
      </c>
      <c r="CR34" s="112">
        <f t="shared" si="21"/>
        <v>7683599.6716908934</v>
      </c>
      <c r="CS34" s="112">
        <f t="shared" si="22"/>
        <v>13155478.49748381</v>
      </c>
      <c r="CT34" s="112">
        <f t="shared" si="23"/>
        <v>13155478.49748381</v>
      </c>
      <c r="CU34" s="112">
        <f t="shared" si="24"/>
        <v>5153622.3718336783</v>
      </c>
      <c r="CV34" s="112">
        <f t="shared" si="41"/>
        <v>25758049.919451393</v>
      </c>
      <c r="CW34" s="843">
        <f t="shared" si="42"/>
        <v>5727.2283029061264</v>
      </c>
      <c r="CX34" s="112">
        <f t="shared" si="25"/>
        <v>4726497.6201881301</v>
      </c>
      <c r="CY34" s="112">
        <f t="shared" si="26"/>
        <v>5241675.8585569253</v>
      </c>
      <c r="CZ34" s="112"/>
      <c r="DA34" s="112">
        <f t="shared" si="27"/>
        <v>14837880.293533346</v>
      </c>
      <c r="DB34" s="112">
        <f t="shared" si="28"/>
        <v>14908958.343751883</v>
      </c>
      <c r="DC34" s="625"/>
      <c r="DD34" s="128">
        <f t="shared" si="43"/>
        <v>147.99871420535209</v>
      </c>
      <c r="DE34" s="625"/>
      <c r="DF34" s="625"/>
      <c r="DG34" s="625"/>
      <c r="DH34" s="797">
        <v>4640.0910000000003</v>
      </c>
      <c r="DI34" s="797">
        <v>2177.0909999999999</v>
      </c>
      <c r="DJ34" s="797">
        <f t="shared" si="44"/>
        <v>2463.0000000000005</v>
      </c>
      <c r="DK34" s="625"/>
      <c r="DL34" s="618">
        <f t="shared" si="29"/>
        <v>0</v>
      </c>
      <c r="DM34" s="618">
        <f t="shared" si="30"/>
        <v>0</v>
      </c>
      <c r="DN34" s="618">
        <f t="shared" si="31"/>
        <v>0</v>
      </c>
      <c r="DO34" s="123"/>
    </row>
    <row r="35" spans="1:119" customFormat="1" ht="100.5" customHeight="1">
      <c r="A35" s="168">
        <f t="shared" si="45"/>
        <v>22</v>
      </c>
      <c r="B35" s="1281"/>
      <c r="C35" s="1288" t="s">
        <v>60</v>
      </c>
      <c r="D35" s="1056" t="s">
        <v>136</v>
      </c>
      <c r="E35" s="617">
        <v>4607000231</v>
      </c>
      <c r="F35" s="1280" t="s">
        <v>8</v>
      </c>
      <c r="G35" s="849" t="s">
        <v>970</v>
      </c>
      <c r="H35" s="891">
        <v>2752.01</v>
      </c>
      <c r="I35" s="758">
        <v>2752.01</v>
      </c>
      <c r="J35" s="758">
        <v>2752.01</v>
      </c>
      <c r="K35" s="758">
        <v>0</v>
      </c>
      <c r="L35" s="758">
        <v>2752.01</v>
      </c>
      <c r="M35" s="892"/>
      <c r="N35" s="1219">
        <v>2965.5</v>
      </c>
      <c r="O35" s="758">
        <v>2965.5</v>
      </c>
      <c r="P35" s="758">
        <v>2965.5</v>
      </c>
      <c r="Q35" s="608"/>
      <c r="R35" s="758">
        <v>2965.5</v>
      </c>
      <c r="S35" s="1204"/>
      <c r="T35" s="1220">
        <v>1050</v>
      </c>
      <c r="U35" s="1007">
        <v>313</v>
      </c>
      <c r="V35" s="606"/>
      <c r="W35" s="603">
        <v>95</v>
      </c>
      <c r="X35" s="603">
        <v>0</v>
      </c>
      <c r="Y35" s="603">
        <v>4723.8599999999997</v>
      </c>
      <c r="Z35" s="930">
        <f>SUM(T35:W35)</f>
        <v>1458</v>
      </c>
      <c r="AA35" s="1206">
        <v>792.41300000000001</v>
      </c>
      <c r="AB35" s="1221">
        <v>307</v>
      </c>
      <c r="AC35" s="606">
        <v>0</v>
      </c>
      <c r="AD35" s="603">
        <v>61</v>
      </c>
      <c r="AE35" s="606">
        <v>0</v>
      </c>
      <c r="AF35" s="603">
        <v>3149.24</v>
      </c>
      <c r="AG35" s="930">
        <f>SUM(AA35:AD35)</f>
        <v>1160.413</v>
      </c>
      <c r="AH35" s="898">
        <f>Z35+AG35</f>
        <v>2618.413</v>
      </c>
      <c r="AI35" s="1222">
        <f>T35+AA35</f>
        <v>1842.413</v>
      </c>
      <c r="AJ35" s="16">
        <f>U35+AB35</f>
        <v>620</v>
      </c>
      <c r="AK35" s="16">
        <f t="shared" si="70"/>
        <v>0</v>
      </c>
      <c r="AL35" s="1222">
        <f>W35+AD35</f>
        <v>156</v>
      </c>
      <c r="AM35" s="622">
        <f>X35+AE35</f>
        <v>0</v>
      </c>
      <c r="AN35" s="622">
        <f>Y35+AF35</f>
        <v>7873.0999999999995</v>
      </c>
      <c r="AO35" s="622">
        <f>SUM(AI35:AN35)</f>
        <v>10491.512999999999</v>
      </c>
      <c r="AP35" s="622">
        <f>SUM(AI35:AM35)</f>
        <v>2618.413</v>
      </c>
      <c r="AQ35" s="622">
        <f>SUM(AI35:AL35)</f>
        <v>2618.413</v>
      </c>
      <c r="AR35" s="178">
        <f t="shared" si="32"/>
        <v>0</v>
      </c>
      <c r="AS35" s="16">
        <f t="shared" si="71"/>
        <v>5070339.0001300005</v>
      </c>
      <c r="AT35" s="16">
        <f t="shared" si="71"/>
        <v>1706246.2000000002</v>
      </c>
      <c r="AU35" s="16">
        <f t="shared" si="71"/>
        <v>0</v>
      </c>
      <c r="AV35" s="16">
        <f t="shared" si="71"/>
        <v>429313.56000000006</v>
      </c>
      <c r="AW35" s="16">
        <f t="shared" si="71"/>
        <v>0</v>
      </c>
      <c r="AX35" s="16">
        <f t="shared" si="46"/>
        <v>7205898.7601300012</v>
      </c>
      <c r="AY35" s="16">
        <f t="shared" si="47"/>
        <v>7205898.7601300012</v>
      </c>
      <c r="AZ35" s="16">
        <f t="shared" si="72"/>
        <v>5463675.7515000002</v>
      </c>
      <c r="BA35" s="16">
        <f t="shared" si="72"/>
        <v>1838610</v>
      </c>
      <c r="BB35" s="16">
        <f t="shared" si="72"/>
        <v>0</v>
      </c>
      <c r="BC35" s="16">
        <f t="shared" si="72"/>
        <v>462618</v>
      </c>
      <c r="BD35" s="16">
        <f t="shared" si="72"/>
        <v>0</v>
      </c>
      <c r="BE35" s="16">
        <f t="shared" si="48"/>
        <v>7764903.7515000002</v>
      </c>
      <c r="BF35" s="16">
        <f t="shared" si="49"/>
        <v>7764903.7515000002</v>
      </c>
      <c r="BG35" s="16"/>
      <c r="BH35" s="16"/>
      <c r="BI35" s="16">
        <f t="shared" si="5"/>
        <v>0</v>
      </c>
      <c r="BJ35" s="1256">
        <v>7764.8952787105445</v>
      </c>
      <c r="BK35" s="1256">
        <f>7086.26801620737*1.2</f>
        <v>8503.5216194488439</v>
      </c>
      <c r="BL35" s="16">
        <f>I35*T35</f>
        <v>2889610.5</v>
      </c>
      <c r="BM35" s="16">
        <f>J35*U35</f>
        <v>861379.13000000012</v>
      </c>
      <c r="BN35" s="16">
        <f t="shared" si="53"/>
        <v>0</v>
      </c>
      <c r="BO35" s="16">
        <f>L35*W35</f>
        <v>261440.95</v>
      </c>
      <c r="BP35" s="16">
        <f>M35*X35</f>
        <v>0</v>
      </c>
      <c r="BQ35" s="16">
        <f>BL35+BM35+BN35+BO35+BP35</f>
        <v>4012430.58</v>
      </c>
      <c r="BR35" s="16">
        <f>BQ35-BP35</f>
        <v>4012430.58</v>
      </c>
      <c r="BS35" s="16">
        <f t="shared" si="56"/>
        <v>2349900.7515000002</v>
      </c>
      <c r="BT35" s="16">
        <f t="shared" si="56"/>
        <v>910408.5</v>
      </c>
      <c r="BU35" s="16">
        <f t="shared" si="56"/>
        <v>0</v>
      </c>
      <c r="BV35" s="16">
        <f>R35*W35</f>
        <v>281722.5</v>
      </c>
      <c r="BW35" s="16">
        <f>S35*AE35</f>
        <v>0</v>
      </c>
      <c r="BX35" s="16">
        <f>BS35+BT35+BU35+BV35+BW35</f>
        <v>3542031.7515000002</v>
      </c>
      <c r="BY35" s="16">
        <f>BX35-BW35</f>
        <v>3542031.7515000002</v>
      </c>
      <c r="BZ35" s="1223">
        <f>BM35+BT35</f>
        <v>1771787.6300000001</v>
      </c>
      <c r="CA35" s="1223">
        <f>BN35+BU35</f>
        <v>0</v>
      </c>
      <c r="CB35" s="1223">
        <f>BZ35+CA35</f>
        <v>1771787.6300000001</v>
      </c>
      <c r="CC35" s="1224">
        <f>BZ35/AJ35</f>
        <v>2857.721983870968</v>
      </c>
      <c r="CD35" s="1224" t="e">
        <f>CA35/AK35</f>
        <v>#DIV/0!</v>
      </c>
      <c r="CE35" s="1224">
        <f t="shared" si="35"/>
        <v>2857.721983870968</v>
      </c>
      <c r="CF35" s="1223">
        <f t="shared" si="15"/>
        <v>2857.721983870968</v>
      </c>
      <c r="CG35" s="1225">
        <f t="shared" si="16"/>
        <v>1771787.6300000001</v>
      </c>
      <c r="CH35" s="1226">
        <f t="shared" si="36"/>
        <v>2857.721983870968</v>
      </c>
      <c r="CI35" s="819"/>
      <c r="CJ35" s="227">
        <f t="shared" si="37"/>
        <v>4323.6989999999996</v>
      </c>
      <c r="CK35" s="227">
        <f t="shared" si="17"/>
        <v>3441.2047515000004</v>
      </c>
      <c r="CL35" s="227">
        <f>CJ35+CK35-0.00847278945548169</f>
        <v>7764.8952787105445</v>
      </c>
      <c r="CM35" s="18">
        <f t="shared" si="39"/>
        <v>7764.9037515</v>
      </c>
      <c r="CN35" s="18">
        <f t="shared" si="40"/>
        <v>8.4727894554816885E-3</v>
      </c>
      <c r="CO35" s="163">
        <f t="shared" si="18"/>
        <v>7453635.3315000013</v>
      </c>
      <c r="CP35" s="163">
        <f t="shared" si="19"/>
        <v>7205898.7601300012</v>
      </c>
      <c r="CQ35" s="163">
        <f t="shared" si="20"/>
        <v>7205898.7601300012</v>
      </c>
      <c r="CR35" s="163">
        <f t="shared" si="21"/>
        <v>4012430.58</v>
      </c>
      <c r="CS35" s="163">
        <f t="shared" si="22"/>
        <v>7764903.7515000002</v>
      </c>
      <c r="CT35" s="163">
        <f t="shared" si="23"/>
        <v>7764903.7515000002</v>
      </c>
      <c r="CU35" s="163">
        <f t="shared" si="24"/>
        <v>3441204.7515000002</v>
      </c>
      <c r="CV35" s="163">
        <f t="shared" si="41"/>
        <v>14970802.511630002</v>
      </c>
      <c r="CW35" s="1055">
        <f t="shared" si="42"/>
        <v>5717.5100000000011</v>
      </c>
      <c r="CX35" s="163">
        <f t="shared" si="25"/>
        <v>1706246.2000000002</v>
      </c>
      <c r="CY35" s="163">
        <f t="shared" si="26"/>
        <v>1838610</v>
      </c>
      <c r="CZ35" s="163"/>
      <c r="DA35" s="163">
        <f t="shared" si="27"/>
        <v>7205898.7601300012</v>
      </c>
      <c r="DB35" s="163">
        <f t="shared" si="28"/>
        <v>7764903.7515000002</v>
      </c>
      <c r="DD35" s="742">
        <f t="shared" si="43"/>
        <v>107.75760262499045</v>
      </c>
      <c r="DH35" s="163">
        <v>2699.88</v>
      </c>
      <c r="DI35" s="163">
        <v>645.88</v>
      </c>
      <c r="DJ35" s="163">
        <f t="shared" si="44"/>
        <v>2054</v>
      </c>
      <c r="DL35" s="771">
        <f t="shared" si="29"/>
        <v>0</v>
      </c>
      <c r="DM35" s="771">
        <f t="shared" si="30"/>
        <v>0</v>
      </c>
      <c r="DN35" s="771">
        <f t="shared" si="31"/>
        <v>0</v>
      </c>
    </row>
    <row r="36" spans="1:119" customFormat="1" ht="100.5" customHeight="1">
      <c r="A36" s="695">
        <f t="shared" si="45"/>
        <v>23</v>
      </c>
      <c r="B36" s="1281"/>
      <c r="C36" s="1281"/>
      <c r="D36" s="735" t="s">
        <v>877</v>
      </c>
      <c r="E36" s="706">
        <v>4607005286</v>
      </c>
      <c r="F36" s="696" t="s">
        <v>165</v>
      </c>
      <c r="G36" s="1253" t="s">
        <v>876</v>
      </c>
      <c r="H36" s="870">
        <v>865.03</v>
      </c>
      <c r="I36" s="827"/>
      <c r="J36" s="827"/>
      <c r="K36" s="827"/>
      <c r="L36" s="827">
        <v>865.03</v>
      </c>
      <c r="M36" s="877"/>
      <c r="N36" s="857"/>
      <c r="O36" s="697"/>
      <c r="P36" s="697"/>
      <c r="Q36" s="697"/>
      <c r="R36" s="697"/>
      <c r="S36" s="915"/>
      <c r="T36" s="935">
        <v>0</v>
      </c>
      <c r="U36" s="699"/>
      <c r="V36" s="699">
        <v>0</v>
      </c>
      <c r="W36" s="699"/>
      <c r="X36" s="699"/>
      <c r="Y36" s="699"/>
      <c r="Z36" s="934"/>
      <c r="AA36" s="899">
        <v>0</v>
      </c>
      <c r="AB36" s="699">
        <v>0</v>
      </c>
      <c r="AC36" s="699">
        <v>0</v>
      </c>
      <c r="AD36" s="699"/>
      <c r="AE36" s="699"/>
      <c r="AF36" s="699"/>
      <c r="AG36" s="934"/>
      <c r="AH36" s="953">
        <f>Z36+AG36</f>
        <v>0</v>
      </c>
      <c r="AI36" s="18">
        <f>T36+AA36</f>
        <v>0</v>
      </c>
      <c r="AJ36" s="18">
        <f>U36+AB36</f>
        <v>0</v>
      </c>
      <c r="AK36" s="18">
        <f>V36+AC36</f>
        <v>0</v>
      </c>
      <c r="AL36" s="18">
        <f>W36+AD36</f>
        <v>0</v>
      </c>
      <c r="AM36" s="18">
        <f>X36+AE36</f>
        <v>0</v>
      </c>
      <c r="AN36" s="18">
        <v>0</v>
      </c>
      <c r="AO36" s="18">
        <f>SUM(AI36:AN36)</f>
        <v>0</v>
      </c>
      <c r="AP36" s="18">
        <f>SUM(AI36:AM36)</f>
        <v>0</v>
      </c>
      <c r="AQ36" s="18">
        <f>SUM(AI36:AL36)</f>
        <v>0</v>
      </c>
      <c r="AR36" s="99">
        <f t="shared" si="32"/>
        <v>0</v>
      </c>
      <c r="AS36" s="18">
        <f t="shared" si="71"/>
        <v>0</v>
      </c>
      <c r="AT36" s="18">
        <f t="shared" si="71"/>
        <v>0</v>
      </c>
      <c r="AU36" s="18">
        <f t="shared" si="71"/>
        <v>0</v>
      </c>
      <c r="AV36" s="18">
        <f t="shared" si="71"/>
        <v>0</v>
      </c>
      <c r="AW36" s="18">
        <f t="shared" si="71"/>
        <v>0</v>
      </c>
      <c r="AX36" s="18">
        <f t="shared" si="46"/>
        <v>0</v>
      </c>
      <c r="AY36" s="18">
        <f t="shared" si="47"/>
        <v>0</v>
      </c>
      <c r="AZ36" s="18">
        <f t="shared" si="72"/>
        <v>0</v>
      </c>
      <c r="BA36" s="18">
        <f t="shared" si="72"/>
        <v>0</v>
      </c>
      <c r="BB36" s="18">
        <f t="shared" si="72"/>
        <v>0</v>
      </c>
      <c r="BC36" s="18">
        <f t="shared" si="72"/>
        <v>0</v>
      </c>
      <c r="BD36" s="18">
        <f t="shared" si="72"/>
        <v>0</v>
      </c>
      <c r="BE36" s="18">
        <f t="shared" si="48"/>
        <v>0</v>
      </c>
      <c r="BF36" s="18">
        <f t="shared" si="49"/>
        <v>0</v>
      </c>
      <c r="BG36" s="163"/>
      <c r="BH36" s="163"/>
      <c r="BI36" s="163"/>
      <c r="BJ36" s="163">
        <v>731.11</v>
      </c>
      <c r="BK36" s="163">
        <v>729.77</v>
      </c>
      <c r="BL36" s="18">
        <f>I36*T36</f>
        <v>0</v>
      </c>
      <c r="BM36" s="18">
        <f>J36*U36</f>
        <v>0</v>
      </c>
      <c r="BN36" s="18">
        <f>K36*V36</f>
        <v>0</v>
      </c>
      <c r="BO36" s="18">
        <f>L36*W36</f>
        <v>0</v>
      </c>
      <c r="BP36" s="18">
        <f>M36*X36</f>
        <v>0</v>
      </c>
      <c r="BQ36" s="18">
        <f>BL36+BM36+BN36+BO36+BP36</f>
        <v>0</v>
      </c>
      <c r="BR36" s="18">
        <f>BQ36-BP36</f>
        <v>0</v>
      </c>
      <c r="BS36" s="18">
        <f t="shared" si="56"/>
        <v>0</v>
      </c>
      <c r="BT36" s="18">
        <f t="shared" si="56"/>
        <v>0</v>
      </c>
      <c r="BU36" s="18">
        <f t="shared" si="56"/>
        <v>0</v>
      </c>
      <c r="BV36" s="18">
        <f>R36*W36</f>
        <v>0</v>
      </c>
      <c r="BW36" s="18">
        <f>S36*AE36</f>
        <v>0</v>
      </c>
      <c r="BX36" s="18">
        <f>BS36+BT36+BU36+BV36+BW36</f>
        <v>0</v>
      </c>
      <c r="BY36" s="18">
        <f>BX36-BW36</f>
        <v>0</v>
      </c>
      <c r="BZ36" s="161">
        <f>BM36+BT36</f>
        <v>0</v>
      </c>
      <c r="CA36" s="161">
        <f>BN36+BU36</f>
        <v>0</v>
      </c>
      <c r="CB36" s="161">
        <f>BZ36+CA36</f>
        <v>0</v>
      </c>
      <c r="CC36" s="162" t="e">
        <f>BZ36/AJ36</f>
        <v>#DIV/0!</v>
      </c>
      <c r="CD36" s="162" t="e">
        <f>CA36/AK36</f>
        <v>#DIV/0!</v>
      </c>
      <c r="CE36" s="162" t="e">
        <f t="shared" si="35"/>
        <v>#DIV/0!</v>
      </c>
      <c r="CF36" s="161" t="e">
        <f t="shared" si="15"/>
        <v>#DIV/0!</v>
      </c>
      <c r="CG36" s="651">
        <f t="shared" si="16"/>
        <v>0</v>
      </c>
      <c r="CH36" s="652" t="e">
        <f t="shared" si="36"/>
        <v>#DIV/0!</v>
      </c>
      <c r="CJ36" s="208">
        <f t="shared" si="37"/>
        <v>0</v>
      </c>
      <c r="CK36" s="208">
        <f t="shared" si="17"/>
        <v>0</v>
      </c>
      <c r="CL36" s="18">
        <f t="shared" si="38"/>
        <v>0</v>
      </c>
      <c r="CM36" s="18">
        <f t="shared" si="39"/>
        <v>0</v>
      </c>
      <c r="CN36" s="18">
        <f t="shared" si="40"/>
        <v>0</v>
      </c>
      <c r="CO36" s="18">
        <f t="shared" si="18"/>
        <v>0</v>
      </c>
      <c r="CP36" s="18">
        <f t="shared" si="19"/>
        <v>0</v>
      </c>
      <c r="CQ36" s="18">
        <f t="shared" si="20"/>
        <v>0</v>
      </c>
      <c r="CR36" s="18">
        <f t="shared" si="21"/>
        <v>0</v>
      </c>
      <c r="CS36" s="18">
        <f t="shared" si="22"/>
        <v>0</v>
      </c>
      <c r="CT36" s="18">
        <f t="shared" si="23"/>
        <v>0</v>
      </c>
      <c r="CU36" s="18">
        <f t="shared" si="24"/>
        <v>0</v>
      </c>
      <c r="CV36" s="18">
        <f t="shared" si="41"/>
        <v>0</v>
      </c>
      <c r="CW36" s="843" t="e">
        <f t="shared" si="42"/>
        <v>#DIV/0!</v>
      </c>
      <c r="CX36" s="18">
        <f t="shared" si="25"/>
        <v>0</v>
      </c>
      <c r="CY36" s="18">
        <f t="shared" si="26"/>
        <v>0</v>
      </c>
      <c r="CZ36" s="18"/>
      <c r="DA36" s="18">
        <f t="shared" si="27"/>
        <v>0</v>
      </c>
      <c r="DB36" s="18">
        <f t="shared" si="28"/>
        <v>0</v>
      </c>
      <c r="DD36" s="653" t="e">
        <f t="shared" si="43"/>
        <v>#DIV/0!</v>
      </c>
      <c r="DH36" s="18">
        <v>865.88</v>
      </c>
      <c r="DI36" s="18">
        <v>0</v>
      </c>
      <c r="DJ36" s="18">
        <f t="shared" si="44"/>
        <v>865.88</v>
      </c>
      <c r="DL36" s="701">
        <f t="shared" si="29"/>
        <v>0</v>
      </c>
      <c r="DM36" s="701">
        <f t="shared" si="30"/>
        <v>0</v>
      </c>
      <c r="DN36" s="701">
        <f t="shared" si="31"/>
        <v>0</v>
      </c>
    </row>
    <row r="37" spans="1:119" customFormat="1" ht="100.5" customHeight="1">
      <c r="A37" s="20">
        <f t="shared" si="45"/>
        <v>24</v>
      </c>
      <c r="B37" s="1287"/>
      <c r="C37" s="1285"/>
      <c r="D37" s="967" t="s">
        <v>141</v>
      </c>
      <c r="E37" s="617">
        <v>4632024035</v>
      </c>
      <c r="F37" s="1280" t="s">
        <v>8</v>
      </c>
      <c r="G37" s="1245" t="s">
        <v>956</v>
      </c>
      <c r="H37" s="866">
        <v>3299.1600000000003</v>
      </c>
      <c r="I37" s="825">
        <v>3299.1600000000003</v>
      </c>
      <c r="J37" s="756">
        <v>2896.52</v>
      </c>
      <c r="K37" s="756"/>
      <c r="L37" s="872">
        <v>3299.1600000000003</v>
      </c>
      <c r="M37" s="873"/>
      <c r="N37" s="1207">
        <f t="shared" ref="N37:N42" si="73">2762.47*1.2</f>
        <v>3314.9639999999995</v>
      </c>
      <c r="O37" s="1208">
        <f t="shared" ref="O37:O42" si="74">N37</f>
        <v>3314.9639999999995</v>
      </c>
      <c r="P37" s="964">
        <v>2950.21</v>
      </c>
      <c r="Q37" s="964"/>
      <c r="R37" s="1208">
        <f t="shared" ref="R37:R42" si="75">O37</f>
        <v>3314.9639999999995</v>
      </c>
      <c r="S37" s="913"/>
      <c r="T37" s="973">
        <v>398.4769430957648</v>
      </c>
      <c r="U37" s="974">
        <v>15.624532239806888</v>
      </c>
      <c r="V37" s="977"/>
      <c r="W37" s="974"/>
      <c r="X37" s="974"/>
      <c r="Y37" s="974"/>
      <c r="Z37" s="978">
        <f t="shared" si="50"/>
        <v>414.10147533557171</v>
      </c>
      <c r="AA37" s="975">
        <v>231.39040524470337</v>
      </c>
      <c r="AB37" s="974">
        <v>11.718399179855165</v>
      </c>
      <c r="AC37" s="227"/>
      <c r="AD37" s="16"/>
      <c r="AE37" s="16"/>
      <c r="AF37" s="16"/>
      <c r="AG37" s="926">
        <f t="shared" si="51"/>
        <v>243.10880442455854</v>
      </c>
      <c r="AH37" s="972">
        <f t="shared" si="52"/>
        <v>657.21027976013022</v>
      </c>
      <c r="AI37" s="15">
        <f t="shared" si="70"/>
        <v>629.8673483404682</v>
      </c>
      <c r="AJ37" s="15">
        <f t="shared" si="70"/>
        <v>27.342931419662051</v>
      </c>
      <c r="AK37" s="15">
        <f t="shared" si="70"/>
        <v>0</v>
      </c>
      <c r="AL37" s="15">
        <f t="shared" si="70"/>
        <v>0</v>
      </c>
      <c r="AM37" s="15">
        <f t="shared" si="70"/>
        <v>0</v>
      </c>
      <c r="AN37" s="15"/>
      <c r="AO37" s="15">
        <f>SUM(AI37:AN37)</f>
        <v>657.21027976013022</v>
      </c>
      <c r="AP37" s="15">
        <f t="shared" si="68"/>
        <v>657.21027976013022</v>
      </c>
      <c r="AQ37" s="16">
        <f t="shared" si="69"/>
        <v>657.21027976013022</v>
      </c>
      <c r="AR37" s="636">
        <f t="shared" si="32"/>
        <v>0</v>
      </c>
      <c r="AS37" s="629">
        <f t="shared" si="71"/>
        <v>2078033.1609509392</v>
      </c>
      <c r="AT37" s="629">
        <f t="shared" si="71"/>
        <v>79199.347715679527</v>
      </c>
      <c r="AU37" s="629">
        <f t="shared" si="71"/>
        <v>0</v>
      </c>
      <c r="AV37" s="633">
        <f t="shared" si="71"/>
        <v>0</v>
      </c>
      <c r="AW37" s="633">
        <f t="shared" si="71"/>
        <v>0</v>
      </c>
      <c r="AX37" s="629">
        <f t="shared" si="46"/>
        <v>2157232.5086666187</v>
      </c>
      <c r="AY37" s="629">
        <f t="shared" si="47"/>
        <v>2157232.5086666187</v>
      </c>
      <c r="AZ37" s="629">
        <f t="shared" si="72"/>
        <v>2087987.5845241116</v>
      </c>
      <c r="BA37" s="629">
        <f t="shared" si="72"/>
        <v>80667.389703601177</v>
      </c>
      <c r="BB37" s="629">
        <f t="shared" si="72"/>
        <v>0</v>
      </c>
      <c r="BC37" s="629">
        <f t="shared" si="72"/>
        <v>0</v>
      </c>
      <c r="BD37" s="629">
        <f t="shared" si="72"/>
        <v>0</v>
      </c>
      <c r="BE37" s="629">
        <f t="shared" si="48"/>
        <v>2168654.974227713</v>
      </c>
      <c r="BF37" s="629">
        <f t="shared" si="49"/>
        <v>2168654.974227713</v>
      </c>
      <c r="BG37" s="623">
        <f>(O37-P37)/1.2*U37/1000</f>
        <v>4.7492588604987613</v>
      </c>
      <c r="BH37" s="624">
        <f>(O37-P37)/1.2*AB37/1000</f>
        <v>3.561944145374071</v>
      </c>
      <c r="BI37" s="623">
        <f t="shared" ref="BI37:BI42" si="76">BG37+BH37</f>
        <v>8.3112030058728319</v>
      </c>
      <c r="BJ37" s="126"/>
      <c r="BK37" s="126"/>
      <c r="BL37" s="112">
        <f t="shared" si="53"/>
        <v>1314639.1915838234</v>
      </c>
      <c r="BM37" s="112">
        <f t="shared" si="53"/>
        <v>45256.770123245449</v>
      </c>
      <c r="BN37" s="112">
        <f t="shared" si="53"/>
        <v>0</v>
      </c>
      <c r="BO37" s="112">
        <f t="shared" si="53"/>
        <v>0</v>
      </c>
      <c r="BP37" s="112">
        <f t="shared" si="53"/>
        <v>0</v>
      </c>
      <c r="BQ37" s="112">
        <f t="shared" si="54"/>
        <v>1359895.9617070688</v>
      </c>
      <c r="BR37" s="112">
        <f t="shared" si="55"/>
        <v>1359895.9617070688</v>
      </c>
      <c r="BS37" s="112">
        <f t="shared" si="56"/>
        <v>767050.86333160277</v>
      </c>
      <c r="BT37" s="112">
        <f t="shared" si="56"/>
        <v>34571.738444400507</v>
      </c>
      <c r="BU37" s="112">
        <f t="shared" si="56"/>
        <v>0</v>
      </c>
      <c r="BV37" s="112">
        <f t="shared" si="57"/>
        <v>0</v>
      </c>
      <c r="BW37" s="112">
        <f t="shared" si="14"/>
        <v>0</v>
      </c>
      <c r="BX37" s="112">
        <f t="shared" si="58"/>
        <v>801622.60177600326</v>
      </c>
      <c r="BY37" s="112">
        <f t="shared" si="59"/>
        <v>801622.60177600326</v>
      </c>
      <c r="BZ37" s="113">
        <f t="shared" si="60"/>
        <v>79828.508567645957</v>
      </c>
      <c r="CA37" s="113">
        <f t="shared" si="60"/>
        <v>0</v>
      </c>
      <c r="CB37" s="113">
        <f t="shared" si="61"/>
        <v>79828.508567645957</v>
      </c>
      <c r="CC37" s="119">
        <f t="shared" si="62"/>
        <v>2919.53</v>
      </c>
      <c r="CD37" s="119" t="e">
        <f t="shared" si="62"/>
        <v>#DIV/0!</v>
      </c>
      <c r="CE37" s="119">
        <f t="shared" si="35"/>
        <v>2919.53</v>
      </c>
      <c r="CF37" s="119">
        <f t="shared" si="15"/>
        <v>2919.53</v>
      </c>
      <c r="CG37" s="619">
        <f t="shared" si="16"/>
        <v>90393.9032031307</v>
      </c>
      <c r="CH37" s="132">
        <f t="shared" si="36"/>
        <v>3305.9331428571436</v>
      </c>
      <c r="CI37" s="625"/>
      <c r="CJ37" s="208">
        <f t="shared" si="37"/>
        <v>1372.7314830843079</v>
      </c>
      <c r="CK37" s="208">
        <f t="shared" si="17"/>
        <v>805.89693475045215</v>
      </c>
      <c r="CL37" s="208">
        <f t="shared" si="38"/>
        <v>2178.6284178347601</v>
      </c>
      <c r="CM37" s="18">
        <f t="shared" si="39"/>
        <v>2178.6284178347601</v>
      </c>
      <c r="CN37" s="18">
        <f t="shared" si="40"/>
        <v>0</v>
      </c>
      <c r="CO37" s="112">
        <f t="shared" si="18"/>
        <v>2172083.958118557</v>
      </c>
      <c r="CP37" s="112">
        <f t="shared" si="19"/>
        <v>2157232.5086666187</v>
      </c>
      <c r="CQ37" s="112">
        <f t="shared" si="20"/>
        <v>2157232.5086666187</v>
      </c>
      <c r="CR37" s="112">
        <f t="shared" si="21"/>
        <v>1359895.9617070688</v>
      </c>
      <c r="CS37" s="112">
        <f t="shared" si="22"/>
        <v>2168654.974227713</v>
      </c>
      <c r="CT37" s="112">
        <f t="shared" si="23"/>
        <v>2168654.974227713</v>
      </c>
      <c r="CU37" s="112">
        <f t="shared" si="24"/>
        <v>801622.60177600326</v>
      </c>
      <c r="CV37" s="112">
        <f t="shared" si="41"/>
        <v>4325887.4828943312</v>
      </c>
      <c r="CW37" s="843">
        <f t="shared" si="42"/>
        <v>6582.1969255763943</v>
      </c>
      <c r="CX37" s="112">
        <f t="shared" si="25"/>
        <v>79199.347715679527</v>
      </c>
      <c r="CY37" s="112">
        <f t="shared" si="26"/>
        <v>80667.389703601177</v>
      </c>
      <c r="CZ37" s="112"/>
      <c r="DA37" s="112">
        <f t="shared" si="27"/>
        <v>2168241.8665734315</v>
      </c>
      <c r="DB37" s="112">
        <f t="shared" si="28"/>
        <v>2178628.4178347602</v>
      </c>
      <c r="DC37" s="625"/>
      <c r="DD37" s="128">
        <f t="shared" si="43"/>
        <v>114.44643917528619</v>
      </c>
      <c r="DE37" s="625"/>
      <c r="DF37" s="625"/>
      <c r="DG37" s="625"/>
      <c r="DH37" s="797">
        <v>678.05100000000004</v>
      </c>
      <c r="DI37" s="797">
        <v>28.21</v>
      </c>
      <c r="DJ37" s="797">
        <f t="shared" si="44"/>
        <v>649.84100000000001</v>
      </c>
      <c r="DK37" s="625"/>
      <c r="DL37" s="618">
        <f t="shared" si="29"/>
        <v>0</v>
      </c>
      <c r="DM37" s="618">
        <f t="shared" si="30"/>
        <v>0</v>
      </c>
      <c r="DN37" s="618">
        <f t="shared" si="31"/>
        <v>0</v>
      </c>
      <c r="DO37" s="123"/>
    </row>
    <row r="38" spans="1:119" customFormat="1" ht="100.5" customHeight="1">
      <c r="A38" s="20">
        <f t="shared" si="45"/>
        <v>25</v>
      </c>
      <c r="B38" s="1287"/>
      <c r="C38" s="757" t="s">
        <v>88</v>
      </c>
      <c r="D38" s="967" t="s">
        <v>141</v>
      </c>
      <c r="E38" s="617">
        <v>4632024035</v>
      </c>
      <c r="F38" s="1280" t="s">
        <v>8</v>
      </c>
      <c r="G38" s="1245" t="s">
        <v>956</v>
      </c>
      <c r="H38" s="866">
        <v>3299.1600000000003</v>
      </c>
      <c r="I38" s="825">
        <v>3299.1600000000003</v>
      </c>
      <c r="J38" s="756">
        <v>2896.52</v>
      </c>
      <c r="K38" s="756"/>
      <c r="L38" s="872">
        <v>3299.1600000000003</v>
      </c>
      <c r="M38" s="867"/>
      <c r="N38" s="1207">
        <f t="shared" si="73"/>
        <v>3314.9639999999995</v>
      </c>
      <c r="O38" s="1208">
        <f t="shared" si="74"/>
        <v>3314.9639999999995</v>
      </c>
      <c r="P38" s="964">
        <v>2950.21</v>
      </c>
      <c r="Q38" s="964"/>
      <c r="R38" s="1208">
        <f t="shared" si="75"/>
        <v>3314.9639999999995</v>
      </c>
      <c r="S38" s="910"/>
      <c r="T38" s="973">
        <v>650.57663840471844</v>
      </c>
      <c r="U38" s="974">
        <v>3608.4721510903883</v>
      </c>
      <c r="V38" s="227"/>
      <c r="W38" s="16"/>
      <c r="X38" s="16"/>
      <c r="Y38" s="16"/>
      <c r="Z38" s="926">
        <f t="shared" si="50"/>
        <v>4259.0487894951066</v>
      </c>
      <c r="AA38" s="975">
        <v>377.7802534607402</v>
      </c>
      <c r="AB38" s="825">
        <v>2706.3783449124558</v>
      </c>
      <c r="AC38" s="227"/>
      <c r="AD38" s="16"/>
      <c r="AE38" s="16"/>
      <c r="AF38" s="16"/>
      <c r="AG38" s="926">
        <f t="shared" si="51"/>
        <v>3084.1585983731961</v>
      </c>
      <c r="AH38" s="972">
        <f t="shared" si="52"/>
        <v>7343.2073878683022</v>
      </c>
      <c r="AI38" s="15">
        <f t="shared" si="70"/>
        <v>1028.3568918654587</v>
      </c>
      <c r="AJ38" s="15">
        <f t="shared" si="70"/>
        <v>6314.850496002844</v>
      </c>
      <c r="AK38" s="15">
        <f t="shared" si="70"/>
        <v>0</v>
      </c>
      <c r="AL38" s="15">
        <f t="shared" si="70"/>
        <v>0</v>
      </c>
      <c r="AM38" s="15">
        <f t="shared" si="70"/>
        <v>0</v>
      </c>
      <c r="AN38" s="15"/>
      <c r="AO38" s="15">
        <f t="shared" si="67"/>
        <v>7343.2073878683022</v>
      </c>
      <c r="AP38" s="15">
        <f t="shared" si="68"/>
        <v>7343.2073878683022</v>
      </c>
      <c r="AQ38" s="15">
        <f t="shared" si="69"/>
        <v>7343.2073878683022</v>
      </c>
      <c r="AR38" s="636">
        <f t="shared" si="32"/>
        <v>0</v>
      </c>
      <c r="AS38" s="629">
        <f t="shared" si="71"/>
        <v>3392713.923366847</v>
      </c>
      <c r="AT38" s="629">
        <f t="shared" si="71"/>
        <v>18291090.758682158</v>
      </c>
      <c r="AU38" s="629">
        <f t="shared" si="71"/>
        <v>0</v>
      </c>
      <c r="AV38" s="629">
        <f t="shared" si="71"/>
        <v>0</v>
      </c>
      <c r="AW38" s="629">
        <f t="shared" si="71"/>
        <v>0</v>
      </c>
      <c r="AX38" s="629">
        <f t="shared" si="46"/>
        <v>21683804.682049006</v>
      </c>
      <c r="AY38" s="629">
        <f t="shared" si="47"/>
        <v>21683804.682049006</v>
      </c>
      <c r="AZ38" s="629">
        <f t="shared" si="72"/>
        <v>3408966.0756858881</v>
      </c>
      <c r="BA38" s="629">
        <f t="shared" si="72"/>
        <v>18630135.081812549</v>
      </c>
      <c r="BB38" s="629">
        <f t="shared" si="72"/>
        <v>0</v>
      </c>
      <c r="BC38" s="629">
        <f t="shared" si="72"/>
        <v>0</v>
      </c>
      <c r="BD38" s="629">
        <f t="shared" si="72"/>
        <v>0</v>
      </c>
      <c r="BE38" s="629">
        <f t="shared" si="48"/>
        <v>22039101.157498438</v>
      </c>
      <c r="BF38" s="629">
        <f t="shared" si="49"/>
        <v>22039101.157498438</v>
      </c>
      <c r="BG38" s="623">
        <f>(O38-P38)/1.2*U38/1000</f>
        <v>1096.8372091656847</v>
      </c>
      <c r="BH38" s="624">
        <f>(O38-P38)/1.2*AB38/1000</f>
        <v>822.63527235016375</v>
      </c>
      <c r="BI38" s="623">
        <f t="shared" si="76"/>
        <v>1919.4724815158484</v>
      </c>
      <c r="BJ38" s="169"/>
      <c r="BK38" s="169"/>
      <c r="BL38" s="112">
        <f t="shared" si="53"/>
        <v>2146356.422359311</v>
      </c>
      <c r="BM38" s="112">
        <f t="shared" si="53"/>
        <v>10452011.755076332</v>
      </c>
      <c r="BN38" s="112">
        <f t="shared" si="53"/>
        <v>0</v>
      </c>
      <c r="BO38" s="112">
        <f t="shared" si="53"/>
        <v>0</v>
      </c>
      <c r="BP38" s="112">
        <f t="shared" si="53"/>
        <v>0</v>
      </c>
      <c r="BQ38" s="112">
        <f t="shared" si="54"/>
        <v>12598368.177435644</v>
      </c>
      <c r="BR38" s="112">
        <f t="shared" si="55"/>
        <v>12598368.177435644</v>
      </c>
      <c r="BS38" s="112">
        <f t="shared" si="56"/>
        <v>1252327.9401332289</v>
      </c>
      <c r="BT38" s="112">
        <f t="shared" si="56"/>
        <v>7984384.456944176</v>
      </c>
      <c r="BU38" s="112">
        <f t="shared" si="56"/>
        <v>0</v>
      </c>
      <c r="BV38" s="112">
        <f t="shared" si="57"/>
        <v>0</v>
      </c>
      <c r="BW38" s="112">
        <f t="shared" si="14"/>
        <v>0</v>
      </c>
      <c r="BX38" s="112">
        <f t="shared" si="58"/>
        <v>9236712.397077404</v>
      </c>
      <c r="BY38" s="112">
        <f t="shared" si="59"/>
        <v>9236712.397077404</v>
      </c>
      <c r="BZ38" s="113">
        <f t="shared" si="60"/>
        <v>18436396.212020509</v>
      </c>
      <c r="CA38" s="113">
        <f t="shared" si="60"/>
        <v>0</v>
      </c>
      <c r="CB38" s="113">
        <f t="shared" si="61"/>
        <v>18436396.212020509</v>
      </c>
      <c r="CC38" s="119">
        <f t="shared" si="62"/>
        <v>2919.5301177265123</v>
      </c>
      <c r="CD38" s="119" t="e">
        <f t="shared" si="62"/>
        <v>#DIV/0!</v>
      </c>
      <c r="CE38" s="119">
        <f t="shared" si="35"/>
        <v>2919.5301177265123</v>
      </c>
      <c r="CF38" s="119">
        <f t="shared" si="15"/>
        <v>2919.5301177265123</v>
      </c>
      <c r="CG38" s="619">
        <f t="shared" si="16"/>
        <v>20876473.765755739</v>
      </c>
      <c r="CH38" s="132">
        <f t="shared" si="36"/>
        <v>3305.9331775107057</v>
      </c>
      <c r="CI38" s="106"/>
      <c r="CJ38" s="208">
        <f t="shared" si="37"/>
        <v>14118.593411419854</v>
      </c>
      <c r="CK38" s="208">
        <f t="shared" si="17"/>
        <v>10223.874723897603</v>
      </c>
      <c r="CL38" s="208">
        <f t="shared" si="38"/>
        <v>24342.468135317456</v>
      </c>
      <c r="CM38" s="18">
        <f t="shared" si="39"/>
        <v>24342.468135317456</v>
      </c>
      <c r="CN38" s="18">
        <f t="shared" si="40"/>
        <v>0</v>
      </c>
      <c r="CO38" s="112">
        <f t="shared" si="18"/>
        <v>24275158.128248282</v>
      </c>
      <c r="CP38" s="112">
        <f t="shared" si="19"/>
        <v>21683804.682049006</v>
      </c>
      <c r="CQ38" s="112">
        <f t="shared" si="20"/>
        <v>21683804.682049006</v>
      </c>
      <c r="CR38" s="112">
        <f t="shared" si="21"/>
        <v>12598368.177435644</v>
      </c>
      <c r="CS38" s="112">
        <f t="shared" si="22"/>
        <v>22039101.157498438</v>
      </c>
      <c r="CT38" s="112">
        <f t="shared" si="23"/>
        <v>22039101.157498438</v>
      </c>
      <c r="CU38" s="112">
        <f t="shared" si="24"/>
        <v>9236712.397077404</v>
      </c>
      <c r="CV38" s="112">
        <f t="shared" si="41"/>
        <v>43722905.83954744</v>
      </c>
      <c r="CW38" s="843">
        <f t="shared" si="42"/>
        <v>5954.1973323240145</v>
      </c>
      <c r="CX38" s="112">
        <f t="shared" si="25"/>
        <v>18291090.758682158</v>
      </c>
      <c r="CY38" s="112">
        <f t="shared" si="26"/>
        <v>18630135.081812549</v>
      </c>
      <c r="CZ38" s="112"/>
      <c r="DA38" s="112">
        <f t="shared" si="27"/>
        <v>24226416.085759595</v>
      </c>
      <c r="DB38" s="112">
        <f t="shared" si="28"/>
        <v>24342468.135317456</v>
      </c>
      <c r="DC38" s="106"/>
      <c r="DD38" s="128">
        <f t="shared" si="43"/>
        <v>114.44643917528619</v>
      </c>
      <c r="DE38" s="106"/>
      <c r="DF38" s="106"/>
      <c r="DG38" s="106"/>
      <c r="DH38" s="797">
        <v>7576.067</v>
      </c>
      <c r="DI38" s="797">
        <v>6515.1</v>
      </c>
      <c r="DJ38" s="797">
        <f t="shared" si="44"/>
        <v>1060.9669999999996</v>
      </c>
      <c r="DK38" s="106"/>
      <c r="DL38" s="618">
        <f t="shared" si="29"/>
        <v>0</v>
      </c>
      <c r="DM38" s="618">
        <f t="shared" si="30"/>
        <v>0</v>
      </c>
      <c r="DN38" s="618">
        <f t="shared" si="31"/>
        <v>0</v>
      </c>
      <c r="DO38" s="115"/>
    </row>
    <row r="39" spans="1:119" customFormat="1" ht="100.5" customHeight="1">
      <c r="A39" s="20">
        <f t="shared" si="45"/>
        <v>26</v>
      </c>
      <c r="B39" s="1287"/>
      <c r="C39" s="757" t="s">
        <v>89</v>
      </c>
      <c r="D39" s="967" t="s">
        <v>141</v>
      </c>
      <c r="E39" s="617">
        <v>4632024035</v>
      </c>
      <c r="F39" s="1280" t="s">
        <v>8</v>
      </c>
      <c r="G39" s="1245" t="s">
        <v>956</v>
      </c>
      <c r="H39" s="866">
        <v>3299.1600000000003</v>
      </c>
      <c r="I39" s="825">
        <v>3299.1600000000003</v>
      </c>
      <c r="J39" s="756"/>
      <c r="K39" s="756"/>
      <c r="L39" s="872">
        <v>3299.1600000000003</v>
      </c>
      <c r="M39" s="867"/>
      <c r="N39" s="1207">
        <f t="shared" si="73"/>
        <v>3314.9639999999995</v>
      </c>
      <c r="O39" s="1208">
        <f t="shared" si="74"/>
        <v>3314.9639999999995</v>
      </c>
      <c r="P39" s="963"/>
      <c r="Q39" s="963"/>
      <c r="R39" s="1208">
        <f t="shared" si="75"/>
        <v>3314.9639999999995</v>
      </c>
      <c r="S39" s="910"/>
      <c r="T39" s="973">
        <v>206.78952107730024</v>
      </c>
      <c r="U39" s="15"/>
      <c r="V39" s="227"/>
      <c r="W39" s="16"/>
      <c r="X39" s="16"/>
      <c r="Y39" s="16"/>
      <c r="Z39" s="926">
        <f t="shared" si="50"/>
        <v>206.78952107730024</v>
      </c>
      <c r="AA39" s="975">
        <v>120.08015199287814</v>
      </c>
      <c r="AB39" s="15"/>
      <c r="AC39" s="208"/>
      <c r="AD39" s="15"/>
      <c r="AE39" s="15"/>
      <c r="AF39" s="15"/>
      <c r="AG39" s="926">
        <f t="shared" si="51"/>
        <v>120.08015199287814</v>
      </c>
      <c r="AH39" s="972">
        <f t="shared" si="52"/>
        <v>326.86967307017835</v>
      </c>
      <c r="AI39" s="15">
        <f t="shared" si="70"/>
        <v>326.86967307017835</v>
      </c>
      <c r="AJ39" s="15">
        <f t="shared" si="70"/>
        <v>0</v>
      </c>
      <c r="AK39" s="15">
        <f t="shared" si="70"/>
        <v>0</v>
      </c>
      <c r="AL39" s="15">
        <f t="shared" si="70"/>
        <v>0</v>
      </c>
      <c r="AM39" s="15">
        <f t="shared" si="70"/>
        <v>0</v>
      </c>
      <c r="AN39" s="15"/>
      <c r="AO39" s="15">
        <f t="shared" si="67"/>
        <v>326.86967307017835</v>
      </c>
      <c r="AP39" s="15">
        <f t="shared" si="68"/>
        <v>326.86967307017835</v>
      </c>
      <c r="AQ39" s="15">
        <f t="shared" si="69"/>
        <v>326.86967307017835</v>
      </c>
      <c r="AR39" s="127">
        <f t="shared" si="32"/>
        <v>0</v>
      </c>
      <c r="AS39" s="112">
        <f t="shared" si="71"/>
        <v>1078395.3506062096</v>
      </c>
      <c r="AT39" s="112">
        <f t="shared" si="71"/>
        <v>0</v>
      </c>
      <c r="AU39" s="112">
        <f t="shared" si="71"/>
        <v>0</v>
      </c>
      <c r="AV39" s="112">
        <f t="shared" si="71"/>
        <v>0</v>
      </c>
      <c r="AW39" s="112">
        <f t="shared" si="71"/>
        <v>0</v>
      </c>
      <c r="AX39" s="112">
        <f t="shared" si="46"/>
        <v>1078395.3506062096</v>
      </c>
      <c r="AY39" s="112">
        <f t="shared" si="47"/>
        <v>1078395.3506062096</v>
      </c>
      <c r="AZ39" s="112">
        <f t="shared" si="72"/>
        <v>1083561.1989194106</v>
      </c>
      <c r="BA39" s="112">
        <f t="shared" si="72"/>
        <v>0</v>
      </c>
      <c r="BB39" s="112">
        <f t="shared" si="72"/>
        <v>0</v>
      </c>
      <c r="BC39" s="112">
        <f t="shared" si="72"/>
        <v>0</v>
      </c>
      <c r="BD39" s="112">
        <f t="shared" si="72"/>
        <v>0</v>
      </c>
      <c r="BE39" s="112">
        <f t="shared" si="48"/>
        <v>1083561.1989194106</v>
      </c>
      <c r="BF39" s="112">
        <f t="shared" si="49"/>
        <v>1083561.1989194106</v>
      </c>
      <c r="BG39" s="648">
        <f>(I39-J39)/1.2*U39/1000</f>
        <v>0</v>
      </c>
      <c r="BH39" s="649">
        <f>(O39-P39)/1.2*AB39/1000</f>
        <v>0</v>
      </c>
      <c r="BI39" s="648">
        <f t="shared" si="76"/>
        <v>0</v>
      </c>
      <c r="BJ39" s="112"/>
      <c r="BK39" s="112"/>
      <c r="BL39" s="112">
        <f t="shared" si="53"/>
        <v>682231.71635738586</v>
      </c>
      <c r="BM39" s="112">
        <f t="shared" si="53"/>
        <v>0</v>
      </c>
      <c r="BN39" s="112">
        <f t="shared" si="53"/>
        <v>0</v>
      </c>
      <c r="BO39" s="112">
        <f t="shared" si="53"/>
        <v>0</v>
      </c>
      <c r="BP39" s="112">
        <f t="shared" si="53"/>
        <v>0</v>
      </c>
      <c r="BQ39" s="112">
        <f t="shared" si="54"/>
        <v>682231.71635738586</v>
      </c>
      <c r="BR39" s="112">
        <f t="shared" si="55"/>
        <v>682231.71635738586</v>
      </c>
      <c r="BS39" s="112">
        <f t="shared" si="56"/>
        <v>398061.38097091921</v>
      </c>
      <c r="BT39" s="112">
        <f t="shared" si="56"/>
        <v>0</v>
      </c>
      <c r="BU39" s="112">
        <f t="shared" si="56"/>
        <v>0</v>
      </c>
      <c r="BV39" s="112">
        <f t="shared" si="57"/>
        <v>0</v>
      </c>
      <c r="BW39" s="112">
        <f t="shared" si="14"/>
        <v>0</v>
      </c>
      <c r="BX39" s="112">
        <f t="shared" si="58"/>
        <v>398061.38097091921</v>
      </c>
      <c r="BY39" s="112">
        <f t="shared" si="59"/>
        <v>398061.38097091921</v>
      </c>
      <c r="BZ39" s="113">
        <f t="shared" si="60"/>
        <v>0</v>
      </c>
      <c r="CA39" s="113">
        <f t="shared" si="60"/>
        <v>0</v>
      </c>
      <c r="CB39" s="113">
        <f t="shared" si="61"/>
        <v>0</v>
      </c>
      <c r="CC39" s="119" t="e">
        <f t="shared" si="62"/>
        <v>#DIV/0!</v>
      </c>
      <c r="CD39" s="119" t="e">
        <f t="shared" si="62"/>
        <v>#DIV/0!</v>
      </c>
      <c r="CE39" s="119" t="e">
        <f t="shared" si="35"/>
        <v>#DIV/0!</v>
      </c>
      <c r="CF39" s="113" t="e">
        <f t="shared" si="15"/>
        <v>#DIV/0!</v>
      </c>
      <c r="CG39" s="619">
        <f t="shared" si="16"/>
        <v>0</v>
      </c>
      <c r="CH39" s="132" t="e">
        <f t="shared" si="36"/>
        <v>#DIV/0!</v>
      </c>
      <c r="CI39" s="106"/>
      <c r="CJ39" s="208">
        <f t="shared" si="37"/>
        <v>685.49981794849145</v>
      </c>
      <c r="CK39" s="208">
        <f t="shared" si="17"/>
        <v>398.06138097091923</v>
      </c>
      <c r="CL39" s="208">
        <f t="shared" si="38"/>
        <v>1083.5611989194108</v>
      </c>
      <c r="CM39" s="18">
        <f t="shared" si="39"/>
        <v>1083.5611989194106</v>
      </c>
      <c r="CN39" s="18">
        <f t="shared" si="40"/>
        <v>0</v>
      </c>
      <c r="CO39" s="112">
        <f t="shared" si="18"/>
        <v>1080293.097328305</v>
      </c>
      <c r="CP39" s="112">
        <f t="shared" si="19"/>
        <v>1078395.3506062096</v>
      </c>
      <c r="CQ39" s="112">
        <f t="shared" si="20"/>
        <v>1078395.3506062096</v>
      </c>
      <c r="CR39" s="112">
        <f t="shared" si="21"/>
        <v>682231.71635738586</v>
      </c>
      <c r="CS39" s="112">
        <f t="shared" si="22"/>
        <v>1083561.1989194106</v>
      </c>
      <c r="CT39" s="112">
        <f t="shared" si="23"/>
        <v>1083561.1989194106</v>
      </c>
      <c r="CU39" s="112">
        <f t="shared" si="24"/>
        <v>398061.38097091921</v>
      </c>
      <c r="CV39" s="112">
        <f t="shared" si="41"/>
        <v>2161956.5495256204</v>
      </c>
      <c r="CW39" s="843">
        <f t="shared" si="42"/>
        <v>6614.1240000000007</v>
      </c>
      <c r="CX39" s="112">
        <f t="shared" si="25"/>
        <v>0</v>
      </c>
      <c r="CY39" s="112">
        <f t="shared" si="26"/>
        <v>0</v>
      </c>
      <c r="CZ39" s="112"/>
      <c r="DA39" s="112">
        <f t="shared" si="27"/>
        <v>1078395.3506062096</v>
      </c>
      <c r="DB39" s="112">
        <f t="shared" si="28"/>
        <v>1083561.1989194106</v>
      </c>
      <c r="DC39" s="106"/>
      <c r="DD39" s="128" t="e">
        <f t="shared" si="43"/>
        <v>#DIV/0!</v>
      </c>
      <c r="DE39" s="106"/>
      <c r="DF39" s="106"/>
      <c r="DG39" s="106"/>
      <c r="DH39" s="797">
        <v>337.23500000000001</v>
      </c>
      <c r="DI39" s="797">
        <v>0</v>
      </c>
      <c r="DJ39" s="797">
        <f t="shared" si="44"/>
        <v>337.23500000000001</v>
      </c>
      <c r="DK39" s="106"/>
      <c r="DL39" s="618">
        <f t="shared" si="29"/>
        <v>0</v>
      </c>
      <c r="DM39" s="618">
        <f t="shared" si="30"/>
        <v>0</v>
      </c>
      <c r="DN39" s="618">
        <f t="shared" si="31"/>
        <v>0</v>
      </c>
      <c r="DO39" s="115"/>
    </row>
    <row r="40" spans="1:119" customFormat="1" ht="100.5" customHeight="1">
      <c r="A40" s="20">
        <f t="shared" si="45"/>
        <v>27</v>
      </c>
      <c r="B40" s="1288" t="s">
        <v>15</v>
      </c>
      <c r="C40" s="989" t="s">
        <v>168</v>
      </c>
      <c r="D40" s="967" t="s">
        <v>141</v>
      </c>
      <c r="E40" s="617">
        <v>4632024035</v>
      </c>
      <c r="F40" s="1280" t="s">
        <v>8</v>
      </c>
      <c r="G40" s="1245" t="s">
        <v>956</v>
      </c>
      <c r="H40" s="866">
        <v>3299.1600000000003</v>
      </c>
      <c r="I40" s="825">
        <v>3299.1600000000003</v>
      </c>
      <c r="J40" s="756">
        <v>2239.86</v>
      </c>
      <c r="K40" s="756"/>
      <c r="L40" s="872">
        <v>3299.1600000000003</v>
      </c>
      <c r="M40" s="867"/>
      <c r="N40" s="1207">
        <f t="shared" si="73"/>
        <v>3314.9639999999995</v>
      </c>
      <c r="O40" s="1208">
        <f t="shared" si="74"/>
        <v>3314.9639999999995</v>
      </c>
      <c r="P40" s="964">
        <v>2484</v>
      </c>
      <c r="Q40" s="964"/>
      <c r="R40" s="1208">
        <f t="shared" si="75"/>
        <v>3314.9639999999995</v>
      </c>
      <c r="S40" s="910"/>
      <c r="T40" s="968">
        <v>1533.6079336918144</v>
      </c>
      <c r="U40" s="987">
        <v>1145.2820902329911</v>
      </c>
      <c r="V40" s="988"/>
      <c r="W40" s="987"/>
      <c r="X40" s="987"/>
      <c r="Y40" s="987"/>
      <c r="Z40" s="971">
        <f t="shared" si="50"/>
        <v>2678.8900239248055</v>
      </c>
      <c r="AA40" s="972">
        <v>890.36571436021131</v>
      </c>
      <c r="AB40" s="987">
        <v>858.96156767474338</v>
      </c>
      <c r="AC40" s="208"/>
      <c r="AD40" s="15"/>
      <c r="AE40" s="15"/>
      <c r="AF40" s="15"/>
      <c r="AG40" s="926">
        <f t="shared" si="51"/>
        <v>1749.3272820349548</v>
      </c>
      <c r="AH40" s="894">
        <f t="shared" si="52"/>
        <v>4428.2173059597608</v>
      </c>
      <c r="AI40" s="15">
        <f t="shared" si="70"/>
        <v>2423.973648052026</v>
      </c>
      <c r="AJ40" s="15">
        <f t="shared" si="70"/>
        <v>2004.2436579077344</v>
      </c>
      <c r="AK40" s="15">
        <f t="shared" si="70"/>
        <v>0</v>
      </c>
      <c r="AL40" s="15">
        <f t="shared" si="70"/>
        <v>0</v>
      </c>
      <c r="AM40" s="15">
        <f t="shared" si="70"/>
        <v>0</v>
      </c>
      <c r="AN40" s="15"/>
      <c r="AO40" s="15">
        <f t="shared" si="67"/>
        <v>4428.2173059597608</v>
      </c>
      <c r="AP40" s="15">
        <f t="shared" si="68"/>
        <v>4428.2173059597608</v>
      </c>
      <c r="AQ40" s="15">
        <f t="shared" si="69"/>
        <v>4428.2173059597608</v>
      </c>
      <c r="AR40" s="127">
        <f t="shared" si="32"/>
        <v>0</v>
      </c>
      <c r="AS40" s="112">
        <f t="shared" si="71"/>
        <v>7997076.9007073231</v>
      </c>
      <c r="AT40" s="112">
        <f t="shared" si="71"/>
        <v>4489225.1996012181</v>
      </c>
      <c r="AU40" s="112">
        <f t="shared" si="71"/>
        <v>0</v>
      </c>
      <c r="AV40" s="112">
        <f t="shared" si="71"/>
        <v>0</v>
      </c>
      <c r="AW40" s="112">
        <f t="shared" si="71"/>
        <v>0</v>
      </c>
      <c r="AX40" s="112">
        <f t="shared" si="46"/>
        <v>12486302.100308541</v>
      </c>
      <c r="AY40" s="112">
        <f t="shared" si="47"/>
        <v>12486302.100308541</v>
      </c>
      <c r="AZ40" s="112">
        <f t="shared" si="72"/>
        <v>8035385.3802411351</v>
      </c>
      <c r="BA40" s="112">
        <f t="shared" si="72"/>
        <v>4978541.2462428119</v>
      </c>
      <c r="BB40" s="112">
        <f t="shared" si="72"/>
        <v>0</v>
      </c>
      <c r="BC40" s="112">
        <f t="shared" si="72"/>
        <v>0</v>
      </c>
      <c r="BD40" s="112">
        <f t="shared" si="72"/>
        <v>0</v>
      </c>
      <c r="BE40" s="112">
        <f t="shared" si="48"/>
        <v>13013926.626483947</v>
      </c>
      <c r="BF40" s="112">
        <f t="shared" si="49"/>
        <v>13013926.626483947</v>
      </c>
      <c r="BG40" s="623">
        <f>(O40-P40)/1.2*U40/1000</f>
        <v>793.0734890236389</v>
      </c>
      <c r="BH40" s="624">
        <f>(O40-P40)/1.2*AB40/1000</f>
        <v>594.80511676772915</v>
      </c>
      <c r="BI40" s="623">
        <f t="shared" si="76"/>
        <v>1387.878605791368</v>
      </c>
      <c r="BJ40" s="169"/>
      <c r="BK40" s="169"/>
      <c r="BL40" s="112">
        <f t="shared" si="53"/>
        <v>5059617.9505186873</v>
      </c>
      <c r="BM40" s="112">
        <f t="shared" si="53"/>
        <v>2565271.5426292676</v>
      </c>
      <c r="BN40" s="112">
        <f t="shared" si="53"/>
        <v>0</v>
      </c>
      <c r="BO40" s="112">
        <f t="shared" si="53"/>
        <v>0</v>
      </c>
      <c r="BP40" s="112">
        <f t="shared" si="53"/>
        <v>0</v>
      </c>
      <c r="BQ40" s="112">
        <f t="shared" si="54"/>
        <v>7624889.4931479543</v>
      </c>
      <c r="BR40" s="112">
        <f t="shared" si="55"/>
        <v>7624889.4931479543</v>
      </c>
      <c r="BS40" s="112">
        <f t="shared" si="56"/>
        <v>2951530.2899383833</v>
      </c>
      <c r="BT40" s="112">
        <f t="shared" si="56"/>
        <v>2133660.5341040627</v>
      </c>
      <c r="BU40" s="112">
        <f t="shared" si="56"/>
        <v>0</v>
      </c>
      <c r="BV40" s="112">
        <f t="shared" si="57"/>
        <v>0</v>
      </c>
      <c r="BW40" s="112">
        <f t="shared" si="14"/>
        <v>0</v>
      </c>
      <c r="BX40" s="112">
        <f t="shared" si="58"/>
        <v>5085190.824042446</v>
      </c>
      <c r="BY40" s="112">
        <f t="shared" si="59"/>
        <v>5085190.824042446</v>
      </c>
      <c r="BZ40" s="113">
        <f t="shared" si="60"/>
        <v>4698932.0767333303</v>
      </c>
      <c r="CA40" s="113">
        <f t="shared" si="60"/>
        <v>0</v>
      </c>
      <c r="CB40" s="113">
        <f t="shared" si="61"/>
        <v>4698932.0767333303</v>
      </c>
      <c r="CC40" s="119">
        <f t="shared" si="62"/>
        <v>2344.491428571429</v>
      </c>
      <c r="CD40" s="119" t="e">
        <f t="shared" si="62"/>
        <v>#DIV/0!</v>
      </c>
      <c r="CE40" s="119">
        <f t="shared" si="35"/>
        <v>2344.491428571429</v>
      </c>
      <c r="CF40" s="119">
        <f t="shared" si="15"/>
        <v>2344.491428571429</v>
      </c>
      <c r="CG40" s="619">
        <f t="shared" si="16"/>
        <v>6625895.5350384125</v>
      </c>
      <c r="CH40" s="132">
        <f t="shared" si="36"/>
        <v>3305.9331428571427</v>
      </c>
      <c r="CI40" s="106"/>
      <c r="CJ40" s="208">
        <f t="shared" si="37"/>
        <v>8880.4239892698679</v>
      </c>
      <c r="CK40" s="208">
        <f t="shared" si="17"/>
        <v>5798.9569641637208</v>
      </c>
      <c r="CL40" s="208">
        <f t="shared" si="38"/>
        <v>14679.380953433589</v>
      </c>
      <c r="CM40" s="18">
        <f t="shared" si="39"/>
        <v>14679.380953433591</v>
      </c>
      <c r="CN40" s="18">
        <f t="shared" si="40"/>
        <v>0</v>
      </c>
      <c r="CO40" s="112">
        <f t="shared" si="18"/>
        <v>14637043.775495483</v>
      </c>
      <c r="CP40" s="112">
        <f t="shared" si="19"/>
        <v>12486302.100308541</v>
      </c>
      <c r="CQ40" s="112">
        <f t="shared" si="20"/>
        <v>12486302.100308541</v>
      </c>
      <c r="CR40" s="112">
        <f t="shared" si="21"/>
        <v>7624889.4931479543</v>
      </c>
      <c r="CS40" s="112">
        <f t="shared" si="22"/>
        <v>13013926.626483947</v>
      </c>
      <c r="CT40" s="112">
        <f t="shared" si="23"/>
        <v>13013926.626483947</v>
      </c>
      <c r="CU40" s="112">
        <f t="shared" si="24"/>
        <v>5085190.824042446</v>
      </c>
      <c r="CV40" s="112">
        <f t="shared" si="41"/>
        <v>25500228.726792488</v>
      </c>
      <c r="CW40" s="843">
        <f t="shared" si="42"/>
        <v>5758.5766381592766</v>
      </c>
      <c r="CX40" s="112">
        <f t="shared" si="25"/>
        <v>4489225.1996012181</v>
      </c>
      <c r="CY40" s="112">
        <f t="shared" si="26"/>
        <v>4978541.2462428119</v>
      </c>
      <c r="CZ40" s="112"/>
      <c r="DA40" s="112">
        <f t="shared" si="27"/>
        <v>14609397.407130204</v>
      </c>
      <c r="DB40" s="112">
        <f t="shared" si="28"/>
        <v>14679380.953433588</v>
      </c>
      <c r="DC40" s="106"/>
      <c r="DD40" s="128">
        <f t="shared" si="43"/>
        <v>147.99871420535209</v>
      </c>
      <c r="DE40" s="106"/>
      <c r="DF40" s="106"/>
      <c r="DG40" s="106"/>
      <c r="DH40" s="797">
        <v>4568.6400000000003</v>
      </c>
      <c r="DI40" s="797">
        <v>2067.8000000000002</v>
      </c>
      <c r="DJ40" s="797">
        <f t="shared" si="44"/>
        <v>2500.84</v>
      </c>
      <c r="DK40" s="106"/>
      <c r="DL40" s="618">
        <f t="shared" si="29"/>
        <v>0</v>
      </c>
      <c r="DM40" s="618">
        <f t="shared" si="30"/>
        <v>0</v>
      </c>
      <c r="DN40" s="618">
        <f t="shared" si="31"/>
        <v>0</v>
      </c>
      <c r="DO40" s="115"/>
    </row>
    <row r="41" spans="1:119" customFormat="1" ht="100.5" customHeight="1">
      <c r="A41" s="20">
        <f t="shared" si="45"/>
        <v>28</v>
      </c>
      <c r="B41" s="1287"/>
      <c r="C41" s="757" t="s">
        <v>90</v>
      </c>
      <c r="D41" s="967" t="s">
        <v>143</v>
      </c>
      <c r="E41" s="617">
        <v>4632024035</v>
      </c>
      <c r="F41" s="1280" t="s">
        <v>8</v>
      </c>
      <c r="G41" s="1245" t="s">
        <v>956</v>
      </c>
      <c r="H41" s="866">
        <v>3299.1600000000003</v>
      </c>
      <c r="I41" s="825">
        <v>3299.1600000000003</v>
      </c>
      <c r="J41" s="756">
        <v>2896.52</v>
      </c>
      <c r="K41" s="756"/>
      <c r="L41" s="872">
        <v>3299.1600000000003</v>
      </c>
      <c r="M41" s="867"/>
      <c r="N41" s="1207">
        <f t="shared" si="73"/>
        <v>3314.9639999999995</v>
      </c>
      <c r="O41" s="1208">
        <f t="shared" si="74"/>
        <v>3314.9639999999995</v>
      </c>
      <c r="P41" s="964">
        <v>2950.21</v>
      </c>
      <c r="Q41" s="964"/>
      <c r="R41" s="1208">
        <f t="shared" si="75"/>
        <v>3314.9639999999995</v>
      </c>
      <c r="S41" s="910"/>
      <c r="T41" s="968">
        <v>452.64618833683721</v>
      </c>
      <c r="U41" s="987">
        <v>306.7719884552655</v>
      </c>
      <c r="V41" s="988"/>
      <c r="W41" s="987"/>
      <c r="X41" s="987"/>
      <c r="Y41" s="987"/>
      <c r="Z41" s="971">
        <f t="shared" si="50"/>
        <v>759.41817679210271</v>
      </c>
      <c r="AA41" s="972">
        <v>329.54968744009562</v>
      </c>
      <c r="AB41" s="987">
        <v>230.10322293611384</v>
      </c>
      <c r="AC41" s="208"/>
      <c r="AD41" s="15"/>
      <c r="AE41" s="15"/>
      <c r="AF41" s="15"/>
      <c r="AG41" s="926">
        <f t="shared" si="51"/>
        <v>559.65291037620943</v>
      </c>
      <c r="AH41" s="894">
        <f t="shared" si="52"/>
        <v>1319.0710871683123</v>
      </c>
      <c r="AI41" s="15">
        <f t="shared" si="70"/>
        <v>782.19587577693278</v>
      </c>
      <c r="AJ41" s="15">
        <f t="shared" si="70"/>
        <v>536.87521139137937</v>
      </c>
      <c r="AK41" s="15">
        <f t="shared" si="70"/>
        <v>0</v>
      </c>
      <c r="AL41" s="15">
        <f t="shared" si="70"/>
        <v>0</v>
      </c>
      <c r="AM41" s="15">
        <f t="shared" si="70"/>
        <v>0</v>
      </c>
      <c r="AN41" s="15"/>
      <c r="AO41" s="15">
        <f t="shared" si="67"/>
        <v>1319.0710871683123</v>
      </c>
      <c r="AP41" s="15">
        <f t="shared" si="68"/>
        <v>1319.0710871683123</v>
      </c>
      <c r="AQ41" s="15">
        <f t="shared" si="69"/>
        <v>1319.0710871683123</v>
      </c>
      <c r="AR41" s="127">
        <f t="shared" si="32"/>
        <v>0</v>
      </c>
      <c r="AS41" s="112">
        <f t="shared" si="71"/>
        <v>2580589.3455282259</v>
      </c>
      <c r="AT41" s="112">
        <f t="shared" si="71"/>
        <v>1555069.7872993581</v>
      </c>
      <c r="AU41" s="112">
        <f t="shared" si="71"/>
        <v>0</v>
      </c>
      <c r="AV41" s="112">
        <f t="shared" si="71"/>
        <v>0</v>
      </c>
      <c r="AW41" s="112">
        <f t="shared" si="71"/>
        <v>0</v>
      </c>
      <c r="AX41" s="112">
        <f t="shared" si="46"/>
        <v>4135659.1328275837</v>
      </c>
      <c r="AY41" s="112">
        <f t="shared" si="47"/>
        <v>4135659.1328275837</v>
      </c>
      <c r="AZ41" s="112">
        <f t="shared" si="72"/>
        <v>2592951.1691490039</v>
      </c>
      <c r="BA41" s="112">
        <f t="shared" si="72"/>
        <v>1583894.6173989614</v>
      </c>
      <c r="BB41" s="112">
        <f t="shared" si="72"/>
        <v>0</v>
      </c>
      <c r="BC41" s="112">
        <f t="shared" si="72"/>
        <v>0</v>
      </c>
      <c r="BD41" s="112">
        <f t="shared" si="72"/>
        <v>0</v>
      </c>
      <c r="BE41" s="112">
        <f t="shared" si="48"/>
        <v>4176845.7865479654</v>
      </c>
      <c r="BF41" s="112">
        <f t="shared" si="49"/>
        <v>4176845.7865479654</v>
      </c>
      <c r="BG41" s="623">
        <f>(O41-P41)/1.2*U41/1000</f>
        <v>93.2469248975098</v>
      </c>
      <c r="BH41" s="624">
        <f>(O41-P41)/1.2*AB41/1000</f>
        <v>69.942559149032618</v>
      </c>
      <c r="BI41" s="623">
        <f t="shared" si="76"/>
        <v>163.18948404654242</v>
      </c>
      <c r="BJ41" s="169"/>
      <c r="BK41" s="169"/>
      <c r="BL41" s="112">
        <f t="shared" si="53"/>
        <v>1493352.1987133599</v>
      </c>
      <c r="BM41" s="112">
        <f t="shared" si="53"/>
        <v>888571.20000044559</v>
      </c>
      <c r="BN41" s="112">
        <f t="shared" si="53"/>
        <v>0</v>
      </c>
      <c r="BO41" s="112">
        <f t="shared" si="53"/>
        <v>0</v>
      </c>
      <c r="BP41" s="112">
        <f t="shared" si="53"/>
        <v>0</v>
      </c>
      <c r="BQ41" s="112">
        <f t="shared" si="54"/>
        <v>2381923.3987138057</v>
      </c>
      <c r="BR41" s="112">
        <f t="shared" si="55"/>
        <v>2381923.3987138057</v>
      </c>
      <c r="BS41" s="112">
        <f t="shared" si="56"/>
        <v>1092445.350075169</v>
      </c>
      <c r="BT41" s="112">
        <f t="shared" si="56"/>
        <v>678852.82933835243</v>
      </c>
      <c r="BU41" s="112">
        <f t="shared" si="56"/>
        <v>0</v>
      </c>
      <c r="BV41" s="112">
        <f t="shared" si="57"/>
        <v>0</v>
      </c>
      <c r="BW41" s="112">
        <f t="shared" si="14"/>
        <v>0</v>
      </c>
      <c r="BX41" s="112">
        <f t="shared" si="58"/>
        <v>1771298.1794135214</v>
      </c>
      <c r="BY41" s="112">
        <f t="shared" si="59"/>
        <v>1771298.1794135214</v>
      </c>
      <c r="BZ41" s="113">
        <f t="shared" si="60"/>
        <v>1567424.029338798</v>
      </c>
      <c r="CA41" s="113">
        <f t="shared" si="60"/>
        <v>0</v>
      </c>
      <c r="CB41" s="113">
        <f t="shared" si="61"/>
        <v>1567424.029338798</v>
      </c>
      <c r="CC41" s="119">
        <f t="shared" si="62"/>
        <v>2919.5313847264847</v>
      </c>
      <c r="CD41" s="119" t="e">
        <f t="shared" si="62"/>
        <v>#DIV/0!</v>
      </c>
      <c r="CE41" s="119">
        <f t="shared" si="35"/>
        <v>2919.5313847264847</v>
      </c>
      <c r="CF41" s="119">
        <f t="shared" si="15"/>
        <v>2919.5313847264847</v>
      </c>
      <c r="CG41" s="619">
        <f t="shared" si="16"/>
        <v>1774873.7737492654</v>
      </c>
      <c r="CH41" s="132">
        <f t="shared" si="36"/>
        <v>3305.9335504603719</v>
      </c>
      <c r="CI41" s="106"/>
      <c r="CJ41" s="208">
        <f t="shared" si="37"/>
        <v>2517.4439170114556</v>
      </c>
      <c r="CK41" s="208">
        <f t="shared" si="17"/>
        <v>1855.2292503923604</v>
      </c>
      <c r="CL41" s="208">
        <f t="shared" si="38"/>
        <v>4372.6731674038165</v>
      </c>
      <c r="CM41" s="18">
        <f t="shared" si="39"/>
        <v>4372.6731674038165</v>
      </c>
      <c r="CN41" s="18">
        <f t="shared" si="40"/>
        <v>0</v>
      </c>
      <c r="CO41" s="112">
        <f t="shared" si="18"/>
        <v>4360671.3225377938</v>
      </c>
      <c r="CP41" s="112">
        <f t="shared" si="19"/>
        <v>4135659.1328275837</v>
      </c>
      <c r="CQ41" s="112">
        <f t="shared" si="20"/>
        <v>4135659.1328275837</v>
      </c>
      <c r="CR41" s="112">
        <f t="shared" si="21"/>
        <v>2381923.3987138057</v>
      </c>
      <c r="CS41" s="112">
        <f t="shared" si="22"/>
        <v>4176845.7865479654</v>
      </c>
      <c r="CT41" s="112">
        <f t="shared" si="23"/>
        <v>4176845.7865479654</v>
      </c>
      <c r="CU41" s="112">
        <f t="shared" si="24"/>
        <v>1771298.1794135214</v>
      </c>
      <c r="CV41" s="112">
        <f t="shared" si="41"/>
        <v>8312504.9193755491</v>
      </c>
      <c r="CW41" s="843">
        <f t="shared" si="42"/>
        <v>6301.7869167462704</v>
      </c>
      <c r="CX41" s="112">
        <f t="shared" si="25"/>
        <v>1555069.7872993581</v>
      </c>
      <c r="CY41" s="112">
        <f t="shared" si="26"/>
        <v>1583894.6173989614</v>
      </c>
      <c r="CZ41" s="112"/>
      <c r="DA41" s="112">
        <f t="shared" si="27"/>
        <v>4351826.5679422095</v>
      </c>
      <c r="DB41" s="112">
        <f t="shared" si="28"/>
        <v>4372673.1674038162</v>
      </c>
      <c r="DC41" s="106"/>
      <c r="DD41" s="128">
        <f t="shared" si="43"/>
        <v>114.44643917528619</v>
      </c>
      <c r="DE41" s="106"/>
      <c r="DF41" s="106"/>
      <c r="DG41" s="106"/>
      <c r="DH41" s="797">
        <v>1360.9</v>
      </c>
      <c r="DI41" s="797">
        <v>553.9</v>
      </c>
      <c r="DJ41" s="797">
        <f t="shared" si="44"/>
        <v>807.00000000000011</v>
      </c>
      <c r="DK41" s="106"/>
      <c r="DL41" s="618">
        <f t="shared" si="29"/>
        <v>0</v>
      </c>
      <c r="DM41" s="618">
        <f t="shared" si="30"/>
        <v>0</v>
      </c>
      <c r="DN41" s="618">
        <f t="shared" si="31"/>
        <v>0</v>
      </c>
      <c r="DO41" s="115"/>
    </row>
    <row r="42" spans="1:119" customFormat="1" ht="100.5" customHeight="1">
      <c r="A42" s="20">
        <f t="shared" si="45"/>
        <v>29</v>
      </c>
      <c r="B42" s="1287"/>
      <c r="C42" s="757" t="s">
        <v>91</v>
      </c>
      <c r="D42" s="967" t="s">
        <v>144</v>
      </c>
      <c r="E42" s="617">
        <v>4632024035</v>
      </c>
      <c r="F42" s="1280" t="s">
        <v>8</v>
      </c>
      <c r="G42" s="1245" t="s">
        <v>956</v>
      </c>
      <c r="H42" s="866">
        <v>3299.1600000000003</v>
      </c>
      <c r="I42" s="825">
        <v>3299.1600000000003</v>
      </c>
      <c r="J42" s="756"/>
      <c r="K42" s="756"/>
      <c r="L42" s="872">
        <v>3299.1600000000003</v>
      </c>
      <c r="M42" s="867"/>
      <c r="N42" s="1207">
        <f t="shared" si="73"/>
        <v>3314.9639999999995</v>
      </c>
      <c r="O42" s="1208">
        <f t="shared" si="74"/>
        <v>3314.9639999999995</v>
      </c>
      <c r="P42" s="963"/>
      <c r="Q42" s="963"/>
      <c r="R42" s="1208">
        <f t="shared" si="75"/>
        <v>3314.9639999999995</v>
      </c>
      <c r="S42" s="910"/>
      <c r="T42" s="968">
        <v>612.23837858999627</v>
      </c>
      <c r="U42" s="969"/>
      <c r="V42" s="970"/>
      <c r="W42" s="969"/>
      <c r="X42" s="969"/>
      <c r="Y42" s="969"/>
      <c r="Z42" s="971">
        <f t="shared" si="50"/>
        <v>612.23837858999627</v>
      </c>
      <c r="AA42" s="972">
        <v>355.51820281037516</v>
      </c>
      <c r="AB42" s="969"/>
      <c r="AC42" s="970"/>
      <c r="AD42" s="15"/>
      <c r="AE42" s="15"/>
      <c r="AF42" s="15"/>
      <c r="AG42" s="926">
        <f t="shared" si="51"/>
        <v>355.51820281037516</v>
      </c>
      <c r="AH42" s="894">
        <f t="shared" si="52"/>
        <v>967.75658140037149</v>
      </c>
      <c r="AI42" s="15">
        <f t="shared" si="70"/>
        <v>967.75658140037149</v>
      </c>
      <c r="AJ42" s="15">
        <f t="shared" si="70"/>
        <v>0</v>
      </c>
      <c r="AK42" s="15">
        <f t="shared" si="70"/>
        <v>0</v>
      </c>
      <c r="AL42" s="15">
        <f t="shared" si="70"/>
        <v>0</v>
      </c>
      <c r="AM42" s="15">
        <f t="shared" si="70"/>
        <v>0</v>
      </c>
      <c r="AN42" s="15"/>
      <c r="AO42" s="15">
        <f t="shared" si="67"/>
        <v>967.75658140037149</v>
      </c>
      <c r="AP42" s="15">
        <f t="shared" si="68"/>
        <v>967.75658140037149</v>
      </c>
      <c r="AQ42" s="15">
        <f t="shared" si="69"/>
        <v>967.75658140037149</v>
      </c>
      <c r="AR42" s="127">
        <f t="shared" si="32"/>
        <v>0</v>
      </c>
      <c r="AS42" s="112">
        <f t="shared" si="71"/>
        <v>3192783.8030928499</v>
      </c>
      <c r="AT42" s="112">
        <f t="shared" si="71"/>
        <v>0</v>
      </c>
      <c r="AU42" s="112">
        <f t="shared" si="71"/>
        <v>0</v>
      </c>
      <c r="AV42" s="112">
        <f t="shared" si="71"/>
        <v>0</v>
      </c>
      <c r="AW42" s="112">
        <f t="shared" si="71"/>
        <v>0</v>
      </c>
      <c r="AX42" s="112">
        <f t="shared" si="46"/>
        <v>3192783.8030928499</v>
      </c>
      <c r="AY42" s="112">
        <f t="shared" si="47"/>
        <v>3192783.8030928499</v>
      </c>
      <c r="AZ42" s="112">
        <f t="shared" si="72"/>
        <v>3208078.2281053006</v>
      </c>
      <c r="BA42" s="112">
        <f t="shared" si="72"/>
        <v>0</v>
      </c>
      <c r="BB42" s="112">
        <f t="shared" si="72"/>
        <v>0</v>
      </c>
      <c r="BC42" s="112">
        <f t="shared" si="72"/>
        <v>0</v>
      </c>
      <c r="BD42" s="112">
        <f t="shared" si="72"/>
        <v>0</v>
      </c>
      <c r="BE42" s="112">
        <f t="shared" si="48"/>
        <v>3208078.2281053006</v>
      </c>
      <c r="BF42" s="112">
        <f t="shared" si="49"/>
        <v>3208078.2281053006</v>
      </c>
      <c r="BG42" s="112"/>
      <c r="BH42" s="112"/>
      <c r="BI42" s="112">
        <f t="shared" si="76"/>
        <v>0</v>
      </c>
      <c r="BJ42" s="112"/>
      <c r="BK42" s="112"/>
      <c r="BL42" s="112">
        <f t="shared" si="53"/>
        <v>2019872.3691089724</v>
      </c>
      <c r="BM42" s="112">
        <f t="shared" si="53"/>
        <v>0</v>
      </c>
      <c r="BN42" s="112">
        <f t="shared" si="53"/>
        <v>0</v>
      </c>
      <c r="BO42" s="112">
        <f t="shared" si="53"/>
        <v>0</v>
      </c>
      <c r="BP42" s="112">
        <f t="shared" si="53"/>
        <v>0</v>
      </c>
      <c r="BQ42" s="112">
        <f t="shared" si="54"/>
        <v>2019872.3691089724</v>
      </c>
      <c r="BR42" s="112">
        <f t="shared" si="55"/>
        <v>2019872.3691089724</v>
      </c>
      <c r="BS42" s="112">
        <f t="shared" si="56"/>
        <v>1178530.0436610924</v>
      </c>
      <c r="BT42" s="112">
        <f t="shared" si="56"/>
        <v>0</v>
      </c>
      <c r="BU42" s="112">
        <f t="shared" si="56"/>
        <v>0</v>
      </c>
      <c r="BV42" s="112">
        <f t="shared" si="57"/>
        <v>0</v>
      </c>
      <c r="BW42" s="112">
        <f t="shared" si="14"/>
        <v>0</v>
      </c>
      <c r="BX42" s="112">
        <f t="shared" si="58"/>
        <v>1178530.0436610924</v>
      </c>
      <c r="BY42" s="112">
        <f t="shared" si="59"/>
        <v>1178530.0436610924</v>
      </c>
      <c r="BZ42" s="113">
        <f t="shared" si="60"/>
        <v>0</v>
      </c>
      <c r="CA42" s="113">
        <f t="shared" si="60"/>
        <v>0</v>
      </c>
      <c r="CB42" s="113">
        <f t="shared" si="61"/>
        <v>0</v>
      </c>
      <c r="CC42" s="119" t="e">
        <f t="shared" si="62"/>
        <v>#DIV/0!</v>
      </c>
      <c r="CD42" s="119" t="e">
        <f t="shared" si="62"/>
        <v>#DIV/0!</v>
      </c>
      <c r="CE42" s="119" t="e">
        <f t="shared" si="35"/>
        <v>#DIV/0!</v>
      </c>
      <c r="CF42" s="113" t="e">
        <f t="shared" si="15"/>
        <v>#DIV/0!</v>
      </c>
      <c r="CG42" s="619">
        <f t="shared" si="16"/>
        <v>0</v>
      </c>
      <c r="CH42" s="132" t="e">
        <f t="shared" si="36"/>
        <v>#DIV/0!</v>
      </c>
      <c r="CI42" s="106"/>
      <c r="CJ42" s="208">
        <f t="shared" si="37"/>
        <v>2029.5481844442081</v>
      </c>
      <c r="CK42" s="208">
        <f t="shared" si="17"/>
        <v>1178.5300436610923</v>
      </c>
      <c r="CL42" s="208">
        <f t="shared" si="38"/>
        <v>3208.0782281053007</v>
      </c>
      <c r="CM42" s="18">
        <f t="shared" si="39"/>
        <v>3208.0782281053007</v>
      </c>
      <c r="CN42" s="18">
        <f t="shared" si="40"/>
        <v>0</v>
      </c>
      <c r="CO42" s="112">
        <f t="shared" si="18"/>
        <v>3198402.4127700645</v>
      </c>
      <c r="CP42" s="112">
        <f t="shared" si="19"/>
        <v>3192783.8030928499</v>
      </c>
      <c r="CQ42" s="112">
        <f t="shared" si="20"/>
        <v>3192783.8030928499</v>
      </c>
      <c r="CR42" s="112">
        <f t="shared" si="21"/>
        <v>2019872.3691089724</v>
      </c>
      <c r="CS42" s="112">
        <f t="shared" si="22"/>
        <v>3208078.2281053006</v>
      </c>
      <c r="CT42" s="112">
        <f t="shared" si="23"/>
        <v>3208078.2281053006</v>
      </c>
      <c r="CU42" s="112">
        <f t="shared" si="24"/>
        <v>1178530.0436610924</v>
      </c>
      <c r="CV42" s="112">
        <f t="shared" si="41"/>
        <v>6400862.0311981505</v>
      </c>
      <c r="CW42" s="843">
        <f t="shared" si="42"/>
        <v>6614.1239999999998</v>
      </c>
      <c r="CX42" s="112">
        <f t="shared" si="25"/>
        <v>0</v>
      </c>
      <c r="CY42" s="112">
        <f t="shared" si="26"/>
        <v>0</v>
      </c>
      <c r="CZ42" s="112"/>
      <c r="DA42" s="112">
        <f t="shared" si="27"/>
        <v>3192783.8030928499</v>
      </c>
      <c r="DB42" s="112">
        <f t="shared" si="28"/>
        <v>3208078.2281053006</v>
      </c>
      <c r="DC42" s="106"/>
      <c r="DD42" s="128" t="e">
        <f t="shared" si="43"/>
        <v>#DIV/0!</v>
      </c>
      <c r="DE42" s="106"/>
      <c r="DF42" s="106"/>
      <c r="DG42" s="106"/>
      <c r="DH42" s="797">
        <v>998.44500000000005</v>
      </c>
      <c r="DI42" s="797">
        <v>0</v>
      </c>
      <c r="DJ42" s="797">
        <f t="shared" si="44"/>
        <v>998.44500000000005</v>
      </c>
      <c r="DK42" s="106"/>
      <c r="DL42" s="618">
        <f t="shared" si="29"/>
        <v>0</v>
      </c>
      <c r="DM42" s="618">
        <f t="shared" si="30"/>
        <v>0</v>
      </c>
      <c r="DN42" s="618">
        <f t="shared" si="31"/>
        <v>0</v>
      </c>
      <c r="DO42" s="115"/>
    </row>
    <row r="43" spans="1:119" customFormat="1" ht="100.5" customHeight="1">
      <c r="A43" s="1081">
        <f t="shared" si="45"/>
        <v>30</v>
      </c>
      <c r="B43" s="1279"/>
      <c r="C43" s="1106" t="s">
        <v>181</v>
      </c>
      <c r="D43" s="1131" t="s">
        <v>261</v>
      </c>
      <c r="E43" s="1132">
        <v>7708503727</v>
      </c>
      <c r="F43" s="1082" t="s">
        <v>8</v>
      </c>
      <c r="G43" s="1083" t="s">
        <v>933</v>
      </c>
      <c r="H43" s="1084">
        <f>2666.58*1.2</f>
        <v>3199.8959999999997</v>
      </c>
      <c r="I43" s="1085">
        <f>2666.58*1.2</f>
        <v>3199.8959999999997</v>
      </c>
      <c r="J43" s="1085">
        <v>0</v>
      </c>
      <c r="K43" s="1085">
        <v>0</v>
      </c>
      <c r="L43" s="1085">
        <v>0</v>
      </c>
      <c r="M43" s="1086">
        <v>0</v>
      </c>
      <c r="N43" s="1087">
        <v>3523.58</v>
      </c>
      <c r="O43" s="1088">
        <v>3523.58</v>
      </c>
      <c r="P43" s="1088">
        <v>0</v>
      </c>
      <c r="Q43" s="1088">
        <v>0</v>
      </c>
      <c r="R43" s="1088">
        <v>3523.58</v>
      </c>
      <c r="S43" s="1109">
        <v>0</v>
      </c>
      <c r="T43" s="1133">
        <v>11.042999999999999</v>
      </c>
      <c r="U43" s="1134">
        <v>0</v>
      </c>
      <c r="V43" s="1134">
        <v>0</v>
      </c>
      <c r="W43" s="1134">
        <v>280.63400000000001</v>
      </c>
      <c r="X43" s="1134">
        <v>0</v>
      </c>
      <c r="Y43" s="1134">
        <v>0</v>
      </c>
      <c r="Z43" s="1135">
        <f>SUM(T43:Y43)</f>
        <v>291.67700000000002</v>
      </c>
      <c r="AA43" s="1136">
        <v>6.3140000000000001</v>
      </c>
      <c r="AB43" s="1134">
        <v>0</v>
      </c>
      <c r="AC43" s="1134">
        <v>0</v>
      </c>
      <c r="AD43" s="1134">
        <v>160.476</v>
      </c>
      <c r="AE43" s="1134">
        <v>0</v>
      </c>
      <c r="AF43" s="1134">
        <v>0</v>
      </c>
      <c r="AG43" s="1135">
        <f t="shared" si="51"/>
        <v>166.79</v>
      </c>
      <c r="AH43" s="1137">
        <f t="shared" si="52"/>
        <v>458.46699999999998</v>
      </c>
      <c r="AI43" s="1134">
        <f t="shared" si="70"/>
        <v>17.356999999999999</v>
      </c>
      <c r="AJ43" s="1134">
        <f t="shared" si="70"/>
        <v>0</v>
      </c>
      <c r="AK43" s="1134">
        <f t="shared" si="70"/>
        <v>0</v>
      </c>
      <c r="AL43" s="1134">
        <f t="shared" si="70"/>
        <v>441.11</v>
      </c>
      <c r="AM43" s="1134">
        <f t="shared" si="70"/>
        <v>0</v>
      </c>
      <c r="AN43" s="1134"/>
      <c r="AO43" s="1134">
        <f t="shared" si="67"/>
        <v>458.46699999999998</v>
      </c>
      <c r="AP43" s="1134">
        <f t="shared" si="68"/>
        <v>458.46699999999998</v>
      </c>
      <c r="AQ43" s="1134">
        <f t="shared" si="69"/>
        <v>458.46699999999998</v>
      </c>
      <c r="AR43" s="1098">
        <f t="shared" si="32"/>
        <v>0</v>
      </c>
      <c r="AS43" s="1097">
        <f>I43*AI43</f>
        <v>55540.594871999994</v>
      </c>
      <c r="AT43" s="1097">
        <f t="shared" si="71"/>
        <v>0</v>
      </c>
      <c r="AU43" s="1097">
        <f t="shared" si="71"/>
        <v>0</v>
      </c>
      <c r="AV43" s="1097">
        <f t="shared" si="71"/>
        <v>0</v>
      </c>
      <c r="AW43" s="1097">
        <f t="shared" si="71"/>
        <v>0</v>
      </c>
      <c r="AX43" s="1097">
        <f t="shared" si="46"/>
        <v>55540.594871999994</v>
      </c>
      <c r="AY43" s="1097">
        <f>SUM(AS43:AV43)</f>
        <v>55540.594871999994</v>
      </c>
      <c r="AZ43" s="1097">
        <f t="shared" si="72"/>
        <v>61158.778059999997</v>
      </c>
      <c r="BA43" s="1097">
        <f t="shared" si="72"/>
        <v>0</v>
      </c>
      <c r="BB43" s="1097">
        <f t="shared" si="72"/>
        <v>0</v>
      </c>
      <c r="BC43" s="1097">
        <f>R43*AL43</f>
        <v>1554286.3737999999</v>
      </c>
      <c r="BD43" s="1097">
        <f t="shared" si="72"/>
        <v>0</v>
      </c>
      <c r="BE43" s="1097">
        <f t="shared" si="48"/>
        <v>1615445.1518599999</v>
      </c>
      <c r="BF43" s="1097">
        <f t="shared" si="49"/>
        <v>1615445.1518599999</v>
      </c>
      <c r="BG43" s="1097">
        <v>0</v>
      </c>
      <c r="BH43" s="1097">
        <v>0</v>
      </c>
      <c r="BI43" s="1097">
        <v>0</v>
      </c>
      <c r="BJ43" s="1096">
        <v>1346.2080366566347</v>
      </c>
      <c r="BK43" s="1097">
        <v>1418.8400000000001</v>
      </c>
      <c r="BL43" s="1097">
        <f t="shared" si="53"/>
        <v>35336.451527999998</v>
      </c>
      <c r="BM43" s="1097">
        <f t="shared" si="53"/>
        <v>0</v>
      </c>
      <c r="BN43" s="1097">
        <f t="shared" si="53"/>
        <v>0</v>
      </c>
      <c r="BO43" s="1097">
        <f t="shared" si="53"/>
        <v>0</v>
      </c>
      <c r="BP43" s="1097">
        <f t="shared" si="53"/>
        <v>0</v>
      </c>
      <c r="BQ43" s="1097">
        <f t="shared" si="54"/>
        <v>35336.451527999998</v>
      </c>
      <c r="BR43" s="1097">
        <f t="shared" si="55"/>
        <v>35336.451527999998</v>
      </c>
      <c r="BS43" s="1097">
        <f t="shared" si="56"/>
        <v>22247.884119999999</v>
      </c>
      <c r="BT43" s="1097">
        <f t="shared" si="56"/>
        <v>0</v>
      </c>
      <c r="BU43" s="1097">
        <f t="shared" si="56"/>
        <v>0</v>
      </c>
      <c r="BV43" s="1097">
        <f t="shared" si="57"/>
        <v>988836.34972000006</v>
      </c>
      <c r="BW43" s="1097">
        <f t="shared" si="14"/>
        <v>0</v>
      </c>
      <c r="BX43" s="1097">
        <f t="shared" si="58"/>
        <v>1011084.23384</v>
      </c>
      <c r="BY43" s="1097">
        <f t="shared" si="59"/>
        <v>1011084.23384</v>
      </c>
      <c r="BZ43" s="1099">
        <f t="shared" si="60"/>
        <v>0</v>
      </c>
      <c r="CA43" s="1099">
        <f t="shared" si="60"/>
        <v>0</v>
      </c>
      <c r="CB43" s="1099">
        <f t="shared" si="61"/>
        <v>0</v>
      </c>
      <c r="CC43" s="1100" t="e">
        <f t="shared" si="62"/>
        <v>#DIV/0!</v>
      </c>
      <c r="CD43" s="1100" t="e">
        <f t="shared" si="62"/>
        <v>#DIV/0!</v>
      </c>
      <c r="CE43" s="1100" t="e">
        <f t="shared" si="35"/>
        <v>#DIV/0!</v>
      </c>
      <c r="CF43" s="1099" t="e">
        <f t="shared" si="15"/>
        <v>#DIV/0!</v>
      </c>
      <c r="CG43" s="1101">
        <f t="shared" si="16"/>
        <v>0</v>
      </c>
      <c r="CH43" s="1102" t="e">
        <f t="shared" si="36"/>
        <v>#DIV/0!</v>
      </c>
      <c r="CJ43" s="1097">
        <f t="shared" si="37"/>
        <v>1027.7472436600001</v>
      </c>
      <c r="CK43" s="1097">
        <f t="shared" si="17"/>
        <v>587.69790819999992</v>
      </c>
      <c r="CL43" s="1097">
        <f t="shared" si="38"/>
        <v>1615.4451518599999</v>
      </c>
      <c r="CM43" s="18">
        <f t="shared" si="39"/>
        <v>1615.4451518599999</v>
      </c>
      <c r="CN43" s="18">
        <f t="shared" si="40"/>
        <v>0</v>
      </c>
      <c r="CO43" s="1097">
        <f t="shared" si="18"/>
        <v>1521033.973792</v>
      </c>
      <c r="CP43" s="1097">
        <f t="shared" si="19"/>
        <v>55540.594871999994</v>
      </c>
      <c r="CQ43" s="1097">
        <f t="shared" si="20"/>
        <v>55540.594871999994</v>
      </c>
      <c r="CR43" s="1097">
        <f t="shared" si="21"/>
        <v>35336.451527999998</v>
      </c>
      <c r="CS43" s="1097">
        <f t="shared" si="22"/>
        <v>1615445.1518599999</v>
      </c>
      <c r="CT43" s="1097">
        <f t="shared" si="23"/>
        <v>1615445.1518599999</v>
      </c>
      <c r="CU43" s="1097">
        <f t="shared" si="24"/>
        <v>587697.90819999995</v>
      </c>
      <c r="CV43" s="1097">
        <f t="shared" si="41"/>
        <v>1670985.7467319998</v>
      </c>
      <c r="CW43" s="1103">
        <f t="shared" si="42"/>
        <v>3644.7241496814381</v>
      </c>
      <c r="CX43" s="1097">
        <f t="shared" si="25"/>
        <v>0</v>
      </c>
      <c r="CY43" s="1097">
        <f t="shared" si="26"/>
        <v>0</v>
      </c>
      <c r="CZ43" s="1097"/>
      <c r="DA43" s="1097">
        <f t="shared" si="27"/>
        <v>1467046.7194319998</v>
      </c>
      <c r="DB43" s="1097">
        <f t="shared" si="28"/>
        <v>1615445.1518599999</v>
      </c>
      <c r="DD43" s="1104" t="e">
        <f t="shared" si="43"/>
        <v>#DIV/0!</v>
      </c>
      <c r="DH43" s="1097">
        <v>415.84</v>
      </c>
      <c r="DI43" s="1097">
        <v>0</v>
      </c>
      <c r="DJ43" s="1097">
        <f t="shared" si="44"/>
        <v>415.84</v>
      </c>
      <c r="DL43" s="1105">
        <f t="shared" si="29"/>
        <v>0</v>
      </c>
      <c r="DM43" s="1105">
        <f t="shared" si="30"/>
        <v>0</v>
      </c>
      <c r="DN43" s="1105">
        <f t="shared" si="31"/>
        <v>0</v>
      </c>
    </row>
    <row r="44" spans="1:119" customFormat="1" ht="100.5" customHeight="1">
      <c r="A44" s="20">
        <f t="shared" si="45"/>
        <v>31</v>
      </c>
      <c r="B44" s="966" t="s">
        <v>16</v>
      </c>
      <c r="C44" s="966" t="s">
        <v>92</v>
      </c>
      <c r="D44" s="967" t="s">
        <v>142</v>
      </c>
      <c r="E44" s="617">
        <v>4632024035</v>
      </c>
      <c r="F44" s="1280" t="s">
        <v>8</v>
      </c>
      <c r="G44" s="1245" t="s">
        <v>956</v>
      </c>
      <c r="H44" s="866">
        <v>3299.1600000000003</v>
      </c>
      <c r="I44" s="825">
        <v>3299.1600000000003</v>
      </c>
      <c r="J44" s="756">
        <v>2239.86</v>
      </c>
      <c r="K44" s="756"/>
      <c r="L44" s="872">
        <v>3299.1600000000003</v>
      </c>
      <c r="M44" s="873"/>
      <c r="N44" s="1207">
        <f>2762.47*1.2</f>
        <v>3314.9639999999995</v>
      </c>
      <c r="O44" s="1208">
        <f>N44</f>
        <v>3314.9639999999995</v>
      </c>
      <c r="P44" s="964">
        <v>2484</v>
      </c>
      <c r="Q44" s="964"/>
      <c r="R44" s="1208">
        <f>O44</f>
        <v>3314.9639999999995</v>
      </c>
      <c r="S44" s="913"/>
      <c r="T44" s="985">
        <v>429.8442577573424</v>
      </c>
      <c r="U44" s="986">
        <v>107.00672203937224</v>
      </c>
      <c r="V44" s="977"/>
      <c r="W44" s="974"/>
      <c r="X44" s="974"/>
      <c r="Y44" s="974"/>
      <c r="Z44" s="978">
        <f t="shared" si="50"/>
        <v>536.85097979671468</v>
      </c>
      <c r="AA44" s="975">
        <v>249.60481032227477</v>
      </c>
      <c r="AB44" s="974">
        <v>80.255041529529166</v>
      </c>
      <c r="AC44" s="227"/>
      <c r="AD44" s="16"/>
      <c r="AE44" s="16"/>
      <c r="AF44" s="16"/>
      <c r="AG44" s="930">
        <f t="shared" si="51"/>
        <v>329.85985185180391</v>
      </c>
      <c r="AH44" s="898">
        <f t="shared" si="52"/>
        <v>866.71083164851859</v>
      </c>
      <c r="AI44" s="16">
        <f t="shared" si="70"/>
        <v>679.44906807961718</v>
      </c>
      <c r="AJ44" s="16">
        <f t="shared" si="70"/>
        <v>187.26176356890142</v>
      </c>
      <c r="AK44" s="16">
        <f t="shared" si="70"/>
        <v>0</v>
      </c>
      <c r="AL44" s="16">
        <f t="shared" si="70"/>
        <v>0</v>
      </c>
      <c r="AM44" s="16">
        <f t="shared" si="70"/>
        <v>0</v>
      </c>
      <c r="AN44" s="16"/>
      <c r="AO44" s="16">
        <f t="shared" si="67"/>
        <v>866.71083164851859</v>
      </c>
      <c r="AP44" s="16">
        <f t="shared" si="68"/>
        <v>866.71083164851859</v>
      </c>
      <c r="AQ44" s="16">
        <f t="shared" si="69"/>
        <v>866.71083164851859</v>
      </c>
      <c r="AR44" s="127">
        <f t="shared" si="32"/>
        <v>0</v>
      </c>
      <c r="AS44" s="112">
        <f t="shared" si="71"/>
        <v>2241611.1874455502</v>
      </c>
      <c r="AT44" s="112">
        <f t="shared" si="71"/>
        <v>419440.13374743954</v>
      </c>
      <c r="AU44" s="112">
        <f t="shared" si="71"/>
        <v>0</v>
      </c>
      <c r="AV44" s="112">
        <f t="shared" si="71"/>
        <v>0</v>
      </c>
      <c r="AW44" s="112">
        <f t="shared" si="71"/>
        <v>0</v>
      </c>
      <c r="AX44" s="112">
        <f t="shared" si="46"/>
        <v>2661051.3211929896</v>
      </c>
      <c r="AY44" s="112">
        <f t="shared" si="47"/>
        <v>2661051.3211929896</v>
      </c>
      <c r="AZ44" s="112">
        <f t="shared" si="72"/>
        <v>2252349.2005174798</v>
      </c>
      <c r="BA44" s="112">
        <f t="shared" si="72"/>
        <v>465158.22070515109</v>
      </c>
      <c r="BB44" s="112">
        <f t="shared" si="72"/>
        <v>0</v>
      </c>
      <c r="BC44" s="112">
        <f t="shared" si="72"/>
        <v>0</v>
      </c>
      <c r="BD44" s="112">
        <f t="shared" si="72"/>
        <v>0</v>
      </c>
      <c r="BE44" s="112">
        <f t="shared" si="48"/>
        <v>2717507.4212226309</v>
      </c>
      <c r="BF44" s="112">
        <f t="shared" si="49"/>
        <v>2717507.4212226309</v>
      </c>
      <c r="BG44" s="623">
        <f>(O44-P44)/1.2*U44/1000</f>
        <v>74.098944810604053</v>
      </c>
      <c r="BH44" s="624">
        <f>(O44-P44)/1.2*AB44/1000</f>
        <v>55.574208607953025</v>
      </c>
      <c r="BI44" s="623">
        <f>BG44+BH44</f>
        <v>129.67315341855709</v>
      </c>
      <c r="BJ44" s="169"/>
      <c r="BK44" s="169"/>
      <c r="BL44" s="112">
        <f t="shared" si="53"/>
        <v>1418124.981422714</v>
      </c>
      <c r="BM44" s="112">
        <f t="shared" si="53"/>
        <v>239680.07642710832</v>
      </c>
      <c r="BN44" s="112">
        <f t="shared" si="53"/>
        <v>0</v>
      </c>
      <c r="BO44" s="112">
        <f t="shared" si="53"/>
        <v>0</v>
      </c>
      <c r="BP44" s="112">
        <f t="shared" si="53"/>
        <v>0</v>
      </c>
      <c r="BQ44" s="112">
        <f t="shared" si="54"/>
        <v>1657805.0578498223</v>
      </c>
      <c r="BR44" s="112">
        <f t="shared" si="55"/>
        <v>1657805.0578498223</v>
      </c>
      <c r="BS44" s="112">
        <f t="shared" si="56"/>
        <v>827430.96044516913</v>
      </c>
      <c r="BT44" s="112">
        <f t="shared" si="56"/>
        <v>199353.52315935044</v>
      </c>
      <c r="BU44" s="112">
        <f t="shared" si="56"/>
        <v>0</v>
      </c>
      <c r="BV44" s="112">
        <f t="shared" si="57"/>
        <v>0</v>
      </c>
      <c r="BW44" s="112">
        <f t="shared" si="14"/>
        <v>0</v>
      </c>
      <c r="BX44" s="112">
        <f t="shared" si="58"/>
        <v>1026784.4836045196</v>
      </c>
      <c r="BY44" s="112">
        <f t="shared" si="59"/>
        <v>1026784.4836045196</v>
      </c>
      <c r="BZ44" s="113">
        <f t="shared" si="60"/>
        <v>439033.59958645876</v>
      </c>
      <c r="CA44" s="113">
        <f t="shared" si="60"/>
        <v>0</v>
      </c>
      <c r="CB44" s="113">
        <f t="shared" si="61"/>
        <v>439033.59958645876</v>
      </c>
      <c r="CC44" s="119">
        <f t="shared" si="62"/>
        <v>2344.4914285714285</v>
      </c>
      <c r="CD44" s="119" t="e">
        <f t="shared" si="62"/>
        <v>#DIV/0!</v>
      </c>
      <c r="CE44" s="119">
        <f t="shared" si="35"/>
        <v>2344.4914285714285</v>
      </c>
      <c r="CF44" s="119">
        <f t="shared" si="15"/>
        <v>2344.4914285714285</v>
      </c>
      <c r="CG44" s="619">
        <f t="shared" si="16"/>
        <v>619074.87057230948</v>
      </c>
      <c r="CH44" s="132">
        <f t="shared" si="36"/>
        <v>3305.9331428571427</v>
      </c>
      <c r="CI44" s="106"/>
      <c r="CJ44" s="208">
        <f t="shared" si="37"/>
        <v>1779.6416713908361</v>
      </c>
      <c r="CK44" s="208">
        <f t="shared" si="17"/>
        <v>1093.473533934063</v>
      </c>
      <c r="CL44" s="208">
        <f>CJ44+CK44</f>
        <v>2873.1152053248989</v>
      </c>
      <c r="CM44" s="18">
        <f t="shared" si="39"/>
        <v>2873.1152053248993</v>
      </c>
      <c r="CN44" s="18">
        <f t="shared" si="40"/>
        <v>0</v>
      </c>
      <c r="CO44" s="112">
        <f t="shared" si="18"/>
        <v>2864630.8124401923</v>
      </c>
      <c r="CP44" s="112">
        <f t="shared" si="19"/>
        <v>2661051.3211929896</v>
      </c>
      <c r="CQ44" s="112">
        <f t="shared" si="20"/>
        <v>2661051.3211929896</v>
      </c>
      <c r="CR44" s="112">
        <f t="shared" si="21"/>
        <v>1657805.0578498223</v>
      </c>
      <c r="CS44" s="112">
        <f t="shared" si="22"/>
        <v>2717507.4212226309</v>
      </c>
      <c r="CT44" s="112">
        <f t="shared" si="23"/>
        <v>2717507.4212226309</v>
      </c>
      <c r="CU44" s="112">
        <f t="shared" si="24"/>
        <v>1026784.4836045196</v>
      </c>
      <c r="CV44" s="112">
        <f t="shared" si="41"/>
        <v>5378558.74241562</v>
      </c>
      <c r="CW44" s="843">
        <f t="shared" si="42"/>
        <v>6205.7130775501982</v>
      </c>
      <c r="CX44" s="112">
        <f t="shared" si="25"/>
        <v>419440.13374743954</v>
      </c>
      <c r="CY44" s="112">
        <f t="shared" si="26"/>
        <v>465158.22070515109</v>
      </c>
      <c r="CZ44" s="112"/>
      <c r="DA44" s="112">
        <f t="shared" si="27"/>
        <v>2859417.7073415271</v>
      </c>
      <c r="DB44" s="112">
        <f t="shared" si="28"/>
        <v>2873115.2053248994</v>
      </c>
      <c r="DC44" s="106"/>
      <c r="DD44" s="128">
        <f t="shared" si="43"/>
        <v>147.99871420535209</v>
      </c>
      <c r="DE44" s="106"/>
      <c r="DF44" s="106"/>
      <c r="DG44" s="106"/>
      <c r="DH44" s="797">
        <v>894.19499999999994</v>
      </c>
      <c r="DI44" s="797">
        <v>193.20000000000002</v>
      </c>
      <c r="DJ44" s="797">
        <f t="shared" si="44"/>
        <v>700.99499999999989</v>
      </c>
      <c r="DK44" s="106"/>
      <c r="DL44" s="618">
        <f t="shared" si="29"/>
        <v>0</v>
      </c>
      <c r="DM44" s="618">
        <f t="shared" si="30"/>
        <v>0</v>
      </c>
      <c r="DN44" s="618">
        <f t="shared" si="31"/>
        <v>0</v>
      </c>
      <c r="DO44" s="115"/>
    </row>
    <row r="45" spans="1:119" customFormat="1" ht="100.5" customHeight="1">
      <c r="A45" s="1138">
        <f t="shared" si="45"/>
        <v>32</v>
      </c>
      <c r="B45" s="1139" t="s">
        <v>17</v>
      </c>
      <c r="C45" s="1139" t="s">
        <v>57</v>
      </c>
      <c r="D45" s="1140" t="s">
        <v>278</v>
      </c>
      <c r="E45" s="1140">
        <v>4610006900</v>
      </c>
      <c r="F45" s="1140" t="s">
        <v>8</v>
      </c>
      <c r="G45" s="1141" t="s">
        <v>865</v>
      </c>
      <c r="H45" s="1142"/>
      <c r="I45" s="1143"/>
      <c r="J45" s="1143"/>
      <c r="K45" s="1143"/>
      <c r="L45" s="1143"/>
      <c r="M45" s="1144"/>
      <c r="N45" s="1145"/>
      <c r="O45" s="1146"/>
      <c r="P45" s="1146"/>
      <c r="Q45" s="1146"/>
      <c r="R45" s="1146"/>
      <c r="S45" s="1144"/>
      <c r="T45" s="1147"/>
      <c r="U45" s="1148"/>
      <c r="V45" s="1149"/>
      <c r="W45" s="1148"/>
      <c r="X45" s="1148"/>
      <c r="Y45" s="1148"/>
      <c r="Z45" s="1150"/>
      <c r="AA45" s="1151"/>
      <c r="AB45" s="1148"/>
      <c r="AC45" s="1149"/>
      <c r="AD45" s="1152"/>
      <c r="AE45" s="1148"/>
      <c r="AF45" s="1148"/>
      <c r="AG45" s="1150"/>
      <c r="AH45" s="1153">
        <f t="shared" si="52"/>
        <v>0</v>
      </c>
      <c r="AI45" s="1154">
        <f t="shared" si="70"/>
        <v>0</v>
      </c>
      <c r="AJ45" s="1154">
        <f t="shared" si="70"/>
        <v>0</v>
      </c>
      <c r="AK45" s="1154">
        <f t="shared" si="70"/>
        <v>0</v>
      </c>
      <c r="AL45" s="1154">
        <f t="shared" si="70"/>
        <v>0</v>
      </c>
      <c r="AM45" s="1154">
        <f t="shared" si="70"/>
        <v>0</v>
      </c>
      <c r="AN45" s="1154"/>
      <c r="AO45" s="1154">
        <f t="shared" si="67"/>
        <v>0</v>
      </c>
      <c r="AP45" s="1154">
        <f t="shared" si="68"/>
        <v>0</v>
      </c>
      <c r="AQ45" s="1155">
        <f t="shared" si="69"/>
        <v>0</v>
      </c>
      <c r="AR45" s="1156">
        <f t="shared" si="32"/>
        <v>0</v>
      </c>
      <c r="AS45" s="1157">
        <f t="shared" si="71"/>
        <v>0</v>
      </c>
      <c r="AT45" s="1157">
        <f t="shared" si="71"/>
        <v>0</v>
      </c>
      <c r="AU45" s="1157">
        <f t="shared" si="71"/>
        <v>0</v>
      </c>
      <c r="AV45" s="1157">
        <f t="shared" si="71"/>
        <v>0</v>
      </c>
      <c r="AW45" s="1157">
        <f t="shared" si="71"/>
        <v>0</v>
      </c>
      <c r="AX45" s="1157">
        <f t="shared" si="46"/>
        <v>0</v>
      </c>
      <c r="AY45" s="1157">
        <f t="shared" si="47"/>
        <v>0</v>
      </c>
      <c r="AZ45" s="1157">
        <f t="shared" si="72"/>
        <v>0</v>
      </c>
      <c r="BA45" s="1157">
        <f t="shared" si="72"/>
        <v>0</v>
      </c>
      <c r="BB45" s="1157">
        <f t="shared" si="72"/>
        <v>0</v>
      </c>
      <c r="BC45" s="1157">
        <f t="shared" si="72"/>
        <v>0</v>
      </c>
      <c r="BD45" s="1157">
        <f t="shared" si="72"/>
        <v>0</v>
      </c>
      <c r="BE45" s="1157">
        <f t="shared" si="48"/>
        <v>0</v>
      </c>
      <c r="BF45" s="1157">
        <f t="shared" si="49"/>
        <v>0</v>
      </c>
      <c r="BG45" s="1157">
        <v>670.43</v>
      </c>
      <c r="BH45" s="1157">
        <v>3185.78</v>
      </c>
      <c r="BI45" s="1156">
        <f t="shared" si="5"/>
        <v>3856.21</v>
      </c>
      <c r="BJ45" s="1157">
        <v>9863.1299999999992</v>
      </c>
      <c r="BK45" s="1157">
        <v>23655.63</v>
      </c>
      <c r="BL45" s="1157">
        <f t="shared" ref="BL45:BP75" si="77">I45*T45</f>
        <v>0</v>
      </c>
      <c r="BM45" s="1157">
        <f t="shared" si="77"/>
        <v>0</v>
      </c>
      <c r="BN45" s="1157">
        <f t="shared" si="77"/>
        <v>0</v>
      </c>
      <c r="BO45" s="1157">
        <f t="shared" si="77"/>
        <v>0</v>
      </c>
      <c r="BP45" s="1157">
        <f t="shared" si="77"/>
        <v>0</v>
      </c>
      <c r="BQ45" s="1157">
        <f t="shared" si="54"/>
        <v>0</v>
      </c>
      <c r="BR45" s="1157">
        <f t="shared" si="55"/>
        <v>0</v>
      </c>
      <c r="BS45" s="1157">
        <f t="shared" ref="BS45:BU75" si="78">O45*AA45</f>
        <v>0</v>
      </c>
      <c r="BT45" s="1157">
        <f t="shared" si="78"/>
        <v>0</v>
      </c>
      <c r="BU45" s="1157">
        <f t="shared" si="78"/>
        <v>0</v>
      </c>
      <c r="BV45" s="1157">
        <f t="shared" si="57"/>
        <v>0</v>
      </c>
      <c r="BW45" s="1157">
        <f t="shared" si="14"/>
        <v>0</v>
      </c>
      <c r="BX45" s="1157">
        <f t="shared" si="58"/>
        <v>0</v>
      </c>
      <c r="BY45" s="1157">
        <f t="shared" si="59"/>
        <v>0</v>
      </c>
      <c r="BZ45" s="1158">
        <f t="shared" si="60"/>
        <v>0</v>
      </c>
      <c r="CA45" s="1158">
        <f t="shared" si="60"/>
        <v>0</v>
      </c>
      <c r="CB45" s="1158">
        <f t="shared" si="61"/>
        <v>0</v>
      </c>
      <c r="CC45" s="1159" t="e">
        <f t="shared" si="62"/>
        <v>#DIV/0!</v>
      </c>
      <c r="CD45" s="1159" t="e">
        <f t="shared" si="62"/>
        <v>#DIV/0!</v>
      </c>
      <c r="CE45" s="1159" t="e">
        <f t="shared" si="35"/>
        <v>#DIV/0!</v>
      </c>
      <c r="CF45" s="1159" t="e">
        <f t="shared" si="15"/>
        <v>#DIV/0!</v>
      </c>
      <c r="CG45" s="1160">
        <f t="shared" si="16"/>
        <v>0</v>
      </c>
      <c r="CH45" s="1161" t="e">
        <f t="shared" si="36"/>
        <v>#DIV/0!</v>
      </c>
      <c r="CJ45" s="1162">
        <f t="shared" si="37"/>
        <v>0</v>
      </c>
      <c r="CK45" s="1162">
        <f t="shared" si="17"/>
        <v>0</v>
      </c>
      <c r="CL45" s="1157">
        <f t="shared" si="38"/>
        <v>0</v>
      </c>
      <c r="CM45" s="18">
        <f t="shared" si="39"/>
        <v>0</v>
      </c>
      <c r="CN45" s="18">
        <f t="shared" si="40"/>
        <v>0</v>
      </c>
      <c r="CO45" s="1157">
        <f t="shared" si="18"/>
        <v>0</v>
      </c>
      <c r="CP45" s="1157">
        <f t="shared" si="19"/>
        <v>0</v>
      </c>
      <c r="CQ45" s="1157">
        <f t="shared" si="20"/>
        <v>0</v>
      </c>
      <c r="CR45" s="1157">
        <f t="shared" si="21"/>
        <v>0</v>
      </c>
      <c r="CS45" s="1157">
        <f t="shared" si="22"/>
        <v>0</v>
      </c>
      <c r="CT45" s="1157">
        <f t="shared" si="23"/>
        <v>0</v>
      </c>
      <c r="CU45" s="1157">
        <f t="shared" si="24"/>
        <v>0</v>
      </c>
      <c r="CV45" s="1157">
        <f t="shared" si="41"/>
        <v>0</v>
      </c>
      <c r="CW45" s="843" t="e">
        <f t="shared" si="42"/>
        <v>#DIV/0!</v>
      </c>
      <c r="CX45" s="1157">
        <f t="shared" si="25"/>
        <v>0</v>
      </c>
      <c r="CY45" s="1157">
        <f t="shared" si="26"/>
        <v>0</v>
      </c>
      <c r="CZ45" s="1157"/>
      <c r="DA45" s="1157">
        <f t="shared" si="27"/>
        <v>0</v>
      </c>
      <c r="DB45" s="1157">
        <f t="shared" si="28"/>
        <v>0</v>
      </c>
      <c r="DD45" s="1163" t="e">
        <f t="shared" si="43"/>
        <v>#DIV/0!</v>
      </c>
      <c r="DH45" s="1157">
        <v>2982.3739999999998</v>
      </c>
      <c r="DI45" s="1157">
        <v>2100.2200000000003</v>
      </c>
      <c r="DJ45" s="1157">
        <f t="shared" si="44"/>
        <v>882.15399999999954</v>
      </c>
      <c r="DL45" s="1164">
        <f t="shared" si="29"/>
        <v>0</v>
      </c>
      <c r="DM45" s="1164">
        <f t="shared" si="30"/>
        <v>0</v>
      </c>
      <c r="DN45" s="1164">
        <f t="shared" si="31"/>
        <v>0</v>
      </c>
    </row>
    <row r="46" spans="1:119" customFormat="1" ht="100.5" customHeight="1">
      <c r="A46" s="20">
        <f t="shared" si="45"/>
        <v>33</v>
      </c>
      <c r="B46" s="1278" t="s">
        <v>18</v>
      </c>
      <c r="C46" s="1278" t="s">
        <v>93</v>
      </c>
      <c r="D46" s="1294" t="s">
        <v>275</v>
      </c>
      <c r="E46" s="1278">
        <v>4611016308</v>
      </c>
      <c r="F46" s="1280" t="s">
        <v>8</v>
      </c>
      <c r="G46" s="847" t="s">
        <v>951</v>
      </c>
      <c r="H46" s="874">
        <v>2903.808</v>
      </c>
      <c r="I46" s="756">
        <v>2903.808</v>
      </c>
      <c r="J46" s="756">
        <v>1674.68</v>
      </c>
      <c r="K46" s="756">
        <v>1674.68</v>
      </c>
      <c r="L46" s="756">
        <v>2903.808</v>
      </c>
      <c r="M46" s="867"/>
      <c r="N46" s="855">
        <f>2461.81*1.2</f>
        <v>2954.172</v>
      </c>
      <c r="O46" s="38">
        <f>N46</f>
        <v>2954.172</v>
      </c>
      <c r="P46" s="38">
        <f>1549.08*1.2</f>
        <v>1858.8959999999997</v>
      </c>
      <c r="Q46" s="38">
        <f>P46</f>
        <v>1858.8959999999997</v>
      </c>
      <c r="R46" s="38">
        <f>N46</f>
        <v>2954.172</v>
      </c>
      <c r="S46" s="910"/>
      <c r="T46" s="937">
        <v>9045.92</v>
      </c>
      <c r="U46" s="15">
        <v>8463.73</v>
      </c>
      <c r="V46" s="232">
        <v>2647.1</v>
      </c>
      <c r="W46" s="15">
        <v>210.78</v>
      </c>
      <c r="X46" s="15">
        <v>0</v>
      </c>
      <c r="Y46" s="15">
        <v>0</v>
      </c>
      <c r="Z46" s="926">
        <f>SUM(T46:W46)</f>
        <v>20367.53</v>
      </c>
      <c r="AA46" s="900">
        <v>6647.51</v>
      </c>
      <c r="AB46" s="15">
        <v>5661.31</v>
      </c>
      <c r="AC46" s="226">
        <v>1990.27</v>
      </c>
      <c r="AD46" s="15">
        <v>168.14</v>
      </c>
      <c r="AE46" s="15">
        <v>0</v>
      </c>
      <c r="AF46" s="15">
        <v>0</v>
      </c>
      <c r="AG46" s="926">
        <f>SUM(AA46:AD46)</f>
        <v>14467.23</v>
      </c>
      <c r="AH46" s="894">
        <f>Z46+AG46</f>
        <v>34834.759999999995</v>
      </c>
      <c r="AI46" s="15">
        <f>T46+AA46</f>
        <v>15693.43</v>
      </c>
      <c r="AJ46" s="15">
        <f>U46+AB46</f>
        <v>14125.04</v>
      </c>
      <c r="AK46" s="35">
        <f>V46+AC46</f>
        <v>4637.37</v>
      </c>
      <c r="AL46" s="15">
        <f t="shared" si="70"/>
        <v>378.91999999999996</v>
      </c>
      <c r="AM46" s="15">
        <f t="shared" si="70"/>
        <v>0</v>
      </c>
      <c r="AN46" s="15"/>
      <c r="AO46" s="15">
        <f>SUM(AI46:AN46)</f>
        <v>34834.76</v>
      </c>
      <c r="AP46" s="15">
        <f>SUM(AI46:AM46)</f>
        <v>34834.76</v>
      </c>
      <c r="AQ46" s="15">
        <f>SUM(AI46:AL46)</f>
        <v>34834.76</v>
      </c>
      <c r="AR46" s="127">
        <f t="shared" si="32"/>
        <v>0</v>
      </c>
      <c r="AS46" s="112">
        <f t="shared" si="71"/>
        <v>45570707.581440002</v>
      </c>
      <c r="AT46" s="112">
        <f t="shared" si="71"/>
        <v>23654921.987200003</v>
      </c>
      <c r="AU46" s="112">
        <f t="shared" si="71"/>
        <v>7766110.7916000001</v>
      </c>
      <c r="AV46" s="112">
        <f t="shared" si="71"/>
        <v>1100310.9273599999</v>
      </c>
      <c r="AW46" s="112">
        <f t="shared" si="71"/>
        <v>0</v>
      </c>
      <c r="AX46" s="112">
        <f t="shared" si="46"/>
        <v>78092051.287600011</v>
      </c>
      <c r="AY46" s="112">
        <f t="shared" si="47"/>
        <v>78092051.287600011</v>
      </c>
      <c r="AZ46" s="112">
        <f t="shared" si="72"/>
        <v>46361091.48996</v>
      </c>
      <c r="BA46" s="112">
        <f t="shared" si="72"/>
        <v>26256980.355839998</v>
      </c>
      <c r="BB46" s="112">
        <f t="shared" si="72"/>
        <v>8620388.543519998</v>
      </c>
      <c r="BC46" s="112">
        <f t="shared" si="72"/>
        <v>1119394.8542399998</v>
      </c>
      <c r="BD46" s="112">
        <f t="shared" si="72"/>
        <v>0</v>
      </c>
      <c r="BE46" s="112">
        <f t="shared" si="48"/>
        <v>82357855.243560001</v>
      </c>
      <c r="BF46" s="112">
        <f t="shared" si="49"/>
        <v>82357855.243560001</v>
      </c>
      <c r="BG46" s="623"/>
      <c r="BH46" s="624"/>
      <c r="BI46" s="623">
        <v>17124.957497834079</v>
      </c>
      <c r="BJ46" s="112">
        <v>85756.419887624215</v>
      </c>
      <c r="BK46" s="112">
        <v>99227.625959577534</v>
      </c>
      <c r="BL46" s="112">
        <f>I46*T46</f>
        <v>26267614.863359999</v>
      </c>
      <c r="BM46" s="112">
        <f>J46*U46</f>
        <v>14174039.3564</v>
      </c>
      <c r="BN46" s="112">
        <f>K46*V46</f>
        <v>4433045.4280000003</v>
      </c>
      <c r="BO46" s="112">
        <f>L46*W46</f>
        <v>612064.65023999999</v>
      </c>
      <c r="BP46" s="112">
        <f t="shared" si="77"/>
        <v>0</v>
      </c>
      <c r="BQ46" s="112">
        <f>BL46+BM46+BN46+BO46+BP46</f>
        <v>45486764.298</v>
      </c>
      <c r="BR46" s="112">
        <f>BQ46-BP46</f>
        <v>45486764.298</v>
      </c>
      <c r="BS46" s="112">
        <f t="shared" si="78"/>
        <v>19637887.91172</v>
      </c>
      <c r="BT46" s="112">
        <f t="shared" si="78"/>
        <v>10523786.513759999</v>
      </c>
      <c r="BU46" s="112">
        <f t="shared" si="78"/>
        <v>3699704.9419199997</v>
      </c>
      <c r="BV46" s="112">
        <f t="shared" si="57"/>
        <v>622680.37416000001</v>
      </c>
      <c r="BW46" s="112">
        <f t="shared" si="14"/>
        <v>0</v>
      </c>
      <c r="BX46" s="112">
        <f t="shared" si="58"/>
        <v>34484059.741559997</v>
      </c>
      <c r="BY46" s="112">
        <f t="shared" si="59"/>
        <v>34484059.741559997</v>
      </c>
      <c r="BZ46" s="113">
        <f>BM46+BT46</f>
        <v>24697825.870159999</v>
      </c>
      <c r="CA46" s="113">
        <f>BN46+BU46</f>
        <v>8132750.3699200004</v>
      </c>
      <c r="CB46" s="113">
        <f>BZ46+CA46</f>
        <v>32830576.240079999</v>
      </c>
      <c r="CC46" s="119">
        <f t="shared" si="62"/>
        <v>1748.5136941318394</v>
      </c>
      <c r="CD46" s="119">
        <f t="shared" si="62"/>
        <v>1753.7419636388731</v>
      </c>
      <c r="CE46" s="119">
        <f t="shared" si="35"/>
        <v>1749.8059279207735</v>
      </c>
      <c r="CF46" s="119">
        <f t="shared" si="15"/>
        <v>1749.8059279207735</v>
      </c>
      <c r="CG46" s="619">
        <f t="shared" si="16"/>
        <v>54867800.432400003</v>
      </c>
      <c r="CH46" s="132">
        <f t="shared" si="36"/>
        <v>2924.3471618198305</v>
      </c>
      <c r="CI46" s="106"/>
      <c r="CJ46" s="208">
        <f t="shared" si="37"/>
        <v>60169.186835159991</v>
      </c>
      <c r="CK46" s="208">
        <f t="shared" si="17"/>
        <v>42738.685783560002</v>
      </c>
      <c r="CL46" s="112">
        <f t="shared" si="38"/>
        <v>102907.87261871999</v>
      </c>
      <c r="CM46" s="18">
        <f t="shared" si="39"/>
        <v>102907.87261871998</v>
      </c>
      <c r="CN46" s="18">
        <f t="shared" si="40"/>
        <v>0</v>
      </c>
      <c r="CO46" s="112">
        <f t="shared" si="18"/>
        <v>101882082.3378</v>
      </c>
      <c r="CP46" s="112">
        <f t="shared" si="19"/>
        <v>78092051.287600011</v>
      </c>
      <c r="CQ46" s="112">
        <f t="shared" si="20"/>
        <v>78092051.287599996</v>
      </c>
      <c r="CR46" s="112">
        <f t="shared" si="21"/>
        <v>45486764.298</v>
      </c>
      <c r="CS46" s="112">
        <f t="shared" si="22"/>
        <v>82357855.243560001</v>
      </c>
      <c r="CT46" s="112">
        <f t="shared" si="23"/>
        <v>82357855.243559986</v>
      </c>
      <c r="CU46" s="112">
        <f t="shared" si="24"/>
        <v>34358093.847479999</v>
      </c>
      <c r="CV46" s="112">
        <f t="shared" si="41"/>
        <v>160449906.53116</v>
      </c>
      <c r="CW46" s="843">
        <f t="shared" si="42"/>
        <v>4606.028763544231</v>
      </c>
      <c r="CX46" s="112">
        <f t="shared" si="25"/>
        <v>31421032.778800003</v>
      </c>
      <c r="CY46" s="112">
        <f t="shared" si="26"/>
        <v>34877368.899359994</v>
      </c>
      <c r="CZ46" s="112"/>
      <c r="DA46" s="112">
        <f t="shared" si="27"/>
        <v>101153454.76607999</v>
      </c>
      <c r="DB46" s="112">
        <f t="shared" si="28"/>
        <v>102907872.61872</v>
      </c>
      <c r="DC46" s="106"/>
      <c r="DD46" s="128">
        <f t="shared" si="43"/>
        <v>176.40217832660568</v>
      </c>
      <c r="DE46" s="106"/>
      <c r="DF46" s="106"/>
      <c r="DG46" s="106"/>
      <c r="DH46" s="112">
        <v>34834.759999999995</v>
      </c>
      <c r="DI46" s="797">
        <v>18762.41</v>
      </c>
      <c r="DJ46" s="797">
        <f t="shared" si="44"/>
        <v>16072.349999999995</v>
      </c>
      <c r="DK46" s="106"/>
      <c r="DL46" s="618">
        <f t="shared" si="29"/>
        <v>0</v>
      </c>
      <c r="DM46" s="618">
        <f t="shared" si="30"/>
        <v>0</v>
      </c>
      <c r="DN46" s="618">
        <f t="shared" si="31"/>
        <v>0</v>
      </c>
      <c r="DO46" s="106"/>
    </row>
    <row r="47" spans="1:119" customFormat="1" ht="100.5" customHeight="1">
      <c r="A47" s="20">
        <f t="shared" si="45"/>
        <v>34</v>
      </c>
      <c r="B47" s="1281"/>
      <c r="C47" s="1281"/>
      <c r="D47" s="1295" t="s">
        <v>151</v>
      </c>
      <c r="E47" s="768">
        <v>6829012680</v>
      </c>
      <c r="F47" s="696" t="s">
        <v>8</v>
      </c>
      <c r="G47" s="848" t="s">
        <v>948</v>
      </c>
      <c r="H47" s="870">
        <v>2213.5079999999998</v>
      </c>
      <c r="I47" s="827">
        <v>2213.5079999999998</v>
      </c>
      <c r="J47" s="827">
        <v>2047</v>
      </c>
      <c r="K47" s="827">
        <v>2047</v>
      </c>
      <c r="L47" s="827">
        <v>2213.5079999999998</v>
      </c>
      <c r="M47" s="878">
        <v>0</v>
      </c>
      <c r="N47" s="854">
        <f>1938.96*1.2</f>
        <v>2326.752</v>
      </c>
      <c r="O47" s="714">
        <f>N47</f>
        <v>2326.752</v>
      </c>
      <c r="P47" s="714">
        <v>2231.2199999999998</v>
      </c>
      <c r="Q47" s="714">
        <v>2231.2199999999998</v>
      </c>
      <c r="R47" s="714">
        <f>O47</f>
        <v>2326.752</v>
      </c>
      <c r="S47" s="912">
        <v>0</v>
      </c>
      <c r="T47" s="1026">
        <v>673.3</v>
      </c>
      <c r="U47" s="226">
        <v>103.80000000000001</v>
      </c>
      <c r="V47" s="18"/>
      <c r="W47" s="18"/>
      <c r="X47" s="18"/>
      <c r="Y47" s="18"/>
      <c r="Z47" s="934">
        <f t="shared" si="50"/>
        <v>777.09999999999991</v>
      </c>
      <c r="AA47" s="1027">
        <v>367.9</v>
      </c>
      <c r="AB47" s="226">
        <v>57.2</v>
      </c>
      <c r="AC47" s="18">
        <v>0</v>
      </c>
      <c r="AD47" s="18"/>
      <c r="AE47" s="18">
        <v>0</v>
      </c>
      <c r="AF47" s="18"/>
      <c r="AG47" s="934">
        <f t="shared" si="51"/>
        <v>425.09999999999997</v>
      </c>
      <c r="AH47" s="953">
        <f t="shared" si="52"/>
        <v>1202.1999999999998</v>
      </c>
      <c r="AI47" s="15">
        <f t="shared" si="70"/>
        <v>1041.1999999999998</v>
      </c>
      <c r="AJ47" s="15">
        <f t="shared" si="70"/>
        <v>161</v>
      </c>
      <c r="AK47" s="15">
        <f t="shared" si="70"/>
        <v>0</v>
      </c>
      <c r="AL47" s="15">
        <f t="shared" si="70"/>
        <v>0</v>
      </c>
      <c r="AM47" s="15">
        <f t="shared" si="70"/>
        <v>0</v>
      </c>
      <c r="AN47" s="15"/>
      <c r="AO47" s="15">
        <f t="shared" si="67"/>
        <v>1202.1999999999998</v>
      </c>
      <c r="AP47" s="15">
        <f t="shared" si="68"/>
        <v>1202.1999999999998</v>
      </c>
      <c r="AQ47" s="15">
        <f t="shared" si="69"/>
        <v>1202.1999999999998</v>
      </c>
      <c r="AR47" s="127">
        <f t="shared" si="32"/>
        <v>0</v>
      </c>
      <c r="AS47" s="112">
        <f t="shared" si="71"/>
        <v>2304704.5295999995</v>
      </c>
      <c r="AT47" s="112">
        <f t="shared" si="71"/>
        <v>329567</v>
      </c>
      <c r="AU47" s="112">
        <f t="shared" si="71"/>
        <v>0</v>
      </c>
      <c r="AV47" s="112">
        <f t="shared" si="71"/>
        <v>0</v>
      </c>
      <c r="AW47" s="112">
        <f t="shared" si="71"/>
        <v>0</v>
      </c>
      <c r="AX47" s="112">
        <f t="shared" si="46"/>
        <v>2634271.5295999995</v>
      </c>
      <c r="AY47" s="112">
        <f t="shared" si="47"/>
        <v>2634271.5295999995</v>
      </c>
      <c r="AZ47" s="112">
        <f t="shared" si="72"/>
        <v>2422614.1823999994</v>
      </c>
      <c r="BA47" s="112">
        <f t="shared" si="72"/>
        <v>359226.42</v>
      </c>
      <c r="BB47" s="112">
        <f t="shared" si="72"/>
        <v>0</v>
      </c>
      <c r="BC47" s="112">
        <f t="shared" si="72"/>
        <v>0</v>
      </c>
      <c r="BD47" s="112">
        <f t="shared" si="72"/>
        <v>0</v>
      </c>
      <c r="BE47" s="112">
        <f t="shared" si="48"/>
        <v>2781840.6023999993</v>
      </c>
      <c r="BF47" s="112">
        <f t="shared" si="49"/>
        <v>2781840.6023999993</v>
      </c>
      <c r="BG47" s="18"/>
      <c r="BH47" s="99"/>
      <c r="BI47" s="99">
        <v>12.817210000000021</v>
      </c>
      <c r="BJ47" s="112"/>
      <c r="BK47" s="112"/>
      <c r="BL47" s="112">
        <f t="shared" si="77"/>
        <v>1490354.9363999998</v>
      </c>
      <c r="BM47" s="112">
        <f t="shared" si="77"/>
        <v>212478.60000000003</v>
      </c>
      <c r="BN47" s="112">
        <f t="shared" si="77"/>
        <v>0</v>
      </c>
      <c r="BO47" s="112">
        <f t="shared" si="77"/>
        <v>0</v>
      </c>
      <c r="BP47" s="112">
        <f t="shared" si="77"/>
        <v>0</v>
      </c>
      <c r="BQ47" s="112">
        <f t="shared" si="54"/>
        <v>1702833.5363999999</v>
      </c>
      <c r="BR47" s="112">
        <f t="shared" si="55"/>
        <v>1702833.5363999999</v>
      </c>
      <c r="BS47" s="112">
        <f t="shared" si="78"/>
        <v>856012.06079999998</v>
      </c>
      <c r="BT47" s="112">
        <f t="shared" si="78"/>
        <v>127625.784</v>
      </c>
      <c r="BU47" s="112">
        <f t="shared" si="78"/>
        <v>0</v>
      </c>
      <c r="BV47" s="112">
        <f t="shared" si="57"/>
        <v>0</v>
      </c>
      <c r="BW47" s="112">
        <f t="shared" si="14"/>
        <v>0</v>
      </c>
      <c r="BX47" s="112">
        <f t="shared" si="58"/>
        <v>983637.84479999996</v>
      </c>
      <c r="BY47" s="112">
        <f t="shared" si="59"/>
        <v>983637.84479999996</v>
      </c>
      <c r="BZ47" s="113">
        <f t="shared" si="60"/>
        <v>340104.38400000002</v>
      </c>
      <c r="CA47" s="113">
        <f t="shared" si="60"/>
        <v>0</v>
      </c>
      <c r="CB47" s="113">
        <f t="shared" si="61"/>
        <v>340104.38400000002</v>
      </c>
      <c r="CC47" s="119">
        <f t="shared" si="62"/>
        <v>2112.4495900621118</v>
      </c>
      <c r="CD47" s="119" t="e">
        <f t="shared" si="62"/>
        <v>#DIV/0!</v>
      </c>
      <c r="CE47" s="119">
        <f t="shared" si="35"/>
        <v>2112.4495900621118</v>
      </c>
      <c r="CF47" s="119">
        <f t="shared" si="15"/>
        <v>2112.4495900621118</v>
      </c>
      <c r="CG47" s="619">
        <f t="shared" si="16"/>
        <v>362852.34479999996</v>
      </c>
      <c r="CH47" s="132">
        <f t="shared" si="36"/>
        <v>2253.7412720496891</v>
      </c>
      <c r="CI47" s="106"/>
      <c r="CJ47" s="208">
        <f t="shared" si="37"/>
        <v>1808.1189791999998</v>
      </c>
      <c r="CK47" s="208">
        <f t="shared" si="17"/>
        <v>989.10227519999989</v>
      </c>
      <c r="CL47" s="112">
        <f t="shared" si="38"/>
        <v>2797.2212543999995</v>
      </c>
      <c r="CM47" s="18">
        <f t="shared" si="39"/>
        <v>2797.2212543999995</v>
      </c>
      <c r="CN47" s="18">
        <f t="shared" si="40"/>
        <v>0</v>
      </c>
      <c r="CO47" s="112">
        <f t="shared" si="18"/>
        <v>2709219.3419999997</v>
      </c>
      <c r="CP47" s="112">
        <f t="shared" si="19"/>
        <v>2634271.5295999995</v>
      </c>
      <c r="CQ47" s="112">
        <f t="shared" si="20"/>
        <v>2634271.5295999995</v>
      </c>
      <c r="CR47" s="112">
        <f t="shared" si="21"/>
        <v>1702833.5363999999</v>
      </c>
      <c r="CS47" s="112">
        <f t="shared" si="22"/>
        <v>2781840.6023999993</v>
      </c>
      <c r="CT47" s="112">
        <f t="shared" si="23"/>
        <v>2781840.6023999993</v>
      </c>
      <c r="CU47" s="112">
        <f t="shared" si="24"/>
        <v>983637.84479999996</v>
      </c>
      <c r="CV47" s="112">
        <f t="shared" si="41"/>
        <v>5416112.1319999993</v>
      </c>
      <c r="CW47" s="843">
        <f t="shared" si="42"/>
        <v>4505.1673032773251</v>
      </c>
      <c r="CX47" s="112">
        <f t="shared" si="25"/>
        <v>329567</v>
      </c>
      <c r="CY47" s="112">
        <f t="shared" si="26"/>
        <v>359226.42</v>
      </c>
      <c r="CZ47" s="112"/>
      <c r="DA47" s="112">
        <f t="shared" si="27"/>
        <v>2661079.3175999997</v>
      </c>
      <c r="DB47" s="112">
        <f t="shared" si="28"/>
        <v>2797221.2543999995</v>
      </c>
      <c r="DC47" s="106"/>
      <c r="DD47" s="128">
        <f t="shared" si="43"/>
        <v>113.66643869076698</v>
      </c>
      <c r="DE47" s="106"/>
      <c r="DF47" s="106"/>
      <c r="DG47" s="106"/>
      <c r="DH47" s="112">
        <v>1083.6999999999998</v>
      </c>
      <c r="DI47" s="797">
        <v>176.8</v>
      </c>
      <c r="DJ47" s="797">
        <f t="shared" si="44"/>
        <v>906.89999999999986</v>
      </c>
      <c r="DK47" s="106"/>
      <c r="DL47" s="618">
        <f t="shared" si="29"/>
        <v>0</v>
      </c>
      <c r="DM47" s="618">
        <f t="shared" si="30"/>
        <v>0</v>
      </c>
      <c r="DN47" s="618">
        <f t="shared" si="31"/>
        <v>0</v>
      </c>
      <c r="DO47" s="106"/>
    </row>
    <row r="48" spans="1:119" customFormat="1" ht="100.5" customHeight="1">
      <c r="A48" s="20">
        <f t="shared" si="45"/>
        <v>35</v>
      </c>
      <c r="B48" s="1287"/>
      <c r="C48" s="1281"/>
      <c r="D48" s="1058" t="s">
        <v>152</v>
      </c>
      <c r="E48" s="1280">
        <v>7729314745</v>
      </c>
      <c r="F48" s="1280" t="s">
        <v>8</v>
      </c>
      <c r="G48" s="1245" t="s">
        <v>968</v>
      </c>
      <c r="H48" s="874">
        <v>2727.0239999999999</v>
      </c>
      <c r="I48" s="756">
        <v>2727.0239999999999</v>
      </c>
      <c r="J48" s="756">
        <v>1064.9000000000001</v>
      </c>
      <c r="K48" s="756"/>
      <c r="L48" s="756"/>
      <c r="M48" s="867"/>
      <c r="N48" s="1034">
        <f>2727.02 *1.2</f>
        <v>3272.424</v>
      </c>
      <c r="O48" s="964">
        <f>2727.02 *1.2</f>
        <v>3272.424</v>
      </c>
      <c r="P48" s="964">
        <v>1180.98</v>
      </c>
      <c r="Q48" s="10"/>
      <c r="R48" s="10"/>
      <c r="S48" s="910"/>
      <c r="T48" s="931">
        <v>777.39862900000003</v>
      </c>
      <c r="U48" s="23">
        <v>1141.1861724</v>
      </c>
      <c r="V48" s="206"/>
      <c r="W48" s="23"/>
      <c r="X48" s="23"/>
      <c r="Y48" s="23"/>
      <c r="Z48" s="939">
        <f t="shared" si="50"/>
        <v>1918.5848014000001</v>
      </c>
      <c r="AA48" s="897">
        <v>517.46435199999996</v>
      </c>
      <c r="AB48" s="23">
        <v>901.71497939999995</v>
      </c>
      <c r="AC48" s="206"/>
      <c r="AD48" s="15"/>
      <c r="AE48" s="15"/>
      <c r="AF48" s="15"/>
      <c r="AG48" s="926">
        <f t="shared" si="51"/>
        <v>1419.1793313999999</v>
      </c>
      <c r="AH48" s="894">
        <f t="shared" si="52"/>
        <v>3337.7641328</v>
      </c>
      <c r="AI48" s="15">
        <f t="shared" si="70"/>
        <v>1294.862981</v>
      </c>
      <c r="AJ48" s="15">
        <f t="shared" si="70"/>
        <v>2042.9011518</v>
      </c>
      <c r="AK48" s="15">
        <f t="shared" si="70"/>
        <v>0</v>
      </c>
      <c r="AL48" s="15">
        <f t="shared" si="70"/>
        <v>0</v>
      </c>
      <c r="AM48" s="15">
        <f t="shared" si="70"/>
        <v>0</v>
      </c>
      <c r="AN48" s="15"/>
      <c r="AO48" s="15">
        <f t="shared" si="67"/>
        <v>3337.7641328</v>
      </c>
      <c r="AP48" s="15">
        <f t="shared" si="68"/>
        <v>3337.7641328</v>
      </c>
      <c r="AQ48" s="17">
        <f t="shared" si="69"/>
        <v>3337.7641328</v>
      </c>
      <c r="AR48" s="127">
        <f t="shared" si="32"/>
        <v>0</v>
      </c>
      <c r="AS48" s="112">
        <f t="shared" si="71"/>
        <v>3531122.425898544</v>
      </c>
      <c r="AT48" s="112">
        <f t="shared" si="71"/>
        <v>2175485.43655182</v>
      </c>
      <c r="AU48" s="112">
        <f t="shared" si="71"/>
        <v>0</v>
      </c>
      <c r="AV48" s="112">
        <f t="shared" si="71"/>
        <v>0</v>
      </c>
      <c r="AW48" s="112">
        <f t="shared" si="71"/>
        <v>0</v>
      </c>
      <c r="AX48" s="112">
        <f t="shared" si="46"/>
        <v>5706607.862450364</v>
      </c>
      <c r="AY48" s="112">
        <f t="shared" si="47"/>
        <v>5706607.862450364</v>
      </c>
      <c r="AZ48" s="112">
        <f t="shared" si="72"/>
        <v>4237340.6957359435</v>
      </c>
      <c r="BA48" s="112">
        <f t="shared" si="72"/>
        <v>2412625.402252764</v>
      </c>
      <c r="BB48" s="112">
        <f t="shared" si="72"/>
        <v>0</v>
      </c>
      <c r="BC48" s="112">
        <f t="shared" si="72"/>
        <v>0</v>
      </c>
      <c r="BD48" s="112">
        <f t="shared" si="72"/>
        <v>0</v>
      </c>
      <c r="BE48" s="112">
        <f t="shared" si="48"/>
        <v>6649966.0979887079</v>
      </c>
      <c r="BF48" s="112">
        <f t="shared" si="49"/>
        <v>6649966.0979887079</v>
      </c>
      <c r="BG48" s="1059">
        <f>(O48-P48)/1.2*U48/1000+(O48-Q48)/1.2*V48/1000</f>
        <v>1988.9391442907881</v>
      </c>
      <c r="BH48" s="1060">
        <f>(O48-P48)/1.2*AB48/1000+(O48-Q48)/1.2*AC48/1000</f>
        <v>1571.5719861468781</v>
      </c>
      <c r="BI48" s="1059">
        <f>BG48+BH48</f>
        <v>3560.511130437666</v>
      </c>
      <c r="BJ48" s="112"/>
      <c r="BK48" s="112"/>
      <c r="BL48" s="112">
        <f t="shared" si="77"/>
        <v>2119984.7188500958</v>
      </c>
      <c r="BM48" s="112">
        <f t="shared" si="77"/>
        <v>1215249.1549887601</v>
      </c>
      <c r="BN48" s="112">
        <f t="shared" si="77"/>
        <v>0</v>
      </c>
      <c r="BO48" s="112">
        <f t="shared" si="77"/>
        <v>0</v>
      </c>
      <c r="BP48" s="112">
        <f t="shared" si="77"/>
        <v>0</v>
      </c>
      <c r="BQ48" s="112">
        <f t="shared" si="54"/>
        <v>3335233.8738388559</v>
      </c>
      <c r="BR48" s="112">
        <f t="shared" si="55"/>
        <v>3335233.8738388559</v>
      </c>
      <c r="BS48" s="112">
        <f t="shared" si="78"/>
        <v>1693362.7646292478</v>
      </c>
      <c r="BT48" s="112">
        <f t="shared" si="78"/>
        <v>1064907.3563718121</v>
      </c>
      <c r="BU48" s="112">
        <f t="shared" si="78"/>
        <v>0</v>
      </c>
      <c r="BV48" s="112">
        <f t="shared" si="57"/>
        <v>0</v>
      </c>
      <c r="BW48" s="112">
        <f t="shared" si="14"/>
        <v>0</v>
      </c>
      <c r="BX48" s="112">
        <f t="shared" si="58"/>
        <v>2758270.1210010601</v>
      </c>
      <c r="BY48" s="112">
        <f t="shared" si="59"/>
        <v>2758270.1210010601</v>
      </c>
      <c r="BZ48" s="113">
        <f t="shared" si="60"/>
        <v>2280156.5113605722</v>
      </c>
      <c r="CA48" s="113">
        <f t="shared" si="60"/>
        <v>0</v>
      </c>
      <c r="CB48" s="113">
        <f t="shared" si="61"/>
        <v>2280156.5113605722</v>
      </c>
      <c r="CC48" s="119">
        <f t="shared" si="62"/>
        <v>1116.1364852878596</v>
      </c>
      <c r="CD48" s="119" t="e">
        <f t="shared" si="62"/>
        <v>#DIV/0!</v>
      </c>
      <c r="CE48" s="119">
        <f t="shared" si="35"/>
        <v>1116.1364852878596</v>
      </c>
      <c r="CF48" s="119">
        <f t="shared" si="15"/>
        <v>1116.1364852878596</v>
      </c>
      <c r="CG48" s="619">
        <f t="shared" si="16"/>
        <v>6062835.8203510027</v>
      </c>
      <c r="CH48" s="132">
        <f t="shared" si="36"/>
        <v>2967.7577963128751</v>
      </c>
      <c r="CI48" s="106"/>
      <c r="CJ48" s="1057">
        <f t="shared" si="37"/>
        <v>6278.4229501365935</v>
      </c>
      <c r="CK48" s="1057">
        <f t="shared" si="17"/>
        <v>4644.1565043773126</v>
      </c>
      <c r="CL48" s="1057">
        <f>CJ48+CK48</f>
        <v>10922.579454513907</v>
      </c>
      <c r="CM48" s="18">
        <f t="shared" si="39"/>
        <v>10922.579454513907</v>
      </c>
      <c r="CN48" s="18">
        <f t="shared" si="40"/>
        <v>0</v>
      </c>
      <c r="CO48" s="112">
        <f t="shared" si="18"/>
        <v>9876183.3038303461</v>
      </c>
      <c r="CP48" s="112">
        <f t="shared" si="19"/>
        <v>5706607.862450364</v>
      </c>
      <c r="CQ48" s="112">
        <f t="shared" si="20"/>
        <v>5706607.862450364</v>
      </c>
      <c r="CR48" s="112">
        <f t="shared" si="21"/>
        <v>3335233.8738388559</v>
      </c>
      <c r="CS48" s="112">
        <f t="shared" si="22"/>
        <v>6649966.0979887079</v>
      </c>
      <c r="CT48" s="112">
        <f t="shared" si="23"/>
        <v>6649966.0979887079</v>
      </c>
      <c r="CU48" s="112">
        <f t="shared" si="24"/>
        <v>2758270.1210010601</v>
      </c>
      <c r="CV48" s="112">
        <f t="shared" si="41"/>
        <v>12356573.960439071</v>
      </c>
      <c r="CW48" s="843">
        <f t="shared" si="42"/>
        <v>3702.0512740884801</v>
      </c>
      <c r="CX48" s="112">
        <f t="shared" si="25"/>
        <v>2175485.43655182</v>
      </c>
      <c r="CY48" s="112">
        <f t="shared" si="26"/>
        <v>2412625.402252764</v>
      </c>
      <c r="CZ48" s="112"/>
      <c r="DA48" s="112">
        <f t="shared" si="27"/>
        <v>9102162.8964847866</v>
      </c>
      <c r="DB48" s="112">
        <f t="shared" si="28"/>
        <v>10922579.454513907</v>
      </c>
      <c r="DC48" s="106"/>
      <c r="DD48" s="128">
        <f t="shared" si="43"/>
        <v>307.29871349422478</v>
      </c>
      <c r="DE48" s="106"/>
      <c r="DF48" s="106"/>
      <c r="DG48" s="106"/>
      <c r="DH48" s="124">
        <v>3337.7641328</v>
      </c>
      <c r="DI48" s="797">
        <v>2042.9011518</v>
      </c>
      <c r="DJ48" s="797">
        <f t="shared" si="44"/>
        <v>1294.862981</v>
      </c>
      <c r="DK48" s="106"/>
      <c r="DL48" s="618">
        <f t="shared" si="29"/>
        <v>0</v>
      </c>
      <c r="DM48" s="618">
        <f t="shared" si="30"/>
        <v>0</v>
      </c>
      <c r="DN48" s="618">
        <f t="shared" si="31"/>
        <v>0</v>
      </c>
      <c r="DO48" s="115"/>
    </row>
    <row r="49" spans="1:119" customFormat="1" ht="100.5" customHeight="1">
      <c r="A49" s="20">
        <f t="shared" si="45"/>
        <v>36</v>
      </c>
      <c r="B49" s="1287"/>
      <c r="C49" s="1279"/>
      <c r="D49" s="1058" t="s">
        <v>153</v>
      </c>
      <c r="E49" s="1280">
        <v>7729314745</v>
      </c>
      <c r="F49" s="1280" t="s">
        <v>8</v>
      </c>
      <c r="G49" s="1246"/>
      <c r="H49" s="874">
        <v>2113.14</v>
      </c>
      <c r="I49" s="756">
        <v>2113.14</v>
      </c>
      <c r="J49" s="756">
        <v>1535.45</v>
      </c>
      <c r="K49" s="756">
        <v>1314</v>
      </c>
      <c r="L49" s="756"/>
      <c r="M49" s="867"/>
      <c r="N49" s="1034">
        <f>2113.14 *1.2</f>
        <v>2535.7679999999996</v>
      </c>
      <c r="O49" s="964">
        <f>2113.14 *1.2</f>
        <v>2535.7679999999996</v>
      </c>
      <c r="P49" s="964">
        <v>1702.81</v>
      </c>
      <c r="Q49" s="964">
        <v>1457.23</v>
      </c>
      <c r="R49" s="10"/>
      <c r="S49" s="910"/>
      <c r="T49" s="931">
        <f>3341.440243+445.654028342152</f>
        <v>3787.0942713421518</v>
      </c>
      <c r="U49" s="23">
        <v>3152.6553239999998</v>
      </c>
      <c r="V49" s="206">
        <v>841.05055919999995</v>
      </c>
      <c r="W49" s="23"/>
      <c r="X49" s="23"/>
      <c r="Y49" s="23"/>
      <c r="Z49" s="939">
        <f t="shared" si="50"/>
        <v>7780.8001545421512</v>
      </c>
      <c r="AA49" s="897">
        <f>2240.014178+453.71565587978</f>
        <v>2693.72983387978</v>
      </c>
      <c r="AB49" s="23">
        <v>2364.491493</v>
      </c>
      <c r="AC49" s="206">
        <v>841.05055919999995</v>
      </c>
      <c r="AD49" s="15"/>
      <c r="AE49" s="15"/>
      <c r="AF49" s="15"/>
      <c r="AG49" s="926">
        <f t="shared" si="51"/>
        <v>5899.2718860797804</v>
      </c>
      <c r="AH49" s="894">
        <f t="shared" si="52"/>
        <v>13680.072040621932</v>
      </c>
      <c r="AI49" s="15">
        <f t="shared" si="70"/>
        <v>6480.8241052219319</v>
      </c>
      <c r="AJ49" s="15">
        <f t="shared" si="70"/>
        <v>5517.1468169999998</v>
      </c>
      <c r="AK49" s="15">
        <f t="shared" si="70"/>
        <v>1682.1011183999999</v>
      </c>
      <c r="AL49" s="15">
        <f t="shared" si="70"/>
        <v>0</v>
      </c>
      <c r="AM49" s="15">
        <f t="shared" si="70"/>
        <v>0</v>
      </c>
      <c r="AN49" s="15"/>
      <c r="AO49" s="15">
        <f t="shared" si="67"/>
        <v>13680.072040621932</v>
      </c>
      <c r="AP49" s="15">
        <f t="shared" si="68"/>
        <v>13680.072040621932</v>
      </c>
      <c r="AQ49" s="17">
        <f t="shared" si="69"/>
        <v>13680.072040621932</v>
      </c>
      <c r="AR49" s="127">
        <f t="shared" si="32"/>
        <v>0</v>
      </c>
      <c r="AS49" s="112">
        <f t="shared" si="71"/>
        <v>13694888.649708671</v>
      </c>
      <c r="AT49" s="112">
        <f t="shared" si="71"/>
        <v>8471303.08016265</v>
      </c>
      <c r="AU49" s="112">
        <f t="shared" si="71"/>
        <v>2210280.8695775997</v>
      </c>
      <c r="AV49" s="112">
        <f t="shared" si="71"/>
        <v>0</v>
      </c>
      <c r="AW49" s="112">
        <f t="shared" si="71"/>
        <v>0</v>
      </c>
      <c r="AX49" s="112">
        <f t="shared" si="46"/>
        <v>24376472.599448919</v>
      </c>
      <c r="AY49" s="112">
        <f t="shared" si="47"/>
        <v>24376472.599448919</v>
      </c>
      <c r="AZ49" s="112">
        <f t="shared" si="72"/>
        <v>16433866.379650405</v>
      </c>
      <c r="BA49" s="112">
        <f t="shared" si="72"/>
        <v>9394652.7714557685</v>
      </c>
      <c r="BB49" s="112">
        <f t="shared" si="72"/>
        <v>2451208.2127660317</v>
      </c>
      <c r="BC49" s="112">
        <f t="shared" si="72"/>
        <v>0</v>
      </c>
      <c r="BD49" s="112">
        <f t="shared" si="72"/>
        <v>0</v>
      </c>
      <c r="BE49" s="112">
        <f t="shared" si="48"/>
        <v>28279727.363872204</v>
      </c>
      <c r="BF49" s="112">
        <f t="shared" si="49"/>
        <v>28279727.363872204</v>
      </c>
      <c r="BG49" s="1059">
        <f>(O49-P49)/1.2*U49/1000+(O49-Q49)/1.2*V49/1000</f>
        <v>2944.2787178223666</v>
      </c>
      <c r="BH49" s="1060">
        <f>(O49-P49)/1.2*AB49/1000+(O49-Q49)/1.2*AC49/1000</f>
        <v>2397.1892442039521</v>
      </c>
      <c r="BI49" s="1059">
        <f>BG49+BH49+0.00192765681094897</f>
        <v>5341.4698896831296</v>
      </c>
      <c r="BJ49" s="112"/>
      <c r="BK49" s="112"/>
      <c r="BL49" s="112">
        <f t="shared" si="77"/>
        <v>8002660.3885439541</v>
      </c>
      <c r="BM49" s="112">
        <f t="shared" si="77"/>
        <v>4840744.6172358003</v>
      </c>
      <c r="BN49" s="112">
        <f t="shared" si="77"/>
        <v>1105140.4347887998</v>
      </c>
      <c r="BO49" s="112">
        <f t="shared" si="77"/>
        <v>0</v>
      </c>
      <c r="BP49" s="112">
        <f t="shared" si="77"/>
        <v>0</v>
      </c>
      <c r="BQ49" s="112">
        <f t="shared" si="54"/>
        <v>13948545.440568555</v>
      </c>
      <c r="BR49" s="112">
        <f t="shared" si="55"/>
        <v>13948545.440568555</v>
      </c>
      <c r="BS49" s="112">
        <f t="shared" si="78"/>
        <v>6830673.9133976605</v>
      </c>
      <c r="BT49" s="112">
        <f t="shared" si="78"/>
        <v>4026279.7591953301</v>
      </c>
      <c r="BU49" s="112">
        <f t="shared" si="78"/>
        <v>1225604.1063830159</v>
      </c>
      <c r="BV49" s="112">
        <f t="shared" si="57"/>
        <v>0</v>
      </c>
      <c r="BW49" s="112">
        <f t="shared" si="14"/>
        <v>0</v>
      </c>
      <c r="BX49" s="112">
        <f t="shared" si="58"/>
        <v>12082557.778976006</v>
      </c>
      <c r="BY49" s="112">
        <f t="shared" si="59"/>
        <v>12082557.778976006</v>
      </c>
      <c r="BZ49" s="113">
        <f t="shared" si="60"/>
        <v>8867024.3764311299</v>
      </c>
      <c r="CA49" s="113">
        <f t="shared" si="60"/>
        <v>2330744.5411718157</v>
      </c>
      <c r="CB49" s="113">
        <f t="shared" si="61"/>
        <v>11197768.917602945</v>
      </c>
      <c r="CC49" s="119">
        <f t="shared" si="62"/>
        <v>1607.1757142857143</v>
      </c>
      <c r="CD49" s="119">
        <f t="shared" si="62"/>
        <v>1385.615</v>
      </c>
      <c r="CE49" s="119">
        <f t="shared" si="35"/>
        <v>1555.4081506960604</v>
      </c>
      <c r="CF49" s="119">
        <f t="shared" si="15"/>
        <v>1555.4081506960604</v>
      </c>
      <c r="CG49" s="619">
        <f t="shared" si="16"/>
        <v>16567770.608648334</v>
      </c>
      <c r="CH49" s="132">
        <f t="shared" si="36"/>
        <v>2301.3196318995515</v>
      </c>
      <c r="CI49" s="106"/>
      <c r="CJ49" s="1057">
        <f t="shared" si="37"/>
        <v>19730.304046283036</v>
      </c>
      <c r="CK49" s="1057">
        <f t="shared" si="17"/>
        <v>14959.184872020749</v>
      </c>
      <c r="CL49" s="1057">
        <f>CJ49+CK49+0.0161466775825829</f>
        <v>34689.505064981371</v>
      </c>
      <c r="CM49" s="18">
        <f t="shared" si="39"/>
        <v>34689.488918303789</v>
      </c>
      <c r="CN49" s="18">
        <f t="shared" si="40"/>
        <v>-1.6146677582582925E-2</v>
      </c>
      <c r="CO49" s="112">
        <f t="shared" si="18"/>
        <v>31401104.910589948</v>
      </c>
      <c r="CP49" s="112">
        <f t="shared" si="19"/>
        <v>24376472.599448919</v>
      </c>
      <c r="CQ49" s="112">
        <f t="shared" si="20"/>
        <v>24748973.892118603</v>
      </c>
      <c r="CR49" s="112">
        <f t="shared" si="21"/>
        <v>13948545.440568555</v>
      </c>
      <c r="CS49" s="112">
        <f t="shared" si="22"/>
        <v>28279727.363872204</v>
      </c>
      <c r="CT49" s="112">
        <f t="shared" si="23"/>
        <v>28692817.756528877</v>
      </c>
      <c r="CU49" s="112">
        <f t="shared" si="24"/>
        <v>12082557.778976006</v>
      </c>
      <c r="CV49" s="112">
        <f t="shared" si="41"/>
        <v>52656199.96332112</v>
      </c>
      <c r="CW49" s="843">
        <f t="shared" si="42"/>
        <v>3849.1171542783213</v>
      </c>
      <c r="CX49" s="112">
        <f t="shared" si="25"/>
        <v>10681583.94974025</v>
      </c>
      <c r="CY49" s="112">
        <f t="shared" si="26"/>
        <v>11845860.984221801</v>
      </c>
      <c r="CZ49" s="112"/>
      <c r="DA49" s="112">
        <f t="shared" si="27"/>
        <v>28907907.431919828</v>
      </c>
      <c r="DB49" s="112">
        <f t="shared" si="28"/>
        <v>34689488.918303788</v>
      </c>
      <c r="DC49" s="106"/>
      <c r="DD49" s="128">
        <f t="shared" si="43"/>
        <v>165.14819759679568</v>
      </c>
      <c r="DE49" s="106"/>
      <c r="DF49" s="106"/>
      <c r="DG49" s="106"/>
      <c r="DH49" s="112">
        <v>13680.072040621932</v>
      </c>
      <c r="DI49" s="797">
        <v>7199.2479353999997</v>
      </c>
      <c r="DJ49" s="797">
        <f t="shared" si="44"/>
        <v>6480.8241052219319</v>
      </c>
      <c r="DK49" s="106"/>
      <c r="DL49" s="618">
        <f t="shared" si="29"/>
        <v>0</v>
      </c>
      <c r="DM49" s="618">
        <f t="shared" si="30"/>
        <v>0</v>
      </c>
      <c r="DN49" s="618">
        <f t="shared" si="31"/>
        <v>0</v>
      </c>
      <c r="DO49" s="115"/>
    </row>
    <row r="50" spans="1:119" customFormat="1" ht="100.5" customHeight="1">
      <c r="A50" s="20">
        <f t="shared" si="45"/>
        <v>37</v>
      </c>
      <c r="B50" s="1281"/>
      <c r="C50" s="1278" t="s">
        <v>148</v>
      </c>
      <c r="D50" s="1295" t="s">
        <v>186</v>
      </c>
      <c r="E50" s="768">
        <v>6829012680</v>
      </c>
      <c r="F50" s="696" t="s">
        <v>8</v>
      </c>
      <c r="G50" s="848" t="s">
        <v>949</v>
      </c>
      <c r="H50" s="870">
        <v>2213.5079999999998</v>
      </c>
      <c r="I50" s="827">
        <v>2213.5079999999998</v>
      </c>
      <c r="J50" s="827">
        <v>2047</v>
      </c>
      <c r="K50" s="827">
        <v>2047</v>
      </c>
      <c r="L50" s="827">
        <v>2213.5079999999998</v>
      </c>
      <c r="M50" s="878">
        <v>0</v>
      </c>
      <c r="N50" s="854">
        <f>N47</f>
        <v>2326.752</v>
      </c>
      <c r="O50" s="714">
        <f>O47</f>
        <v>2326.752</v>
      </c>
      <c r="P50" s="714">
        <v>2231.2199999999998</v>
      </c>
      <c r="Q50" s="714">
        <v>2231.2199999999998</v>
      </c>
      <c r="R50" s="714">
        <f>N50</f>
        <v>2326.752</v>
      </c>
      <c r="S50" s="912">
        <v>0</v>
      </c>
      <c r="T50" s="1026">
        <v>4048.7</v>
      </c>
      <c r="U50" s="226">
        <v>1409</v>
      </c>
      <c r="V50" s="226">
        <v>262.10000000000002</v>
      </c>
      <c r="W50" s="226">
        <v>54.599999999999994</v>
      </c>
      <c r="X50" s="15">
        <v>0</v>
      </c>
      <c r="Y50" s="15"/>
      <c r="Z50" s="926">
        <f t="shared" si="50"/>
        <v>5774.4000000000005</v>
      </c>
      <c r="AA50" s="1027">
        <v>2774</v>
      </c>
      <c r="AB50" s="208">
        <v>1015.8</v>
      </c>
      <c r="AC50" s="226">
        <v>233</v>
      </c>
      <c r="AD50" s="226">
        <v>46.5</v>
      </c>
      <c r="AE50" s="15"/>
      <c r="AF50" s="15"/>
      <c r="AG50" s="926">
        <f t="shared" si="51"/>
        <v>4069.3</v>
      </c>
      <c r="AH50" s="894">
        <f t="shared" si="52"/>
        <v>9843.7000000000007</v>
      </c>
      <c r="AI50" s="15">
        <f t="shared" si="70"/>
        <v>6822.7</v>
      </c>
      <c r="AJ50" s="15">
        <f t="shared" si="70"/>
        <v>2424.8000000000002</v>
      </c>
      <c r="AK50" s="15">
        <f t="shared" si="70"/>
        <v>495.1</v>
      </c>
      <c r="AL50" s="15">
        <f t="shared" si="70"/>
        <v>101.1</v>
      </c>
      <c r="AM50" s="15">
        <f t="shared" si="70"/>
        <v>0</v>
      </c>
      <c r="AN50" s="15"/>
      <c r="AO50" s="15">
        <f t="shared" si="67"/>
        <v>9843.7000000000007</v>
      </c>
      <c r="AP50" s="15">
        <f t="shared" si="68"/>
        <v>9843.7000000000007</v>
      </c>
      <c r="AQ50" s="15">
        <f t="shared" si="69"/>
        <v>9843.7000000000007</v>
      </c>
      <c r="AR50" s="127">
        <f t="shared" si="32"/>
        <v>0</v>
      </c>
      <c r="AS50" s="112">
        <f t="shared" si="71"/>
        <v>15102101.031599998</v>
      </c>
      <c r="AT50" s="112">
        <f t="shared" si="71"/>
        <v>4963565.6000000006</v>
      </c>
      <c r="AU50" s="112">
        <f t="shared" si="71"/>
        <v>1013469.7000000001</v>
      </c>
      <c r="AV50" s="112">
        <f t="shared" si="71"/>
        <v>223785.65879999998</v>
      </c>
      <c r="AW50" s="112">
        <f t="shared" si="71"/>
        <v>0</v>
      </c>
      <c r="AX50" s="112">
        <f t="shared" si="46"/>
        <v>21302921.990399998</v>
      </c>
      <c r="AY50" s="112">
        <f t="shared" si="47"/>
        <v>21302921.990399998</v>
      </c>
      <c r="AZ50" s="112">
        <f t="shared" si="72"/>
        <v>15874730.870399999</v>
      </c>
      <c r="BA50" s="112">
        <f t="shared" si="72"/>
        <v>5410262.2560000001</v>
      </c>
      <c r="BB50" s="112">
        <f t="shared" si="72"/>
        <v>1104677.0219999999</v>
      </c>
      <c r="BC50" s="112">
        <f t="shared" si="72"/>
        <v>235234.62719999999</v>
      </c>
      <c r="BD50" s="112">
        <f t="shared" si="72"/>
        <v>0</v>
      </c>
      <c r="BE50" s="112">
        <f t="shared" si="48"/>
        <v>22624904.775599997</v>
      </c>
      <c r="BF50" s="112">
        <f t="shared" si="49"/>
        <v>22624904.775599997</v>
      </c>
      <c r="BG50" s="769"/>
      <c r="BH50" s="769"/>
      <c r="BI50" s="769">
        <v>232.45323900000042</v>
      </c>
      <c r="BJ50" s="112"/>
      <c r="BK50" s="112"/>
      <c r="BL50" s="112">
        <f t="shared" si="77"/>
        <v>8961829.8395999987</v>
      </c>
      <c r="BM50" s="112">
        <f t="shared" si="77"/>
        <v>2884223</v>
      </c>
      <c r="BN50" s="112">
        <f t="shared" si="77"/>
        <v>536518.70000000007</v>
      </c>
      <c r="BO50" s="112">
        <f t="shared" si="77"/>
        <v>120857.53679999997</v>
      </c>
      <c r="BP50" s="112">
        <f t="shared" si="77"/>
        <v>0</v>
      </c>
      <c r="BQ50" s="112">
        <f t="shared" si="54"/>
        <v>12503429.076399999</v>
      </c>
      <c r="BR50" s="112">
        <f t="shared" si="55"/>
        <v>12503429.076399999</v>
      </c>
      <c r="BS50" s="112">
        <f t="shared" si="78"/>
        <v>6454410.0479999995</v>
      </c>
      <c r="BT50" s="112">
        <f t="shared" si="78"/>
        <v>2266473.2759999996</v>
      </c>
      <c r="BU50" s="112">
        <f t="shared" si="78"/>
        <v>519874.25999999995</v>
      </c>
      <c r="BV50" s="112">
        <f t="shared" si="57"/>
        <v>127040.65919999998</v>
      </c>
      <c r="BW50" s="112">
        <f t="shared" si="14"/>
        <v>0</v>
      </c>
      <c r="BX50" s="112">
        <f t="shared" si="58"/>
        <v>9367798.2431999985</v>
      </c>
      <c r="BY50" s="112">
        <f t="shared" si="59"/>
        <v>9367798.2431999985</v>
      </c>
      <c r="BZ50" s="113">
        <f t="shared" si="60"/>
        <v>5150696.2759999996</v>
      </c>
      <c r="CA50" s="113">
        <f t="shared" si="60"/>
        <v>1056392.96</v>
      </c>
      <c r="CB50" s="113">
        <f t="shared" si="61"/>
        <v>6207089.2359999996</v>
      </c>
      <c r="CC50" s="119">
        <f t="shared" si="62"/>
        <v>2124.1736539096005</v>
      </c>
      <c r="CD50" s="119">
        <f t="shared" si="62"/>
        <v>2133.6961421934961</v>
      </c>
      <c r="CE50" s="119">
        <f t="shared" si="35"/>
        <v>2125.7882927497517</v>
      </c>
      <c r="CF50" s="119">
        <f t="shared" si="15"/>
        <v>2125.7882927497517</v>
      </c>
      <c r="CG50" s="619">
        <f t="shared" si="16"/>
        <v>6604641.1163999997</v>
      </c>
      <c r="CH50" s="132">
        <f t="shared" si="36"/>
        <v>2261.9408597554707</v>
      </c>
      <c r="CI50" s="106"/>
      <c r="CJ50" s="208">
        <f t="shared" si="37"/>
        <v>13435.596748800001</v>
      </c>
      <c r="CK50" s="208">
        <f t="shared" si="17"/>
        <v>9468.2519135999992</v>
      </c>
      <c r="CL50" s="112">
        <f t="shared" si="38"/>
        <v>22903.8486624</v>
      </c>
      <c r="CM50" s="18">
        <f t="shared" si="39"/>
        <v>22903.8486624</v>
      </c>
      <c r="CN50" s="18">
        <f t="shared" si="40"/>
        <v>0</v>
      </c>
      <c r="CO50" s="112">
        <f t="shared" si="18"/>
        <v>22249932.5088</v>
      </c>
      <c r="CP50" s="112">
        <f t="shared" si="19"/>
        <v>21302921.990399998</v>
      </c>
      <c r="CQ50" s="112">
        <f t="shared" si="20"/>
        <v>21302921.990399998</v>
      </c>
      <c r="CR50" s="112">
        <f t="shared" si="21"/>
        <v>12503429.076399999</v>
      </c>
      <c r="CS50" s="112">
        <f t="shared" si="22"/>
        <v>22624904.775599997</v>
      </c>
      <c r="CT50" s="112">
        <f t="shared" si="23"/>
        <v>22624904.775599997</v>
      </c>
      <c r="CU50" s="112">
        <f t="shared" si="24"/>
        <v>9348951.5519999992</v>
      </c>
      <c r="CV50" s="112">
        <f t="shared" si="41"/>
        <v>43927826.765999995</v>
      </c>
      <c r="CW50" s="843">
        <f t="shared" si="42"/>
        <v>4462.5320525818533</v>
      </c>
      <c r="CX50" s="112">
        <f t="shared" si="25"/>
        <v>5977035.3000000007</v>
      </c>
      <c r="CY50" s="112">
        <f t="shared" si="26"/>
        <v>6514939.2779999999</v>
      </c>
      <c r="CZ50" s="112"/>
      <c r="DA50" s="112">
        <f t="shared" si="27"/>
        <v>21789108.699599996</v>
      </c>
      <c r="DB50" s="112">
        <f t="shared" si="28"/>
        <v>22903848.662399996</v>
      </c>
      <c r="DC50" s="106"/>
      <c r="DD50" s="128">
        <f t="shared" si="43"/>
        <v>113.66643869076698</v>
      </c>
      <c r="DE50" s="106"/>
      <c r="DF50" s="106"/>
      <c r="DG50" s="106"/>
      <c r="DH50" s="112">
        <v>9763.1</v>
      </c>
      <c r="DI50" s="797">
        <v>2764.7</v>
      </c>
      <c r="DJ50" s="797">
        <f t="shared" si="44"/>
        <v>6998.4000000000005</v>
      </c>
      <c r="DK50" s="106"/>
      <c r="DL50" s="618">
        <f t="shared" si="29"/>
        <v>0</v>
      </c>
      <c r="DM50" s="618">
        <f t="shared" si="30"/>
        <v>0</v>
      </c>
      <c r="DN50" s="618">
        <f t="shared" si="31"/>
        <v>0</v>
      </c>
      <c r="DO50" s="106"/>
    </row>
    <row r="51" spans="1:119" customFormat="1" ht="100.5" customHeight="1">
      <c r="A51" s="20">
        <f t="shared" si="45"/>
        <v>38</v>
      </c>
      <c r="B51" s="1281"/>
      <c r="C51" s="1287"/>
      <c r="D51" s="967" t="s">
        <v>141</v>
      </c>
      <c r="E51" s="617">
        <v>4632024035</v>
      </c>
      <c r="F51" s="1280" t="s">
        <v>8</v>
      </c>
      <c r="G51" s="1245" t="s">
        <v>956</v>
      </c>
      <c r="H51" s="866">
        <v>3299.1600000000003</v>
      </c>
      <c r="I51" s="825">
        <v>3299.1600000000003</v>
      </c>
      <c r="J51" s="756">
        <v>2896.52</v>
      </c>
      <c r="K51" s="756"/>
      <c r="L51" s="872">
        <v>3299.1600000000003</v>
      </c>
      <c r="M51" s="873"/>
      <c r="N51" s="1207">
        <f>2762.47*1.2</f>
        <v>3314.9639999999995</v>
      </c>
      <c r="O51" s="1208">
        <f>N51</f>
        <v>3314.9639999999995</v>
      </c>
      <c r="P51" s="964">
        <v>2950.21</v>
      </c>
      <c r="Q51" s="964"/>
      <c r="R51" s="1208">
        <f>O51</f>
        <v>3314.9639999999995</v>
      </c>
      <c r="S51" s="913"/>
      <c r="T51" s="973">
        <v>1128.4915336579184</v>
      </c>
      <c r="U51" s="974">
        <v>5.7186563408722479</v>
      </c>
      <c r="V51" s="977"/>
      <c r="W51" s="974"/>
      <c r="X51" s="974"/>
      <c r="Y51" s="974"/>
      <c r="Z51" s="978">
        <f t="shared" si="50"/>
        <v>1134.2101899987906</v>
      </c>
      <c r="AA51" s="975">
        <v>838.79506533098265</v>
      </c>
      <c r="AB51" s="974">
        <v>4.2647606609894728</v>
      </c>
      <c r="AC51" s="227"/>
      <c r="AD51" s="16"/>
      <c r="AE51" s="16"/>
      <c r="AF51" s="16"/>
      <c r="AG51" s="930">
        <f t="shared" si="51"/>
        <v>843.05982599197216</v>
      </c>
      <c r="AH51" s="898">
        <f t="shared" si="52"/>
        <v>1977.2700159907627</v>
      </c>
      <c r="AI51" s="16">
        <f t="shared" si="70"/>
        <v>1967.286598988901</v>
      </c>
      <c r="AJ51" s="16">
        <f t="shared" si="70"/>
        <v>9.9834170018617208</v>
      </c>
      <c r="AK51" s="16">
        <f t="shared" si="70"/>
        <v>0</v>
      </c>
      <c r="AL51" s="16">
        <f t="shared" si="70"/>
        <v>0</v>
      </c>
      <c r="AM51" s="16">
        <f t="shared" si="70"/>
        <v>0</v>
      </c>
      <c r="AN51" s="16"/>
      <c r="AO51" s="16">
        <f t="shared" si="67"/>
        <v>1977.2700159907627</v>
      </c>
      <c r="AP51" s="16">
        <f t="shared" si="68"/>
        <v>1977.2700159907627</v>
      </c>
      <c r="AQ51" s="16">
        <f t="shared" si="69"/>
        <v>1977.2700159907627</v>
      </c>
      <c r="AR51" s="127">
        <f t="shared" si="32"/>
        <v>0</v>
      </c>
      <c r="AS51" s="112">
        <f t="shared" si="71"/>
        <v>6490393.255920223</v>
      </c>
      <c r="AT51" s="112">
        <f t="shared" si="71"/>
        <v>28917.167014232513</v>
      </c>
      <c r="AU51" s="112">
        <f t="shared" si="71"/>
        <v>0</v>
      </c>
      <c r="AV51" s="112">
        <f t="shared" si="71"/>
        <v>0</v>
      </c>
      <c r="AW51" s="112">
        <f t="shared" si="71"/>
        <v>0</v>
      </c>
      <c r="AX51" s="112">
        <f t="shared" si="46"/>
        <v>6519310.4229344558</v>
      </c>
      <c r="AY51" s="112">
        <f t="shared" si="47"/>
        <v>6519310.4229344558</v>
      </c>
      <c r="AZ51" s="112">
        <f t="shared" si="72"/>
        <v>6521484.2533306424</v>
      </c>
      <c r="BA51" s="112">
        <f t="shared" si="72"/>
        <v>29453.176673062466</v>
      </c>
      <c r="BB51" s="112">
        <f t="shared" si="72"/>
        <v>0</v>
      </c>
      <c r="BC51" s="112">
        <f t="shared" si="72"/>
        <v>0</v>
      </c>
      <c r="BD51" s="112">
        <f t="shared" si="72"/>
        <v>0</v>
      </c>
      <c r="BE51" s="112">
        <f t="shared" si="48"/>
        <v>6550937.4300037045</v>
      </c>
      <c r="BF51" s="112">
        <f t="shared" si="49"/>
        <v>6550937.4300037045</v>
      </c>
      <c r="BG51" s="623">
        <f>(O51-P51)/1.2*U51/1000</f>
        <v>1.7382523124654277</v>
      </c>
      <c r="BH51" s="624">
        <f>(O51-P51)/1.2*AB51/1000</f>
        <v>1.2963237584487934</v>
      </c>
      <c r="BI51" s="623">
        <f>BG51+BH51</f>
        <v>3.0345760709142211</v>
      </c>
      <c r="BJ51" s="169"/>
      <c r="BK51" s="169"/>
      <c r="BL51" s="112">
        <f t="shared" si="77"/>
        <v>3723074.1281828582</v>
      </c>
      <c r="BM51" s="112">
        <f t="shared" si="77"/>
        <v>16564.202464463284</v>
      </c>
      <c r="BN51" s="112">
        <f t="shared" si="77"/>
        <v>0</v>
      </c>
      <c r="BO51" s="112">
        <f t="shared" si="77"/>
        <v>0</v>
      </c>
      <c r="BP51" s="112">
        <f t="shared" si="77"/>
        <v>0</v>
      </c>
      <c r="BQ51" s="112">
        <f t="shared" si="54"/>
        <v>3739638.3306473214</v>
      </c>
      <c r="BR51" s="112">
        <f t="shared" si="55"/>
        <v>3739638.3306473214</v>
      </c>
      <c r="BS51" s="112">
        <f t="shared" si="78"/>
        <v>2780575.4449498551</v>
      </c>
      <c r="BT51" s="112">
        <f t="shared" si="78"/>
        <v>12581.939549657753</v>
      </c>
      <c r="BU51" s="112">
        <f t="shared" si="78"/>
        <v>0</v>
      </c>
      <c r="BV51" s="112">
        <f t="shared" si="57"/>
        <v>0</v>
      </c>
      <c r="BW51" s="112">
        <f t="shared" si="14"/>
        <v>0</v>
      </c>
      <c r="BX51" s="112">
        <f t="shared" si="58"/>
        <v>2793157.3844995131</v>
      </c>
      <c r="BY51" s="112">
        <f t="shared" si="59"/>
        <v>2793157.3844995131</v>
      </c>
      <c r="BZ51" s="113">
        <f t="shared" si="60"/>
        <v>29146.142014121036</v>
      </c>
      <c r="CA51" s="113">
        <f t="shared" si="60"/>
        <v>0</v>
      </c>
      <c r="CB51" s="113">
        <f t="shared" si="61"/>
        <v>29146.142014121036</v>
      </c>
      <c r="CC51" s="119">
        <f t="shared" si="62"/>
        <v>2919.4555339805825</v>
      </c>
      <c r="CD51" s="119" t="e">
        <f t="shared" si="62"/>
        <v>#DIV/0!</v>
      </c>
      <c r="CE51" s="119">
        <f t="shared" si="35"/>
        <v>2919.4555339805825</v>
      </c>
      <c r="CF51" s="119">
        <f t="shared" si="15"/>
        <v>2919.4555339805825</v>
      </c>
      <c r="CG51" s="619">
        <f t="shared" si="16"/>
        <v>33004.290313348392</v>
      </c>
      <c r="CH51" s="132">
        <f t="shared" si="36"/>
        <v>3305.911223300971</v>
      </c>
      <c r="CI51" s="625"/>
      <c r="CJ51" s="208">
        <f t="shared" si="37"/>
        <v>3759.8659482791504</v>
      </c>
      <c r="CK51" s="208">
        <f t="shared" si="17"/>
        <v>2794.7129730096517</v>
      </c>
      <c r="CL51" s="208">
        <f>CJ51+CK51</f>
        <v>6554.5789212888021</v>
      </c>
      <c r="CM51" s="18">
        <f t="shared" si="39"/>
        <v>6554.5789212888012</v>
      </c>
      <c r="CN51" s="18">
        <f t="shared" si="40"/>
        <v>0</v>
      </c>
      <c r="CO51" s="112">
        <f t="shared" si="18"/>
        <v>6536653.8634460624</v>
      </c>
      <c r="CP51" s="112">
        <f t="shared" si="19"/>
        <v>6519310.4229344558</v>
      </c>
      <c r="CQ51" s="112">
        <f t="shared" si="20"/>
        <v>6519310.4229344558</v>
      </c>
      <c r="CR51" s="112">
        <f t="shared" si="21"/>
        <v>3739638.3306473214</v>
      </c>
      <c r="CS51" s="112">
        <f t="shared" si="22"/>
        <v>6550937.4300037045</v>
      </c>
      <c r="CT51" s="112">
        <f t="shared" si="23"/>
        <v>6550937.4300037045</v>
      </c>
      <c r="CU51" s="112">
        <f t="shared" si="24"/>
        <v>2793157.3844995131</v>
      </c>
      <c r="CV51" s="112">
        <f t="shared" si="41"/>
        <v>13070247.85293816</v>
      </c>
      <c r="CW51" s="843">
        <f t="shared" si="42"/>
        <v>6610.2493575663575</v>
      </c>
      <c r="CX51" s="112">
        <f t="shared" si="25"/>
        <v>28917.167014232513</v>
      </c>
      <c r="CY51" s="112">
        <f t="shared" si="26"/>
        <v>29453.176673062466</v>
      </c>
      <c r="CZ51" s="112"/>
      <c r="DA51" s="112">
        <f t="shared" si="27"/>
        <v>6523330.1459560851</v>
      </c>
      <c r="DB51" s="112">
        <f t="shared" si="28"/>
        <v>6554578.9212888023</v>
      </c>
      <c r="DC51" s="625"/>
      <c r="DD51" s="128">
        <f t="shared" si="43"/>
        <v>114.44643917528619</v>
      </c>
      <c r="DE51" s="625"/>
      <c r="DF51" s="625"/>
      <c r="DG51" s="625"/>
      <c r="DH51" s="797">
        <v>2039.9740000000002</v>
      </c>
      <c r="DI51" s="797">
        <v>10.3</v>
      </c>
      <c r="DJ51" s="797">
        <f t="shared" si="44"/>
        <v>2029.6740000000002</v>
      </c>
      <c r="DK51" s="625"/>
      <c r="DL51" s="618">
        <f t="shared" si="29"/>
        <v>0</v>
      </c>
      <c r="DM51" s="618">
        <f t="shared" si="30"/>
        <v>0</v>
      </c>
      <c r="DN51" s="618">
        <f t="shared" si="31"/>
        <v>0</v>
      </c>
      <c r="DO51" s="123"/>
    </row>
    <row r="52" spans="1:119" customFormat="1" ht="100.5" customHeight="1">
      <c r="A52" s="695">
        <f t="shared" si="45"/>
        <v>39</v>
      </c>
      <c r="B52" s="1281"/>
      <c r="C52" s="1279"/>
      <c r="D52" s="696" t="s">
        <v>96</v>
      </c>
      <c r="E52" s="696">
        <v>4611013586</v>
      </c>
      <c r="F52" s="696" t="s">
        <v>8</v>
      </c>
      <c r="G52" s="1253" t="s">
        <v>935</v>
      </c>
      <c r="H52" s="870">
        <v>4041.47</v>
      </c>
      <c r="I52" s="827">
        <v>0</v>
      </c>
      <c r="J52" s="827">
        <v>2953.1</v>
      </c>
      <c r="K52" s="827">
        <v>2953.1</v>
      </c>
      <c r="L52" s="827">
        <v>0</v>
      </c>
      <c r="M52" s="878">
        <v>0</v>
      </c>
      <c r="N52" s="857">
        <v>4183.0030781451369</v>
      </c>
      <c r="O52" s="697">
        <v>0</v>
      </c>
      <c r="P52" s="697">
        <v>3218.8790000000004</v>
      </c>
      <c r="Q52" s="697">
        <v>3218.8790000000004</v>
      </c>
      <c r="R52" s="697">
        <v>0</v>
      </c>
      <c r="S52" s="916">
        <v>0</v>
      </c>
      <c r="T52" s="1165">
        <v>0</v>
      </c>
      <c r="U52" s="738">
        <v>199.82339999999999</v>
      </c>
      <c r="V52" s="738">
        <v>27.736500000000003</v>
      </c>
      <c r="W52" s="163">
        <v>0</v>
      </c>
      <c r="X52" s="163">
        <v>0</v>
      </c>
      <c r="Y52" s="163">
        <v>0</v>
      </c>
      <c r="Z52" s="936">
        <f>SUM(T52:W52)</f>
        <v>227.5599</v>
      </c>
      <c r="AA52" s="864">
        <v>0</v>
      </c>
      <c r="AB52" s="738">
        <v>117.3566</v>
      </c>
      <c r="AC52" s="738">
        <v>22.6935</v>
      </c>
      <c r="AD52" s="163">
        <v>0</v>
      </c>
      <c r="AE52" s="163">
        <v>0</v>
      </c>
      <c r="AF52" s="163">
        <v>0</v>
      </c>
      <c r="AG52" s="936">
        <f>SUM(AA52:AD52)</f>
        <v>140.05009999999999</v>
      </c>
      <c r="AH52" s="954">
        <f>Z52+AG52</f>
        <v>367.61</v>
      </c>
      <c r="AI52" s="163">
        <f t="shared" si="70"/>
        <v>0</v>
      </c>
      <c r="AJ52" s="738">
        <f>U52+AB52</f>
        <v>317.18</v>
      </c>
      <c r="AK52" s="738">
        <f>V52+AC52</f>
        <v>50.430000000000007</v>
      </c>
      <c r="AL52" s="163">
        <f t="shared" si="70"/>
        <v>0</v>
      </c>
      <c r="AM52" s="163">
        <f t="shared" si="70"/>
        <v>0</v>
      </c>
      <c r="AN52" s="163"/>
      <c r="AO52" s="163">
        <f>SUM(AI52:AN52)</f>
        <v>367.61</v>
      </c>
      <c r="AP52" s="163">
        <f>SUM(AI52:AM52)</f>
        <v>367.61</v>
      </c>
      <c r="AQ52" s="163">
        <f>SUM(AI52:AL52)</f>
        <v>367.61</v>
      </c>
      <c r="AR52" s="164">
        <f t="shared" si="32"/>
        <v>0</v>
      </c>
      <c r="AS52" s="163">
        <f t="shared" si="71"/>
        <v>0</v>
      </c>
      <c r="AT52" s="163">
        <f t="shared" si="71"/>
        <v>936664.25800000003</v>
      </c>
      <c r="AU52" s="163">
        <f t="shared" si="71"/>
        <v>148924.83300000001</v>
      </c>
      <c r="AV52" s="163">
        <f t="shared" si="71"/>
        <v>0</v>
      </c>
      <c r="AW52" s="163">
        <f t="shared" si="71"/>
        <v>0</v>
      </c>
      <c r="AX52" s="163">
        <f t="shared" si="46"/>
        <v>1085589.091</v>
      </c>
      <c r="AY52" s="163">
        <f t="shared" si="47"/>
        <v>1085589.091</v>
      </c>
      <c r="AZ52" s="163">
        <f t="shared" si="72"/>
        <v>0</v>
      </c>
      <c r="BA52" s="163">
        <f t="shared" si="72"/>
        <v>1020964.0412200001</v>
      </c>
      <c r="BB52" s="163">
        <f t="shared" si="72"/>
        <v>162328.06797000003</v>
      </c>
      <c r="BC52" s="163">
        <f t="shared" si="72"/>
        <v>0</v>
      </c>
      <c r="BD52" s="163">
        <f t="shared" si="72"/>
        <v>0</v>
      </c>
      <c r="BE52" s="163">
        <f t="shared" si="48"/>
        <v>1183292.1091900002</v>
      </c>
      <c r="BF52" s="163">
        <f t="shared" si="49"/>
        <v>1183292.1091900002</v>
      </c>
      <c r="BG52" s="163"/>
      <c r="BH52" s="163"/>
      <c r="BI52" s="164">
        <v>354.4216523669337</v>
      </c>
      <c r="BJ52" s="738">
        <v>1048.5</v>
      </c>
      <c r="BK52" s="163">
        <v>1527.49</v>
      </c>
      <c r="BL52" s="18">
        <f t="shared" si="77"/>
        <v>0</v>
      </c>
      <c r="BM52" s="18">
        <f>J52*U52</f>
        <v>590098.48254</v>
      </c>
      <c r="BN52" s="18">
        <f>K52*V52</f>
        <v>81908.658150000003</v>
      </c>
      <c r="BO52" s="18">
        <f t="shared" si="77"/>
        <v>0</v>
      </c>
      <c r="BP52" s="18">
        <f t="shared" si="77"/>
        <v>0</v>
      </c>
      <c r="BQ52" s="18">
        <f>BL52+BM52+BN52+BO52+BP52</f>
        <v>672007.14069000003</v>
      </c>
      <c r="BR52" s="18">
        <f>BQ52-BP52</f>
        <v>672007.14069000003</v>
      </c>
      <c r="BS52" s="18">
        <f t="shared" si="78"/>
        <v>0</v>
      </c>
      <c r="BT52" s="18">
        <f>P52*AB52</f>
        <v>377756.69525140006</v>
      </c>
      <c r="BU52" s="18">
        <f>Q52*AC52</f>
        <v>73047.630586500003</v>
      </c>
      <c r="BV52" s="18">
        <f t="shared" si="57"/>
        <v>0</v>
      </c>
      <c r="BW52" s="18">
        <f t="shared" si="14"/>
        <v>0</v>
      </c>
      <c r="BX52" s="18">
        <f>BS52+BT52+BU52+BV52+BW52</f>
        <v>450804.32583790005</v>
      </c>
      <c r="BY52" s="18">
        <f>BX52-BW52</f>
        <v>450804.32583790005</v>
      </c>
      <c r="BZ52" s="161">
        <f t="shared" si="60"/>
        <v>967855.17779140011</v>
      </c>
      <c r="CA52" s="161">
        <f t="shared" si="60"/>
        <v>154956.28873650002</v>
      </c>
      <c r="CB52" s="161">
        <f t="shared" si="61"/>
        <v>1122811.4665279002</v>
      </c>
      <c r="CC52" s="162">
        <f t="shared" si="62"/>
        <v>3051.4382300000002</v>
      </c>
      <c r="CD52" s="162">
        <f t="shared" si="62"/>
        <v>3072.70055</v>
      </c>
      <c r="CE52" s="162">
        <f t="shared" si="35"/>
        <v>3054.3550679467376</v>
      </c>
      <c r="CF52" s="162">
        <f t="shared" si="15"/>
        <v>3054.3550679467376</v>
      </c>
      <c r="CG52" s="651">
        <f t="shared" si="16"/>
        <v>0</v>
      </c>
      <c r="CH52" s="652">
        <f t="shared" si="36"/>
        <v>0</v>
      </c>
      <c r="CJ52" s="208">
        <f t="shared" si="37"/>
        <v>951.88376216239953</v>
      </c>
      <c r="CK52" s="208">
        <f t="shared" si="17"/>
        <v>585.82999939453418</v>
      </c>
      <c r="CL52" s="18">
        <f t="shared" si="38"/>
        <v>1537.7137615569336</v>
      </c>
      <c r="CM52" s="18">
        <f t="shared" si="39"/>
        <v>1537.7137615569338</v>
      </c>
      <c r="CN52" s="18">
        <f t="shared" si="40"/>
        <v>0</v>
      </c>
      <c r="CO52" s="18">
        <f t="shared" si="18"/>
        <v>1505506.5084475339</v>
      </c>
      <c r="CP52" s="18">
        <f t="shared" si="19"/>
        <v>1085589.091</v>
      </c>
      <c r="CQ52" s="18">
        <f t="shared" si="20"/>
        <v>1085589.091</v>
      </c>
      <c r="CR52" s="18">
        <f t="shared" si="21"/>
        <v>672007.14069000003</v>
      </c>
      <c r="CS52" s="18">
        <f t="shared" si="22"/>
        <v>1183292.1091900002</v>
      </c>
      <c r="CT52" s="18">
        <f t="shared" si="23"/>
        <v>1183292.1091900002</v>
      </c>
      <c r="CU52" s="18">
        <f t="shared" si="24"/>
        <v>450804.32583790005</v>
      </c>
      <c r="CV52" s="18">
        <f t="shared" si="41"/>
        <v>2268881.2001900002</v>
      </c>
      <c r="CW52" s="843">
        <f t="shared" si="42"/>
        <v>6171.9790000000003</v>
      </c>
      <c r="CX52" s="18">
        <f t="shared" si="25"/>
        <v>1085589.091</v>
      </c>
      <c r="CY52" s="18">
        <f t="shared" si="26"/>
        <v>1183292.1091900002</v>
      </c>
      <c r="CZ52" s="18"/>
      <c r="DA52" s="18">
        <f t="shared" si="27"/>
        <v>1485684.7867000001</v>
      </c>
      <c r="DB52" s="18">
        <f t="shared" si="28"/>
        <v>1537713.7615569339</v>
      </c>
      <c r="DD52" s="653">
        <f t="shared" si="43"/>
        <v>141.64786421540541</v>
      </c>
      <c r="DH52" s="18">
        <v>367.61</v>
      </c>
      <c r="DI52" s="18">
        <v>367.60999999999996</v>
      </c>
      <c r="DJ52" s="18">
        <f t="shared" si="44"/>
        <v>0</v>
      </c>
      <c r="DL52" s="701">
        <f t="shared" si="29"/>
        <v>0</v>
      </c>
      <c r="DM52" s="701">
        <f t="shared" si="30"/>
        <v>0</v>
      </c>
      <c r="DN52" s="701">
        <f t="shared" si="31"/>
        <v>0</v>
      </c>
    </row>
    <row r="53" spans="1:119" customFormat="1" ht="100.5" customHeight="1">
      <c r="A53" s="20">
        <f t="shared" si="45"/>
        <v>40</v>
      </c>
      <c r="B53" s="1281"/>
      <c r="C53" s="757" t="s">
        <v>94</v>
      </c>
      <c r="D53" s="967" t="s">
        <v>141</v>
      </c>
      <c r="E53" s="617">
        <v>4632024035</v>
      </c>
      <c r="F53" s="1280" t="s">
        <v>8</v>
      </c>
      <c r="G53" s="1245" t="s">
        <v>956</v>
      </c>
      <c r="H53" s="866">
        <v>3299.1600000000003</v>
      </c>
      <c r="I53" s="825">
        <v>3299.1600000000003</v>
      </c>
      <c r="J53" s="756"/>
      <c r="K53" s="756"/>
      <c r="L53" s="872">
        <v>3299.1600000000003</v>
      </c>
      <c r="M53" s="867"/>
      <c r="N53" s="1207">
        <f>2762.47*1.2</f>
        <v>3314.9639999999995</v>
      </c>
      <c r="O53" s="1208">
        <f>N53</f>
        <v>3314.9639999999995</v>
      </c>
      <c r="P53" s="963"/>
      <c r="Q53" s="963"/>
      <c r="R53" s="1208">
        <f>O53</f>
        <v>3314.9639999999995</v>
      </c>
      <c r="S53" s="910"/>
      <c r="T53" s="933"/>
      <c r="U53" s="16"/>
      <c r="V53" s="227"/>
      <c r="W53" s="16"/>
      <c r="X53" s="16"/>
      <c r="Y53" s="16"/>
      <c r="Z53" s="926">
        <f t="shared" si="50"/>
        <v>0</v>
      </c>
      <c r="AA53" s="898"/>
      <c r="AB53" s="16"/>
      <c r="AC53" s="227"/>
      <c r="AD53" s="16"/>
      <c r="AE53" s="16"/>
      <c r="AF53" s="16"/>
      <c r="AG53" s="926">
        <f t="shared" si="51"/>
        <v>0</v>
      </c>
      <c r="AH53" s="894">
        <f t="shared" si="52"/>
        <v>0</v>
      </c>
      <c r="AI53" s="15">
        <f t="shared" si="70"/>
        <v>0</v>
      </c>
      <c r="AJ53" s="15">
        <f t="shared" si="70"/>
        <v>0</v>
      </c>
      <c r="AK53" s="15">
        <f t="shared" si="70"/>
        <v>0</v>
      </c>
      <c r="AL53" s="15">
        <f t="shared" si="70"/>
        <v>0</v>
      </c>
      <c r="AM53" s="15">
        <f t="shared" si="70"/>
        <v>0</v>
      </c>
      <c r="AN53" s="15"/>
      <c r="AO53" s="15">
        <f t="shared" si="67"/>
        <v>0</v>
      </c>
      <c r="AP53" s="15">
        <f t="shared" si="68"/>
        <v>0</v>
      </c>
      <c r="AQ53" s="15">
        <f t="shared" si="69"/>
        <v>0</v>
      </c>
      <c r="AR53" s="127">
        <f t="shared" si="32"/>
        <v>0</v>
      </c>
      <c r="AS53" s="112">
        <f t="shared" si="71"/>
        <v>0</v>
      </c>
      <c r="AT53" s="112">
        <f t="shared" si="71"/>
        <v>0</v>
      </c>
      <c r="AU53" s="112">
        <f t="shared" si="71"/>
        <v>0</v>
      </c>
      <c r="AV53" s="112">
        <f t="shared" si="71"/>
        <v>0</v>
      </c>
      <c r="AW53" s="112">
        <f t="shared" si="71"/>
        <v>0</v>
      </c>
      <c r="AX53" s="112">
        <f t="shared" si="46"/>
        <v>0</v>
      </c>
      <c r="AY53" s="112">
        <f t="shared" si="47"/>
        <v>0</v>
      </c>
      <c r="AZ53" s="112">
        <f t="shared" si="72"/>
        <v>0</v>
      </c>
      <c r="BA53" s="112">
        <f t="shared" si="72"/>
        <v>0</v>
      </c>
      <c r="BB53" s="112">
        <f t="shared" si="72"/>
        <v>0</v>
      </c>
      <c r="BC53" s="112">
        <f t="shared" si="72"/>
        <v>0</v>
      </c>
      <c r="BD53" s="112">
        <f t="shared" si="72"/>
        <v>0</v>
      </c>
      <c r="BE53" s="112">
        <f t="shared" si="48"/>
        <v>0</v>
      </c>
      <c r="BF53" s="112">
        <f t="shared" si="49"/>
        <v>0</v>
      </c>
      <c r="BG53" s="126"/>
      <c r="BH53" s="126"/>
      <c r="BI53" s="112">
        <f t="shared" si="5"/>
        <v>0</v>
      </c>
      <c r="BJ53" s="112"/>
      <c r="BK53" s="112"/>
      <c r="BL53" s="112">
        <f t="shared" si="77"/>
        <v>0</v>
      </c>
      <c r="BM53" s="112">
        <f t="shared" si="77"/>
        <v>0</v>
      </c>
      <c r="BN53" s="112">
        <f t="shared" si="77"/>
        <v>0</v>
      </c>
      <c r="BO53" s="112">
        <f t="shared" si="77"/>
        <v>0</v>
      </c>
      <c r="BP53" s="112">
        <f t="shared" si="77"/>
        <v>0</v>
      </c>
      <c r="BQ53" s="112">
        <f t="shared" si="54"/>
        <v>0</v>
      </c>
      <c r="BR53" s="112">
        <f t="shared" si="55"/>
        <v>0</v>
      </c>
      <c r="BS53" s="112">
        <f t="shared" si="78"/>
        <v>0</v>
      </c>
      <c r="BT53" s="112">
        <f t="shared" si="78"/>
        <v>0</v>
      </c>
      <c r="BU53" s="112">
        <f t="shared" si="78"/>
        <v>0</v>
      </c>
      <c r="BV53" s="112">
        <f t="shared" si="57"/>
        <v>0</v>
      </c>
      <c r="BW53" s="112">
        <f t="shared" si="14"/>
        <v>0</v>
      </c>
      <c r="BX53" s="112">
        <f t="shared" si="58"/>
        <v>0</v>
      </c>
      <c r="BY53" s="112">
        <f t="shared" si="59"/>
        <v>0</v>
      </c>
      <c r="BZ53" s="113">
        <f t="shared" si="60"/>
        <v>0</v>
      </c>
      <c r="CA53" s="113">
        <f t="shared" si="60"/>
        <v>0</v>
      </c>
      <c r="CB53" s="113">
        <f t="shared" si="61"/>
        <v>0</v>
      </c>
      <c r="CC53" s="119" t="e">
        <f t="shared" si="62"/>
        <v>#DIV/0!</v>
      </c>
      <c r="CD53" s="119" t="e">
        <f t="shared" si="62"/>
        <v>#DIV/0!</v>
      </c>
      <c r="CE53" s="119" t="e">
        <f t="shared" si="35"/>
        <v>#DIV/0!</v>
      </c>
      <c r="CF53" s="113" t="e">
        <f t="shared" si="15"/>
        <v>#DIV/0!</v>
      </c>
      <c r="CG53" s="619">
        <f t="shared" si="16"/>
        <v>0</v>
      </c>
      <c r="CH53" s="132" t="e">
        <f t="shared" si="36"/>
        <v>#DIV/0!</v>
      </c>
      <c r="CI53" s="625"/>
      <c r="CJ53" s="208">
        <f t="shared" si="37"/>
        <v>0</v>
      </c>
      <c r="CK53" s="208">
        <f t="shared" si="17"/>
        <v>0</v>
      </c>
      <c r="CL53" s="208">
        <f>CJ53+CK53</f>
        <v>0</v>
      </c>
      <c r="CM53" s="18">
        <f t="shared" si="39"/>
        <v>0</v>
      </c>
      <c r="CN53" s="18">
        <f t="shared" si="40"/>
        <v>0</v>
      </c>
      <c r="CO53" s="112">
        <f t="shared" si="18"/>
        <v>0</v>
      </c>
      <c r="CP53" s="112">
        <f t="shared" si="19"/>
        <v>0</v>
      </c>
      <c r="CQ53" s="112">
        <f t="shared" si="20"/>
        <v>0</v>
      </c>
      <c r="CR53" s="112">
        <f t="shared" si="21"/>
        <v>0</v>
      </c>
      <c r="CS53" s="112">
        <f t="shared" si="22"/>
        <v>0</v>
      </c>
      <c r="CT53" s="112">
        <f t="shared" si="23"/>
        <v>0</v>
      </c>
      <c r="CU53" s="112">
        <f t="shared" si="24"/>
        <v>0</v>
      </c>
      <c r="CV53" s="112">
        <f t="shared" si="41"/>
        <v>0</v>
      </c>
      <c r="CW53" s="843" t="e">
        <f t="shared" si="42"/>
        <v>#DIV/0!</v>
      </c>
      <c r="CX53" s="112">
        <f t="shared" si="25"/>
        <v>0</v>
      </c>
      <c r="CY53" s="112">
        <f t="shared" si="26"/>
        <v>0</v>
      </c>
      <c r="CZ53" s="112"/>
      <c r="DA53" s="112">
        <f t="shared" si="27"/>
        <v>0</v>
      </c>
      <c r="DB53" s="112">
        <f t="shared" si="28"/>
        <v>0</v>
      </c>
      <c r="DC53" s="625"/>
      <c r="DD53" s="128" t="e">
        <f t="shared" si="43"/>
        <v>#DIV/0!</v>
      </c>
      <c r="DE53" s="625"/>
      <c r="DF53" s="625"/>
      <c r="DG53" s="625"/>
      <c r="DH53" s="797">
        <v>0</v>
      </c>
      <c r="DI53" s="797">
        <v>0</v>
      </c>
      <c r="DJ53" s="797">
        <f t="shared" si="44"/>
        <v>0</v>
      </c>
      <c r="DK53" s="625"/>
      <c r="DL53" s="618">
        <f t="shared" si="29"/>
        <v>0</v>
      </c>
      <c r="DM53" s="618">
        <f t="shared" si="30"/>
        <v>0</v>
      </c>
      <c r="DN53" s="618">
        <f t="shared" si="31"/>
        <v>0</v>
      </c>
      <c r="DO53" s="123"/>
    </row>
    <row r="54" spans="1:119" customFormat="1" ht="100.5" customHeight="1">
      <c r="A54" s="695">
        <f t="shared" si="45"/>
        <v>41</v>
      </c>
      <c r="B54" s="1281"/>
      <c r="C54" s="696" t="s">
        <v>138</v>
      </c>
      <c r="D54" s="696" t="s">
        <v>95</v>
      </c>
      <c r="E54" s="696">
        <v>4611013586</v>
      </c>
      <c r="F54" s="696" t="s">
        <v>8</v>
      </c>
      <c r="G54" s="1253" t="s">
        <v>935</v>
      </c>
      <c r="H54" s="870">
        <v>4041.47</v>
      </c>
      <c r="I54" s="827">
        <v>0</v>
      </c>
      <c r="J54" s="827">
        <v>2953.1</v>
      </c>
      <c r="K54" s="827">
        <v>0</v>
      </c>
      <c r="L54" s="827">
        <v>0</v>
      </c>
      <c r="M54" s="878">
        <v>0</v>
      </c>
      <c r="N54" s="854">
        <f>N52</f>
        <v>4183.0030781451369</v>
      </c>
      <c r="O54" s="697">
        <v>0</v>
      </c>
      <c r="P54" s="697">
        <v>3218.8790000000004</v>
      </c>
      <c r="Q54" s="697">
        <v>3218.8790000000004</v>
      </c>
      <c r="R54" s="697">
        <v>0</v>
      </c>
      <c r="S54" s="916">
        <v>0</v>
      </c>
      <c r="T54" s="1165">
        <v>0</v>
      </c>
      <c r="U54" s="163">
        <v>67.02</v>
      </c>
      <c r="V54" s="163">
        <v>0</v>
      </c>
      <c r="W54" s="163">
        <v>0</v>
      </c>
      <c r="X54" s="163">
        <v>0</v>
      </c>
      <c r="Y54" s="163">
        <v>0</v>
      </c>
      <c r="Z54" s="936">
        <f t="shared" si="50"/>
        <v>67.02</v>
      </c>
      <c r="AA54" s="864">
        <v>0</v>
      </c>
      <c r="AB54" s="163">
        <v>50.27</v>
      </c>
      <c r="AC54" s="163">
        <v>0</v>
      </c>
      <c r="AD54" s="163">
        <v>0</v>
      </c>
      <c r="AE54" s="163">
        <v>0</v>
      </c>
      <c r="AF54" s="163">
        <v>0</v>
      </c>
      <c r="AG54" s="936">
        <f t="shared" si="51"/>
        <v>50.27</v>
      </c>
      <c r="AH54" s="954">
        <f>Z54+AG54</f>
        <v>117.28999999999999</v>
      </c>
      <c r="AI54" s="163">
        <f t="shared" si="70"/>
        <v>0</v>
      </c>
      <c r="AJ54" s="1054">
        <f>U54+AB54</f>
        <v>117.28999999999999</v>
      </c>
      <c r="AK54" s="163">
        <f t="shared" si="70"/>
        <v>0</v>
      </c>
      <c r="AL54" s="163">
        <f t="shared" si="70"/>
        <v>0</v>
      </c>
      <c r="AM54" s="163">
        <f t="shared" si="70"/>
        <v>0</v>
      </c>
      <c r="AN54" s="163"/>
      <c r="AO54" s="1054">
        <f>SUM(AI54:AN54)</f>
        <v>117.28999999999999</v>
      </c>
      <c r="AP54" s="1054">
        <f>SUM(AI54:AM54)</f>
        <v>117.28999999999999</v>
      </c>
      <c r="AQ54" s="738">
        <f>SUM(AI54:AL54)</f>
        <v>117.28999999999999</v>
      </c>
      <c r="AR54" s="164">
        <f t="shared" si="32"/>
        <v>0</v>
      </c>
      <c r="AS54" s="163">
        <f t="shared" si="71"/>
        <v>0</v>
      </c>
      <c r="AT54" s="163">
        <f t="shared" si="71"/>
        <v>346369.09899999999</v>
      </c>
      <c r="AU54" s="163">
        <f t="shared" si="71"/>
        <v>0</v>
      </c>
      <c r="AV54" s="163">
        <f t="shared" si="71"/>
        <v>0</v>
      </c>
      <c r="AW54" s="163">
        <f t="shared" si="71"/>
        <v>0</v>
      </c>
      <c r="AX54" s="163">
        <f t="shared" si="46"/>
        <v>346369.09899999999</v>
      </c>
      <c r="AY54" s="163">
        <f t="shared" si="47"/>
        <v>346369.09899999999</v>
      </c>
      <c r="AZ54" s="163">
        <f t="shared" si="72"/>
        <v>0</v>
      </c>
      <c r="BA54" s="163">
        <f t="shared" si="72"/>
        <v>377542.31791000004</v>
      </c>
      <c r="BB54" s="163">
        <f t="shared" si="72"/>
        <v>0</v>
      </c>
      <c r="BC54" s="163">
        <f t="shared" si="72"/>
        <v>0</v>
      </c>
      <c r="BD54" s="163">
        <f t="shared" si="72"/>
        <v>0</v>
      </c>
      <c r="BE54" s="163">
        <f t="shared" si="48"/>
        <v>377542.31791000004</v>
      </c>
      <c r="BF54" s="163">
        <f t="shared" si="49"/>
        <v>377542.31791000004</v>
      </c>
      <c r="BG54" s="163"/>
      <c r="BH54" s="163"/>
      <c r="BI54" s="738">
        <v>113.08211312564306</v>
      </c>
      <c r="BJ54" s="738">
        <v>588.67999999999995</v>
      </c>
      <c r="BK54" s="738">
        <v>837.14</v>
      </c>
      <c r="BL54" s="18">
        <f t="shared" si="77"/>
        <v>0</v>
      </c>
      <c r="BM54" s="18">
        <f>J54*U54</f>
        <v>197916.76199999999</v>
      </c>
      <c r="BN54" s="18">
        <f t="shared" si="77"/>
        <v>0</v>
      </c>
      <c r="BO54" s="18">
        <f t="shared" si="77"/>
        <v>0</v>
      </c>
      <c r="BP54" s="18">
        <f t="shared" si="77"/>
        <v>0</v>
      </c>
      <c r="BQ54" s="18">
        <f>BL54+BM54+BN54+BO54+BP54</f>
        <v>197916.76199999999</v>
      </c>
      <c r="BR54" s="18">
        <f>BQ54-BP54</f>
        <v>197916.76199999999</v>
      </c>
      <c r="BS54" s="18">
        <f t="shared" si="78"/>
        <v>0</v>
      </c>
      <c r="BT54" s="18">
        <f>P54*AB54</f>
        <v>161813.04733000003</v>
      </c>
      <c r="BU54" s="18">
        <f t="shared" si="78"/>
        <v>0</v>
      </c>
      <c r="BV54" s="18">
        <f t="shared" si="57"/>
        <v>0</v>
      </c>
      <c r="BW54" s="18">
        <f t="shared" si="14"/>
        <v>0</v>
      </c>
      <c r="BX54" s="18">
        <f>BS54+BT54+BU54+BV54+BW54</f>
        <v>161813.04733000003</v>
      </c>
      <c r="BY54" s="18">
        <f>BX54-BW54</f>
        <v>161813.04733000003</v>
      </c>
      <c r="BZ54" s="161">
        <f t="shared" si="60"/>
        <v>359729.80933000002</v>
      </c>
      <c r="CA54" s="161">
        <f t="shared" si="60"/>
        <v>0</v>
      </c>
      <c r="CB54" s="161">
        <f t="shared" si="61"/>
        <v>359729.80933000002</v>
      </c>
      <c r="CC54" s="162">
        <f t="shared" si="62"/>
        <v>3067.0117599965902</v>
      </c>
      <c r="CD54" s="162" t="e">
        <f t="shared" si="62"/>
        <v>#DIV/0!</v>
      </c>
      <c r="CE54" s="162">
        <f t="shared" si="35"/>
        <v>3067.0117599965902</v>
      </c>
      <c r="CF54" s="162">
        <f t="shared" si="15"/>
        <v>3067.0117599965902</v>
      </c>
      <c r="CG54" s="651">
        <f t="shared" si="16"/>
        <v>0</v>
      </c>
      <c r="CH54" s="652">
        <f t="shared" si="36"/>
        <v>0</v>
      </c>
      <c r="CJ54" s="208">
        <f t="shared" si="37"/>
        <v>280.34486629728707</v>
      </c>
      <c r="CK54" s="208">
        <f t="shared" si="17"/>
        <v>210.27956473835604</v>
      </c>
      <c r="CL54" s="18">
        <f t="shared" si="38"/>
        <v>490.62443103564311</v>
      </c>
      <c r="CM54" s="18">
        <f t="shared" si="39"/>
        <v>490.62443103564311</v>
      </c>
      <c r="CN54" s="18">
        <f t="shared" si="40"/>
        <v>0</v>
      </c>
      <c r="CO54" s="18">
        <f t="shared" si="18"/>
        <v>481138.88413835602</v>
      </c>
      <c r="CP54" s="18">
        <f t="shared" si="19"/>
        <v>346369.09899999999</v>
      </c>
      <c r="CQ54" s="18">
        <f t="shared" si="20"/>
        <v>346369.09899999999</v>
      </c>
      <c r="CR54" s="18">
        <f t="shared" si="21"/>
        <v>197916.76199999999</v>
      </c>
      <c r="CS54" s="18">
        <f t="shared" si="22"/>
        <v>377542.31791000004</v>
      </c>
      <c r="CT54" s="18">
        <f t="shared" si="23"/>
        <v>377542.31791000004</v>
      </c>
      <c r="CU54" s="18">
        <f t="shared" si="24"/>
        <v>161813.04733000003</v>
      </c>
      <c r="CV54" s="18">
        <f t="shared" si="41"/>
        <v>723911.41691000003</v>
      </c>
      <c r="CW54" s="843">
        <f t="shared" si="42"/>
        <v>6171.9790000000003</v>
      </c>
      <c r="CX54" s="18">
        <f t="shared" si="25"/>
        <v>346369.09899999999</v>
      </c>
      <c r="CY54" s="18">
        <f t="shared" si="26"/>
        <v>377542.31791000004</v>
      </c>
      <c r="CZ54" s="18"/>
      <c r="DA54" s="18">
        <f t="shared" si="27"/>
        <v>474024.01629999996</v>
      </c>
      <c r="DB54" s="18">
        <f t="shared" si="28"/>
        <v>490624.43103564309</v>
      </c>
      <c r="DD54" s="653">
        <f t="shared" si="43"/>
        <v>141.64786421540541</v>
      </c>
      <c r="DH54" s="18">
        <v>117.28999999999999</v>
      </c>
      <c r="DI54" s="18">
        <v>117.28999999999999</v>
      </c>
      <c r="DJ54" s="18">
        <f t="shared" si="44"/>
        <v>0</v>
      </c>
      <c r="DL54" s="701">
        <f t="shared" si="29"/>
        <v>0</v>
      </c>
      <c r="DM54" s="701">
        <f t="shared" si="30"/>
        <v>0</v>
      </c>
      <c r="DN54" s="701">
        <f t="shared" si="31"/>
        <v>0</v>
      </c>
    </row>
    <row r="55" spans="1:119" customFormat="1" ht="100.5" customHeight="1">
      <c r="A55" s="20">
        <f t="shared" si="45"/>
        <v>42</v>
      </c>
      <c r="B55" s="1281"/>
      <c r="C55" s="757" t="s">
        <v>97</v>
      </c>
      <c r="D55" s="967" t="s">
        <v>141</v>
      </c>
      <c r="E55" s="617">
        <v>4632024035</v>
      </c>
      <c r="F55" s="1280" t="s">
        <v>8</v>
      </c>
      <c r="G55" s="1245" t="s">
        <v>956</v>
      </c>
      <c r="H55" s="866">
        <v>3299.1600000000003</v>
      </c>
      <c r="I55" s="825">
        <v>3299.1600000000003</v>
      </c>
      <c r="J55" s="756"/>
      <c r="K55" s="756"/>
      <c r="L55" s="872">
        <v>3299.1600000000003</v>
      </c>
      <c r="M55" s="867"/>
      <c r="N55" s="1207">
        <f>2762.47*1.2</f>
        <v>3314.9639999999995</v>
      </c>
      <c r="O55" s="1208">
        <f>N55</f>
        <v>3314.9639999999995</v>
      </c>
      <c r="P55" s="963"/>
      <c r="Q55" s="963"/>
      <c r="R55" s="1208">
        <f>O55</f>
        <v>3314.9639999999995</v>
      </c>
      <c r="S55" s="910"/>
      <c r="T55" s="973">
        <v>736.63175443319324</v>
      </c>
      <c r="U55" s="16"/>
      <c r="V55" s="227"/>
      <c r="W55" s="16"/>
      <c r="X55" s="16"/>
      <c r="Y55" s="16"/>
      <c r="Z55" s="926">
        <f t="shared" si="50"/>
        <v>736.63175443319324</v>
      </c>
      <c r="AA55" s="975">
        <v>444.21359339351716</v>
      </c>
      <c r="AB55" s="16"/>
      <c r="AC55" s="227"/>
      <c r="AD55" s="16"/>
      <c r="AE55" s="16"/>
      <c r="AF55" s="16"/>
      <c r="AG55" s="926">
        <f t="shared" si="51"/>
        <v>444.21359339351716</v>
      </c>
      <c r="AH55" s="894">
        <f t="shared" si="52"/>
        <v>1180.8453478267104</v>
      </c>
      <c r="AI55" s="15">
        <f t="shared" si="70"/>
        <v>1180.8453478267104</v>
      </c>
      <c r="AJ55" s="15">
        <f t="shared" si="70"/>
        <v>0</v>
      </c>
      <c r="AK55" s="15">
        <f t="shared" si="70"/>
        <v>0</v>
      </c>
      <c r="AL55" s="15">
        <f t="shared" si="70"/>
        <v>0</v>
      </c>
      <c r="AM55" s="15">
        <f t="shared" si="70"/>
        <v>0</v>
      </c>
      <c r="AN55" s="15"/>
      <c r="AO55" s="15">
        <f t="shared" si="67"/>
        <v>1180.8453478267104</v>
      </c>
      <c r="AP55" s="15">
        <f t="shared" si="68"/>
        <v>1180.8453478267104</v>
      </c>
      <c r="AQ55" s="15">
        <f t="shared" si="69"/>
        <v>1180.8453478267104</v>
      </c>
      <c r="AR55" s="127">
        <f t="shared" si="32"/>
        <v>0</v>
      </c>
      <c r="AS55" s="112">
        <f t="shared" si="71"/>
        <v>3895797.7377359704</v>
      </c>
      <c r="AT55" s="112">
        <f t="shared" si="71"/>
        <v>0</v>
      </c>
      <c r="AU55" s="112">
        <f t="shared" si="71"/>
        <v>0</v>
      </c>
      <c r="AV55" s="112">
        <f t="shared" si="71"/>
        <v>0</v>
      </c>
      <c r="AW55" s="112">
        <f t="shared" si="71"/>
        <v>0</v>
      </c>
      <c r="AX55" s="112">
        <f t="shared" si="46"/>
        <v>3895797.7377359704</v>
      </c>
      <c r="AY55" s="112">
        <f t="shared" si="47"/>
        <v>3895797.7377359704</v>
      </c>
      <c r="AZ55" s="112">
        <f t="shared" si="72"/>
        <v>3914459.8176130224</v>
      </c>
      <c r="BA55" s="112">
        <f t="shared" si="72"/>
        <v>0</v>
      </c>
      <c r="BB55" s="112">
        <f t="shared" si="72"/>
        <v>0</v>
      </c>
      <c r="BC55" s="112">
        <f t="shared" si="72"/>
        <v>0</v>
      </c>
      <c r="BD55" s="112">
        <f t="shared" si="72"/>
        <v>0</v>
      </c>
      <c r="BE55" s="112">
        <f t="shared" si="48"/>
        <v>3914459.8176130224</v>
      </c>
      <c r="BF55" s="112">
        <f t="shared" si="49"/>
        <v>3914459.8176130224</v>
      </c>
      <c r="BG55" s="126"/>
      <c r="BH55" s="126"/>
      <c r="BI55" s="112">
        <f>BG55+BH55</f>
        <v>0</v>
      </c>
      <c r="BJ55" s="112"/>
      <c r="BK55" s="112"/>
      <c r="BL55" s="112">
        <f t="shared" si="77"/>
        <v>2430266.0189558142</v>
      </c>
      <c r="BM55" s="112">
        <f t="shared" si="77"/>
        <v>0</v>
      </c>
      <c r="BN55" s="112">
        <f t="shared" si="77"/>
        <v>0</v>
      </c>
      <c r="BO55" s="112">
        <f t="shared" si="77"/>
        <v>0</v>
      </c>
      <c r="BP55" s="112">
        <f t="shared" si="77"/>
        <v>0</v>
      </c>
      <c r="BQ55" s="112">
        <f t="shared" si="54"/>
        <v>2430266.0189558142</v>
      </c>
      <c r="BR55" s="112">
        <f t="shared" si="55"/>
        <v>2430266.0189558142</v>
      </c>
      <c r="BS55" s="112">
        <f t="shared" si="78"/>
        <v>1472552.0704101471</v>
      </c>
      <c r="BT55" s="112">
        <f t="shared" si="78"/>
        <v>0</v>
      </c>
      <c r="BU55" s="112">
        <f t="shared" si="78"/>
        <v>0</v>
      </c>
      <c r="BV55" s="112">
        <f t="shared" si="57"/>
        <v>0</v>
      </c>
      <c r="BW55" s="112">
        <f t="shared" si="14"/>
        <v>0</v>
      </c>
      <c r="BX55" s="112">
        <f t="shared" si="58"/>
        <v>1472552.0704101471</v>
      </c>
      <c r="BY55" s="112">
        <f t="shared" si="59"/>
        <v>1472552.0704101471</v>
      </c>
      <c r="BZ55" s="113">
        <f t="shared" si="60"/>
        <v>0</v>
      </c>
      <c r="CA55" s="113">
        <f t="shared" si="60"/>
        <v>0</v>
      </c>
      <c r="CB55" s="113">
        <f t="shared" si="61"/>
        <v>0</v>
      </c>
      <c r="CC55" s="119" t="e">
        <f t="shared" si="62"/>
        <v>#DIV/0!</v>
      </c>
      <c r="CD55" s="119" t="e">
        <f t="shared" si="62"/>
        <v>#DIV/0!</v>
      </c>
      <c r="CE55" s="119" t="e">
        <f t="shared" si="35"/>
        <v>#DIV/0!</v>
      </c>
      <c r="CF55" s="113" t="e">
        <f t="shared" si="15"/>
        <v>#DIV/0!</v>
      </c>
      <c r="CG55" s="619">
        <f t="shared" si="16"/>
        <v>0</v>
      </c>
      <c r="CH55" s="132" t="e">
        <f t="shared" si="36"/>
        <v>#DIV/0!</v>
      </c>
      <c r="CI55" s="625"/>
      <c r="CJ55" s="208">
        <f t="shared" si="37"/>
        <v>2441.9077472028757</v>
      </c>
      <c r="CK55" s="208">
        <f t="shared" si="17"/>
        <v>1472.5520704101471</v>
      </c>
      <c r="CL55" s="208">
        <f t="shared" si="38"/>
        <v>3914.459817613023</v>
      </c>
      <c r="CM55" s="18">
        <f t="shared" si="39"/>
        <v>3914.4598176130226</v>
      </c>
      <c r="CN55" s="18">
        <f t="shared" si="40"/>
        <v>0</v>
      </c>
      <c r="CO55" s="112">
        <f t="shared" si="18"/>
        <v>3902818.089365961</v>
      </c>
      <c r="CP55" s="112">
        <f t="shared" si="19"/>
        <v>3895797.7377359704</v>
      </c>
      <c r="CQ55" s="112">
        <f t="shared" si="20"/>
        <v>3895797.7377359704</v>
      </c>
      <c r="CR55" s="112">
        <f t="shared" si="21"/>
        <v>2430266.0189558142</v>
      </c>
      <c r="CS55" s="112">
        <f t="shared" si="22"/>
        <v>3914459.8176130224</v>
      </c>
      <c r="CT55" s="112">
        <f t="shared" si="23"/>
        <v>3914459.8176130224</v>
      </c>
      <c r="CU55" s="112">
        <f t="shared" si="24"/>
        <v>1472552.0704101471</v>
      </c>
      <c r="CV55" s="112">
        <f t="shared" si="41"/>
        <v>7810257.5553489923</v>
      </c>
      <c r="CW55" s="843">
        <f t="shared" si="42"/>
        <v>6614.1239999999998</v>
      </c>
      <c r="CX55" s="112">
        <f t="shared" si="25"/>
        <v>0</v>
      </c>
      <c r="CY55" s="112">
        <f t="shared" si="26"/>
        <v>0</v>
      </c>
      <c r="CZ55" s="112"/>
      <c r="DA55" s="112">
        <f t="shared" si="27"/>
        <v>3895797.7377359704</v>
      </c>
      <c r="DB55" s="112">
        <f t="shared" si="28"/>
        <v>3914459.8176130224</v>
      </c>
      <c r="DC55" s="625"/>
      <c r="DD55" s="128" t="e">
        <f t="shared" si="43"/>
        <v>#DIV/0!</v>
      </c>
      <c r="DE55" s="625"/>
      <c r="DF55" s="625"/>
      <c r="DG55" s="625"/>
      <c r="DH55" s="797">
        <v>1218.2909999999999</v>
      </c>
      <c r="DI55" s="797">
        <v>0</v>
      </c>
      <c r="DJ55" s="797">
        <f t="shared" si="44"/>
        <v>1218.2909999999999</v>
      </c>
      <c r="DK55" s="625"/>
      <c r="DL55" s="618">
        <f t="shared" si="29"/>
        <v>0</v>
      </c>
      <c r="DM55" s="618">
        <f t="shared" si="30"/>
        <v>0</v>
      </c>
      <c r="DN55" s="618">
        <f t="shared" si="31"/>
        <v>0</v>
      </c>
      <c r="DO55" s="123"/>
    </row>
    <row r="56" spans="1:119" customFormat="1" ht="100.5" customHeight="1">
      <c r="A56" s="20">
        <f t="shared" si="45"/>
        <v>43</v>
      </c>
      <c r="B56" s="1281"/>
      <c r="C56" s="757" t="s">
        <v>98</v>
      </c>
      <c r="D56" s="967" t="s">
        <v>141</v>
      </c>
      <c r="E56" s="617">
        <v>4632024035</v>
      </c>
      <c r="F56" s="1280" t="s">
        <v>8</v>
      </c>
      <c r="G56" s="1245" t="s">
        <v>956</v>
      </c>
      <c r="H56" s="866">
        <v>3299.1600000000003</v>
      </c>
      <c r="I56" s="825">
        <v>3299.1600000000003</v>
      </c>
      <c r="J56" s="756"/>
      <c r="K56" s="756"/>
      <c r="L56" s="872">
        <v>3299.1600000000003</v>
      </c>
      <c r="M56" s="867"/>
      <c r="N56" s="1207">
        <f>2762.47*1.2</f>
        <v>3314.9639999999995</v>
      </c>
      <c r="O56" s="1208">
        <f>N56</f>
        <v>3314.9639999999995</v>
      </c>
      <c r="P56" s="963"/>
      <c r="Q56" s="963"/>
      <c r="R56" s="1208">
        <f>O56</f>
        <v>3314.9639999999995</v>
      </c>
      <c r="S56" s="910"/>
      <c r="T56" s="973">
        <v>520.31630886130108</v>
      </c>
      <c r="U56" s="16"/>
      <c r="V56" s="227"/>
      <c r="W56" s="16"/>
      <c r="X56" s="16"/>
      <c r="Y56" s="16"/>
      <c r="Z56" s="926">
        <f t="shared" si="50"/>
        <v>520.31630886130108</v>
      </c>
      <c r="AA56" s="898">
        <v>326.36662516493891</v>
      </c>
      <c r="AB56" s="16"/>
      <c r="AC56" s="227"/>
      <c r="AD56" s="16"/>
      <c r="AE56" s="16"/>
      <c r="AF56" s="16"/>
      <c r="AG56" s="926">
        <f t="shared" si="51"/>
        <v>326.36662516493891</v>
      </c>
      <c r="AH56" s="894">
        <f t="shared" si="52"/>
        <v>846.68293402623999</v>
      </c>
      <c r="AI56" s="15">
        <f t="shared" si="70"/>
        <v>846.68293402623999</v>
      </c>
      <c r="AJ56" s="15">
        <f t="shared" si="70"/>
        <v>0</v>
      </c>
      <c r="AK56" s="15">
        <f t="shared" si="70"/>
        <v>0</v>
      </c>
      <c r="AL56" s="15">
        <f t="shared" si="70"/>
        <v>0</v>
      </c>
      <c r="AM56" s="15">
        <f t="shared" si="70"/>
        <v>0</v>
      </c>
      <c r="AN56" s="15"/>
      <c r="AO56" s="15">
        <f t="shared" si="67"/>
        <v>846.68293402623999</v>
      </c>
      <c r="AP56" s="15">
        <f t="shared" si="68"/>
        <v>846.68293402623999</v>
      </c>
      <c r="AQ56" s="15">
        <f t="shared" si="69"/>
        <v>846.68293402623999</v>
      </c>
      <c r="AR56" s="127">
        <f t="shared" si="32"/>
        <v>0</v>
      </c>
      <c r="AS56" s="112">
        <f t="shared" si="71"/>
        <v>2793342.4686220102</v>
      </c>
      <c r="AT56" s="112">
        <f t="shared" si="71"/>
        <v>0</v>
      </c>
      <c r="AU56" s="112">
        <f t="shared" si="71"/>
        <v>0</v>
      </c>
      <c r="AV56" s="112">
        <f t="shared" si="71"/>
        <v>0</v>
      </c>
      <c r="AW56" s="112">
        <f t="shared" si="71"/>
        <v>0</v>
      </c>
      <c r="AX56" s="112">
        <f t="shared" si="46"/>
        <v>2793342.4686220102</v>
      </c>
      <c r="AY56" s="112">
        <f t="shared" si="47"/>
        <v>2793342.4686220102</v>
      </c>
      <c r="AZ56" s="112">
        <f t="shared" si="72"/>
        <v>2806723.4457113603</v>
      </c>
      <c r="BA56" s="112">
        <f t="shared" si="72"/>
        <v>0</v>
      </c>
      <c r="BB56" s="112">
        <f t="shared" si="72"/>
        <v>0</v>
      </c>
      <c r="BC56" s="112">
        <f t="shared" si="72"/>
        <v>0</v>
      </c>
      <c r="BD56" s="112">
        <f t="shared" si="72"/>
        <v>0</v>
      </c>
      <c r="BE56" s="112">
        <f t="shared" si="48"/>
        <v>2806723.4457113603</v>
      </c>
      <c r="BF56" s="112">
        <f t="shared" si="49"/>
        <v>2806723.4457113603</v>
      </c>
      <c r="BG56" s="126"/>
      <c r="BH56" s="126"/>
      <c r="BI56" s="112">
        <f>BG56+BH56</f>
        <v>0</v>
      </c>
      <c r="BJ56" s="112"/>
      <c r="BK56" s="112"/>
      <c r="BL56" s="112">
        <f t="shared" si="77"/>
        <v>1716606.7535428503</v>
      </c>
      <c r="BM56" s="112">
        <f t="shared" si="77"/>
        <v>0</v>
      </c>
      <c r="BN56" s="112">
        <f t="shared" si="77"/>
        <v>0</v>
      </c>
      <c r="BO56" s="112">
        <f t="shared" si="77"/>
        <v>0</v>
      </c>
      <c r="BP56" s="112">
        <f t="shared" si="77"/>
        <v>0</v>
      </c>
      <c r="BQ56" s="112">
        <f t="shared" si="54"/>
        <v>1716606.7535428503</v>
      </c>
      <c r="BR56" s="112">
        <f t="shared" si="55"/>
        <v>1716606.7535428503</v>
      </c>
      <c r="BS56" s="112">
        <f t="shared" si="78"/>
        <v>1081893.6132232663</v>
      </c>
      <c r="BT56" s="112">
        <f t="shared" si="78"/>
        <v>0</v>
      </c>
      <c r="BU56" s="112">
        <f t="shared" si="78"/>
        <v>0</v>
      </c>
      <c r="BV56" s="112">
        <f t="shared" si="57"/>
        <v>0</v>
      </c>
      <c r="BW56" s="112">
        <f t="shared" si="14"/>
        <v>0</v>
      </c>
      <c r="BX56" s="112">
        <f t="shared" si="58"/>
        <v>1081893.6132232663</v>
      </c>
      <c r="BY56" s="112">
        <f t="shared" si="59"/>
        <v>1081893.6132232663</v>
      </c>
      <c r="BZ56" s="113">
        <f t="shared" si="60"/>
        <v>0</v>
      </c>
      <c r="CA56" s="113">
        <f t="shared" si="60"/>
        <v>0</v>
      </c>
      <c r="CB56" s="113">
        <f t="shared" si="61"/>
        <v>0</v>
      </c>
      <c r="CC56" s="119" t="e">
        <f t="shared" si="62"/>
        <v>#DIV/0!</v>
      </c>
      <c r="CD56" s="119" t="e">
        <f t="shared" si="62"/>
        <v>#DIV/0!</v>
      </c>
      <c r="CE56" s="119" t="e">
        <f t="shared" si="35"/>
        <v>#DIV/0!</v>
      </c>
      <c r="CF56" s="113" t="e">
        <f t="shared" si="15"/>
        <v>#DIV/0!</v>
      </c>
      <c r="CG56" s="619">
        <f t="shared" si="16"/>
        <v>0</v>
      </c>
      <c r="CH56" s="132" t="e">
        <f t="shared" si="36"/>
        <v>#DIV/0!</v>
      </c>
      <c r="CI56" s="625"/>
      <c r="CJ56" s="208">
        <f t="shared" si="37"/>
        <v>1724.8298324880939</v>
      </c>
      <c r="CK56" s="208">
        <f t="shared" si="17"/>
        <v>1081.8936132232664</v>
      </c>
      <c r="CL56" s="208">
        <f t="shared" si="38"/>
        <v>2806.72344571136</v>
      </c>
      <c r="CM56" s="18">
        <f t="shared" si="39"/>
        <v>2806.7234457113605</v>
      </c>
      <c r="CN56" s="18">
        <f t="shared" si="40"/>
        <v>0</v>
      </c>
      <c r="CO56" s="112">
        <f t="shared" si="18"/>
        <v>2798500.3667661166</v>
      </c>
      <c r="CP56" s="112">
        <f t="shared" si="19"/>
        <v>2793342.4686220102</v>
      </c>
      <c r="CQ56" s="112">
        <f t="shared" si="20"/>
        <v>2793342.4686220102</v>
      </c>
      <c r="CR56" s="112">
        <f t="shared" si="21"/>
        <v>1716606.7535428503</v>
      </c>
      <c r="CS56" s="112">
        <f t="shared" si="22"/>
        <v>2806723.4457113603</v>
      </c>
      <c r="CT56" s="112">
        <f t="shared" si="23"/>
        <v>2806723.4457113603</v>
      </c>
      <c r="CU56" s="112">
        <f t="shared" si="24"/>
        <v>1081893.6132232663</v>
      </c>
      <c r="CV56" s="112">
        <f t="shared" si="41"/>
        <v>5600065.9143333705</v>
      </c>
      <c r="CW56" s="843">
        <f t="shared" si="42"/>
        <v>6614.1239999999998</v>
      </c>
      <c r="CX56" s="112">
        <f t="shared" si="25"/>
        <v>0</v>
      </c>
      <c r="CY56" s="112">
        <f t="shared" si="26"/>
        <v>0</v>
      </c>
      <c r="CZ56" s="112"/>
      <c r="DA56" s="112">
        <f t="shared" si="27"/>
        <v>2793342.4686220102</v>
      </c>
      <c r="DB56" s="112">
        <f t="shared" si="28"/>
        <v>2806723.4457113603</v>
      </c>
      <c r="DC56" s="625"/>
      <c r="DD56" s="128" t="e">
        <f t="shared" si="43"/>
        <v>#DIV/0!</v>
      </c>
      <c r="DE56" s="625"/>
      <c r="DF56" s="625"/>
      <c r="DG56" s="625"/>
      <c r="DH56" s="797">
        <v>873.53200000000004</v>
      </c>
      <c r="DI56" s="797">
        <v>0</v>
      </c>
      <c r="DJ56" s="797">
        <f t="shared" si="44"/>
        <v>873.53200000000004</v>
      </c>
      <c r="DK56" s="625"/>
      <c r="DL56" s="618">
        <f t="shared" si="29"/>
        <v>0</v>
      </c>
      <c r="DM56" s="618">
        <f t="shared" si="30"/>
        <v>0</v>
      </c>
      <c r="DN56" s="618">
        <f t="shared" si="31"/>
        <v>0</v>
      </c>
      <c r="DO56" s="123"/>
    </row>
    <row r="57" spans="1:119" customFormat="1" ht="100.5" customHeight="1">
      <c r="A57" s="695">
        <f t="shared" si="45"/>
        <v>44</v>
      </c>
      <c r="B57" s="1279"/>
      <c r="C57" s="1295" t="s">
        <v>183</v>
      </c>
      <c r="D57" s="696" t="s">
        <v>96</v>
      </c>
      <c r="E57" s="696">
        <v>4611013586</v>
      </c>
      <c r="F57" s="696" t="s">
        <v>8</v>
      </c>
      <c r="G57" s="1253" t="s">
        <v>935</v>
      </c>
      <c r="H57" s="870">
        <v>4041.47</v>
      </c>
      <c r="I57" s="827">
        <v>0</v>
      </c>
      <c r="J57" s="827">
        <v>2412.4499999999998</v>
      </c>
      <c r="K57" s="827">
        <v>2412.4499999999998</v>
      </c>
      <c r="L57" s="827">
        <v>0</v>
      </c>
      <c r="M57" s="878">
        <v>0</v>
      </c>
      <c r="N57" s="854">
        <f>N54</f>
        <v>4183.0030781451369</v>
      </c>
      <c r="O57" s="697">
        <v>0</v>
      </c>
      <c r="P57" s="697">
        <v>2677.8195000000001</v>
      </c>
      <c r="Q57" s="697">
        <v>2677.8195000000001</v>
      </c>
      <c r="R57" s="697">
        <v>0</v>
      </c>
      <c r="S57" s="916">
        <v>0</v>
      </c>
      <c r="T57" s="1165">
        <v>0</v>
      </c>
      <c r="U57" s="738">
        <v>186.6636</v>
      </c>
      <c r="V57" s="1054">
        <v>78.081000000000003</v>
      </c>
      <c r="W57" s="163">
        <v>0</v>
      </c>
      <c r="X57" s="163">
        <v>0</v>
      </c>
      <c r="Y57" s="1166">
        <v>0</v>
      </c>
      <c r="Z57" s="936">
        <f>SUM(T57:W57)</f>
        <v>264.74459999999999</v>
      </c>
      <c r="AA57" s="864">
        <v>0</v>
      </c>
      <c r="AB57" s="738">
        <v>140.81640000000002</v>
      </c>
      <c r="AC57" s="738">
        <v>75.018999999999991</v>
      </c>
      <c r="AD57" s="163">
        <v>0</v>
      </c>
      <c r="AE57" s="163">
        <v>0</v>
      </c>
      <c r="AF57" s="163">
        <v>0</v>
      </c>
      <c r="AG57" s="936">
        <f>SUM(AA57:AD57)</f>
        <v>215.83539999999999</v>
      </c>
      <c r="AH57" s="954">
        <f>Z57+AG57</f>
        <v>480.58</v>
      </c>
      <c r="AI57" s="163">
        <f t="shared" si="70"/>
        <v>0</v>
      </c>
      <c r="AJ57" s="163">
        <f t="shared" si="70"/>
        <v>327.48</v>
      </c>
      <c r="AK57" s="1054">
        <f t="shared" si="70"/>
        <v>153.1</v>
      </c>
      <c r="AL57" s="163">
        <f t="shared" si="70"/>
        <v>0</v>
      </c>
      <c r="AM57" s="163">
        <f t="shared" si="70"/>
        <v>0</v>
      </c>
      <c r="AN57" s="163"/>
      <c r="AO57" s="163">
        <f>SUM(AI57:AN57)</f>
        <v>480.58000000000004</v>
      </c>
      <c r="AP57" s="163">
        <f>SUM(AI57:AM57)</f>
        <v>480.58000000000004</v>
      </c>
      <c r="AQ57" s="163">
        <f>SUM(AI57:AL57)</f>
        <v>480.58000000000004</v>
      </c>
      <c r="AR57" s="164">
        <f t="shared" si="32"/>
        <v>0</v>
      </c>
      <c r="AS57" s="163">
        <f t="shared" ref="AS57:AW87" si="79">I57*AI57</f>
        <v>0</v>
      </c>
      <c r="AT57" s="163">
        <f t="shared" si="79"/>
        <v>790029.12599999993</v>
      </c>
      <c r="AU57" s="163">
        <f t="shared" si="79"/>
        <v>369346.09499999997</v>
      </c>
      <c r="AV57" s="163">
        <f t="shared" si="79"/>
        <v>0</v>
      </c>
      <c r="AW57" s="163">
        <f t="shared" si="79"/>
        <v>0</v>
      </c>
      <c r="AX57" s="163">
        <f t="shared" si="46"/>
        <v>1159375.2209999999</v>
      </c>
      <c r="AY57" s="163">
        <f t="shared" si="47"/>
        <v>1159375.2209999999</v>
      </c>
      <c r="AZ57" s="163">
        <f t="shared" ref="AZ57:BD87" si="80">O57*AI57</f>
        <v>0</v>
      </c>
      <c r="BA57" s="163">
        <f t="shared" si="80"/>
        <v>876932.32986000006</v>
      </c>
      <c r="BB57" s="163">
        <f t="shared" si="80"/>
        <v>409974.16544999997</v>
      </c>
      <c r="BC57" s="163">
        <f t="shared" si="80"/>
        <v>0</v>
      </c>
      <c r="BD57" s="163">
        <f t="shared" si="80"/>
        <v>0</v>
      </c>
      <c r="BE57" s="163">
        <f t="shared" si="48"/>
        <v>1286906.4953100001</v>
      </c>
      <c r="BF57" s="163">
        <f t="shared" si="49"/>
        <v>1286906.4953100001</v>
      </c>
      <c r="BG57" s="163"/>
      <c r="BH57" s="163"/>
      <c r="BI57" s="164">
        <v>723.36102398498997</v>
      </c>
      <c r="BJ57" s="738">
        <v>2401.42</v>
      </c>
      <c r="BK57" s="163">
        <v>3245.89</v>
      </c>
      <c r="BL57" s="18">
        <f t="shared" si="77"/>
        <v>0</v>
      </c>
      <c r="BM57" s="18">
        <f>J57*U57</f>
        <v>450316.60181999998</v>
      </c>
      <c r="BN57" s="18">
        <f>K57*V57</f>
        <v>188366.50844999999</v>
      </c>
      <c r="BO57" s="18">
        <f t="shared" si="77"/>
        <v>0</v>
      </c>
      <c r="BP57" s="18">
        <f t="shared" si="77"/>
        <v>0</v>
      </c>
      <c r="BQ57" s="18">
        <f>BL57+BM57+BN57+BO57+BP57</f>
        <v>638683.11026999995</v>
      </c>
      <c r="BR57" s="18">
        <f>BQ57-BP57</f>
        <v>638683.11026999995</v>
      </c>
      <c r="BS57" s="18">
        <f t="shared" si="78"/>
        <v>0</v>
      </c>
      <c r="BT57" s="18">
        <f>P57*AB57</f>
        <v>377080.90183980006</v>
      </c>
      <c r="BU57" s="18">
        <f>Q57*AC57</f>
        <v>200887.34107049997</v>
      </c>
      <c r="BV57" s="18">
        <f t="shared" si="57"/>
        <v>0</v>
      </c>
      <c r="BW57" s="18">
        <f t="shared" si="14"/>
        <v>0</v>
      </c>
      <c r="BX57" s="18">
        <f>BS57+BT57+BU57+BV57+BW57</f>
        <v>577968.24291030003</v>
      </c>
      <c r="BY57" s="18">
        <f>BX57-BW57</f>
        <v>577968.24291030003</v>
      </c>
      <c r="BZ57" s="161">
        <f t="shared" si="60"/>
        <v>827397.50365980004</v>
      </c>
      <c r="CA57" s="161">
        <f t="shared" si="60"/>
        <v>389253.84952049993</v>
      </c>
      <c r="CB57" s="161">
        <f t="shared" si="61"/>
        <v>1216651.3531803</v>
      </c>
      <c r="CC57" s="162">
        <f t="shared" si="62"/>
        <v>2526.5588849999999</v>
      </c>
      <c r="CD57" s="162">
        <f t="shared" si="62"/>
        <v>2542.4810549999997</v>
      </c>
      <c r="CE57" s="162">
        <f t="shared" si="35"/>
        <v>2531.6312646808019</v>
      </c>
      <c r="CF57" s="162">
        <f t="shared" si="15"/>
        <v>2531.6312646808019</v>
      </c>
      <c r="CG57" s="651">
        <f t="shared" si="16"/>
        <v>0</v>
      </c>
      <c r="CH57" s="652">
        <f t="shared" si="36"/>
        <v>0</v>
      </c>
      <c r="CJ57" s="208">
        <f t="shared" si="37"/>
        <v>1107.427476722303</v>
      </c>
      <c r="CK57" s="208">
        <f t="shared" si="17"/>
        <v>902.84014257268689</v>
      </c>
      <c r="CL57" s="18">
        <f t="shared" si="38"/>
        <v>2010.2676192949898</v>
      </c>
      <c r="CM57" s="18">
        <f t="shared" si="39"/>
        <v>2010.2676192949898</v>
      </c>
      <c r="CN57" s="18">
        <f t="shared" si="40"/>
        <v>0</v>
      </c>
      <c r="CO57" s="18">
        <f t="shared" si="18"/>
        <v>1972797.5011346866</v>
      </c>
      <c r="CP57" s="18">
        <f t="shared" si="19"/>
        <v>1159375.2209999999</v>
      </c>
      <c r="CQ57" s="18">
        <f t="shared" si="20"/>
        <v>1159375.2209999999</v>
      </c>
      <c r="CR57" s="18">
        <f t="shared" si="21"/>
        <v>638683.11026999995</v>
      </c>
      <c r="CS57" s="18">
        <f t="shared" si="22"/>
        <v>1286906.4953100001</v>
      </c>
      <c r="CT57" s="18">
        <f t="shared" si="23"/>
        <v>1286906.4953100001</v>
      </c>
      <c r="CU57" s="18">
        <f t="shared" si="24"/>
        <v>577968.24291030003</v>
      </c>
      <c r="CV57" s="18">
        <f t="shared" si="41"/>
        <v>2446281.71631</v>
      </c>
      <c r="CW57" s="843">
        <f t="shared" si="42"/>
        <v>5090.2695000000003</v>
      </c>
      <c r="CX57" s="18">
        <f t="shared" si="25"/>
        <v>1159375.2209999999</v>
      </c>
      <c r="CY57" s="18">
        <f t="shared" si="26"/>
        <v>1286906.4953100001</v>
      </c>
      <c r="CZ57" s="18"/>
      <c r="DA57" s="18">
        <f t="shared" si="27"/>
        <v>1942249.6526000001</v>
      </c>
      <c r="DB57" s="18">
        <f t="shared" si="28"/>
        <v>2010267.6192949899</v>
      </c>
      <c r="DD57" s="653">
        <f t="shared" si="43"/>
        <v>173.3923222510368</v>
      </c>
      <c r="DH57" s="18">
        <v>480.58</v>
      </c>
      <c r="DI57" s="18">
        <v>480.58</v>
      </c>
      <c r="DJ57" s="18">
        <f t="shared" si="44"/>
        <v>0</v>
      </c>
      <c r="DL57" s="701">
        <f t="shared" si="29"/>
        <v>0</v>
      </c>
      <c r="DM57" s="701">
        <f t="shared" si="30"/>
        <v>0</v>
      </c>
      <c r="DN57" s="701">
        <f t="shared" si="31"/>
        <v>0</v>
      </c>
    </row>
    <row r="58" spans="1:119" customFormat="1" ht="100.5" customHeight="1">
      <c r="A58" s="695">
        <f t="shared" si="45"/>
        <v>45</v>
      </c>
      <c r="B58" s="1289" t="s">
        <v>19</v>
      </c>
      <c r="C58" s="1069" t="s">
        <v>62</v>
      </c>
      <c r="D58" s="1061" t="s">
        <v>20</v>
      </c>
      <c r="E58" s="617">
        <v>4634008455</v>
      </c>
      <c r="F58" s="1280" t="s">
        <v>8</v>
      </c>
      <c r="G58" s="849" t="s">
        <v>971</v>
      </c>
      <c r="H58" s="874">
        <v>762.98</v>
      </c>
      <c r="I58" s="756">
        <v>762.98</v>
      </c>
      <c r="J58" s="756">
        <v>762.98</v>
      </c>
      <c r="K58" s="756">
        <v>762.98</v>
      </c>
      <c r="L58" s="756">
        <v>762.98</v>
      </c>
      <c r="M58" s="873">
        <v>0</v>
      </c>
      <c r="N58" s="1243">
        <v>771.73</v>
      </c>
      <c r="O58" s="756">
        <v>771.73</v>
      </c>
      <c r="P58" s="756">
        <v>771.73</v>
      </c>
      <c r="Q58" s="756">
        <v>771.73</v>
      </c>
      <c r="R58" s="756">
        <v>771.73</v>
      </c>
      <c r="S58" s="913"/>
      <c r="T58" s="1228">
        <v>2000</v>
      </c>
      <c r="U58" s="969">
        <v>1913.7</v>
      </c>
      <c r="V58" s="969">
        <v>786.3</v>
      </c>
      <c r="W58" s="969">
        <v>10728.5</v>
      </c>
      <c r="X58" s="15"/>
      <c r="Y58" s="15"/>
      <c r="Z58" s="971">
        <f t="shared" si="50"/>
        <v>15428.5</v>
      </c>
      <c r="AA58" s="1229">
        <v>1107</v>
      </c>
      <c r="AB58" s="969">
        <v>2003.26</v>
      </c>
      <c r="AC58" s="969">
        <v>933.74</v>
      </c>
      <c r="AD58" s="969">
        <v>9289.5</v>
      </c>
      <c r="AE58" s="15"/>
      <c r="AF58" s="15"/>
      <c r="AG58" s="971">
        <f t="shared" si="51"/>
        <v>13333.5</v>
      </c>
      <c r="AH58" s="1257">
        <f t="shared" si="52"/>
        <v>28762</v>
      </c>
      <c r="AI58" s="15">
        <f t="shared" si="70"/>
        <v>3107</v>
      </c>
      <c r="AJ58" s="15">
        <f t="shared" si="70"/>
        <v>3916.96</v>
      </c>
      <c r="AK58" s="15">
        <f t="shared" si="70"/>
        <v>1720.04</v>
      </c>
      <c r="AL58" s="15">
        <f t="shared" si="70"/>
        <v>20018</v>
      </c>
      <c r="AM58" s="15">
        <f t="shared" si="70"/>
        <v>0</v>
      </c>
      <c r="AN58" s="15"/>
      <c r="AO58" s="15">
        <f t="shared" si="67"/>
        <v>28762</v>
      </c>
      <c r="AP58" s="15">
        <f t="shared" si="68"/>
        <v>28762</v>
      </c>
      <c r="AQ58" s="15">
        <f t="shared" si="69"/>
        <v>28762</v>
      </c>
      <c r="AR58" s="35">
        <f t="shared" si="32"/>
        <v>0</v>
      </c>
      <c r="AS58" s="15">
        <f t="shared" si="79"/>
        <v>2370578.86</v>
      </c>
      <c r="AT58" s="15">
        <f t="shared" si="79"/>
        <v>2988562.1408000002</v>
      </c>
      <c r="AU58" s="15">
        <f t="shared" si="79"/>
        <v>1312356.1192000001</v>
      </c>
      <c r="AV58" s="15">
        <f t="shared" si="79"/>
        <v>15273333.640000001</v>
      </c>
      <c r="AW58" s="15">
        <f t="shared" si="79"/>
        <v>0</v>
      </c>
      <c r="AX58" s="15">
        <f t="shared" si="46"/>
        <v>21944830.760000002</v>
      </c>
      <c r="AY58" s="15">
        <f t="shared" si="47"/>
        <v>21944830.760000002</v>
      </c>
      <c r="AZ58" s="15">
        <f t="shared" si="80"/>
        <v>2397765.11</v>
      </c>
      <c r="BA58" s="15">
        <f t="shared" si="80"/>
        <v>3022835.5408000001</v>
      </c>
      <c r="BB58" s="15">
        <f t="shared" si="80"/>
        <v>1327406.4691999999</v>
      </c>
      <c r="BC58" s="15">
        <f t="shared" si="80"/>
        <v>15448491.140000001</v>
      </c>
      <c r="BD58" s="15">
        <f t="shared" si="80"/>
        <v>0</v>
      </c>
      <c r="BE58" s="15">
        <f t="shared" si="48"/>
        <v>22196498.260000002</v>
      </c>
      <c r="BF58" s="15">
        <f t="shared" si="49"/>
        <v>22196498.260000002</v>
      </c>
      <c r="BG58" s="15">
        <v>0</v>
      </c>
      <c r="BH58" s="15">
        <v>0</v>
      </c>
      <c r="BI58" s="15">
        <f t="shared" si="5"/>
        <v>0</v>
      </c>
      <c r="BJ58" s="1256">
        <v>22196.49826</v>
      </c>
      <c r="BK58" s="998">
        <f>25540.63996</f>
        <v>25540.63996</v>
      </c>
      <c r="BL58" s="15">
        <f t="shared" si="77"/>
        <v>1525960</v>
      </c>
      <c r="BM58" s="15">
        <f t="shared" si="77"/>
        <v>1460114.8260000001</v>
      </c>
      <c r="BN58" s="15">
        <f t="shared" si="77"/>
        <v>599931.174</v>
      </c>
      <c r="BO58" s="15">
        <f t="shared" si="77"/>
        <v>8185630.9300000006</v>
      </c>
      <c r="BP58" s="15">
        <f t="shared" si="77"/>
        <v>0</v>
      </c>
      <c r="BQ58" s="15">
        <f t="shared" si="54"/>
        <v>11771636.930000002</v>
      </c>
      <c r="BR58" s="15">
        <f t="shared" si="55"/>
        <v>11771636.930000002</v>
      </c>
      <c r="BS58" s="15">
        <f t="shared" si="78"/>
        <v>854305.11</v>
      </c>
      <c r="BT58" s="15">
        <f t="shared" si="78"/>
        <v>1545975.8398</v>
      </c>
      <c r="BU58" s="15">
        <f t="shared" si="78"/>
        <v>720595.17020000005</v>
      </c>
      <c r="BV58" s="15">
        <f t="shared" si="57"/>
        <v>8279505.3050000006</v>
      </c>
      <c r="BW58" s="15">
        <f t="shared" si="14"/>
        <v>0</v>
      </c>
      <c r="BX58" s="15">
        <f t="shared" si="58"/>
        <v>11400381.425000001</v>
      </c>
      <c r="BY58" s="15">
        <f t="shared" si="59"/>
        <v>11400381.425000001</v>
      </c>
      <c r="BZ58" s="27">
        <f t="shared" si="60"/>
        <v>3006090.6658000001</v>
      </c>
      <c r="CA58" s="27">
        <f t="shared" si="60"/>
        <v>1320526.3442000002</v>
      </c>
      <c r="CB58" s="27">
        <f t="shared" si="61"/>
        <v>4326617.01</v>
      </c>
      <c r="CC58" s="40">
        <f t="shared" si="62"/>
        <v>767.45503293370371</v>
      </c>
      <c r="CD58" s="40">
        <f t="shared" si="62"/>
        <v>767.73002034836406</v>
      </c>
      <c r="CE58" s="40">
        <f t="shared" si="35"/>
        <v>767.53894092602445</v>
      </c>
      <c r="CF58" s="40">
        <f t="shared" si="15"/>
        <v>767.53894092602445</v>
      </c>
      <c r="CG58" s="192">
        <f t="shared" si="16"/>
        <v>4326617.01</v>
      </c>
      <c r="CH58" s="1230">
        <f t="shared" si="36"/>
        <v>767.53894092602445</v>
      </c>
      <c r="CI58" s="6"/>
      <c r="CJ58" s="1231">
        <f t="shared" si="37"/>
        <v>11906.636305</v>
      </c>
      <c r="CK58" s="1231">
        <f t="shared" si="17"/>
        <v>10289.861955</v>
      </c>
      <c r="CL58" s="1231">
        <f>CJ58+CK58</f>
        <v>22196.49826</v>
      </c>
      <c r="CM58" s="18">
        <f t="shared" si="39"/>
        <v>22196.49826</v>
      </c>
      <c r="CN58" s="1244">
        <f t="shared" si="40"/>
        <v>0</v>
      </c>
      <c r="CO58" s="18">
        <f t="shared" si="18"/>
        <v>22061498.884999998</v>
      </c>
      <c r="CP58" s="18">
        <f t="shared" si="19"/>
        <v>21944830.760000002</v>
      </c>
      <c r="CQ58" s="18">
        <f t="shared" si="20"/>
        <v>21944830.759999998</v>
      </c>
      <c r="CR58" s="18">
        <f t="shared" si="21"/>
        <v>11771636.930000002</v>
      </c>
      <c r="CS58" s="18">
        <f t="shared" si="22"/>
        <v>22196498.260000002</v>
      </c>
      <c r="CT58" s="18">
        <f t="shared" si="23"/>
        <v>22196498.259999998</v>
      </c>
      <c r="CU58" s="18">
        <f t="shared" si="24"/>
        <v>10289861.955</v>
      </c>
      <c r="CV58" s="18">
        <f t="shared" si="41"/>
        <v>44141329.020000003</v>
      </c>
      <c r="CW58" s="843">
        <f t="shared" si="42"/>
        <v>1534.71</v>
      </c>
      <c r="CX58" s="18">
        <f t="shared" si="25"/>
        <v>4300918.26</v>
      </c>
      <c r="CY58" s="18">
        <f t="shared" si="26"/>
        <v>4350242.01</v>
      </c>
      <c r="CZ58" s="18"/>
      <c r="DA58" s="18">
        <f t="shared" si="27"/>
        <v>21944830.760000002</v>
      </c>
      <c r="DB58" s="18">
        <f t="shared" si="28"/>
        <v>22196498.260000002</v>
      </c>
      <c r="DD58" s="653">
        <f t="shared" si="43"/>
        <v>101.14681905161341</v>
      </c>
      <c r="DH58" s="18">
        <v>28762</v>
      </c>
      <c r="DI58" s="18">
        <v>5637</v>
      </c>
      <c r="DJ58" s="18">
        <f t="shared" si="44"/>
        <v>23125</v>
      </c>
      <c r="DL58" s="701">
        <f t="shared" si="29"/>
        <v>0</v>
      </c>
      <c r="DM58" s="701">
        <f t="shared" si="30"/>
        <v>0</v>
      </c>
      <c r="DN58" s="701">
        <f t="shared" si="31"/>
        <v>0</v>
      </c>
    </row>
    <row r="59" spans="1:119" customFormat="1" ht="100.5" customHeight="1">
      <c r="A59" s="20">
        <f t="shared" si="45"/>
        <v>46</v>
      </c>
      <c r="B59" s="1290"/>
      <c r="C59" s="741" t="s">
        <v>280</v>
      </c>
      <c r="D59" s="1061" t="s">
        <v>255</v>
      </c>
      <c r="E59" s="696">
        <v>4634002573</v>
      </c>
      <c r="F59" s="696" t="s">
        <v>8</v>
      </c>
      <c r="G59" s="848" t="s">
        <v>973</v>
      </c>
      <c r="H59" s="870">
        <v>748.15</v>
      </c>
      <c r="I59" s="830">
        <v>748.15</v>
      </c>
      <c r="J59" s="830">
        <v>748.15</v>
      </c>
      <c r="K59" s="830">
        <v>748.15</v>
      </c>
      <c r="L59" s="830">
        <v>748.15</v>
      </c>
      <c r="M59" s="879">
        <v>748.15</v>
      </c>
      <c r="N59" s="865">
        <f>650.253752118661*1.2</f>
        <v>780.30450254239327</v>
      </c>
      <c r="O59" s="738">
        <f>N59</f>
        <v>780.30450254239327</v>
      </c>
      <c r="P59" s="738">
        <f>O59</f>
        <v>780.30450254239327</v>
      </c>
      <c r="Q59" s="738">
        <f>P59</f>
        <v>780.30450254239327</v>
      </c>
      <c r="R59" s="738">
        <f>Q59</f>
        <v>780.30450254239327</v>
      </c>
      <c r="S59" s="924"/>
      <c r="T59" s="940"/>
      <c r="U59" s="18">
        <v>4183.6099999999997</v>
      </c>
      <c r="V59" s="18">
        <v>952.36178180000002</v>
      </c>
      <c r="W59" s="18">
        <v>825.13</v>
      </c>
      <c r="X59" s="18"/>
      <c r="Y59" s="18"/>
      <c r="Z59" s="934">
        <f t="shared" si="50"/>
        <v>5961.1017818</v>
      </c>
      <c r="AA59" s="902"/>
      <c r="AB59" s="18">
        <v>3092.24</v>
      </c>
      <c r="AC59" s="18">
        <v>1070.8874794000001</v>
      </c>
      <c r="AD59" s="18">
        <v>825.13</v>
      </c>
      <c r="AE59" s="18"/>
      <c r="AF59" s="18"/>
      <c r="AG59" s="934">
        <f t="shared" si="51"/>
        <v>4988.2574794000002</v>
      </c>
      <c r="AH59" s="1257">
        <f>Z59+AG59</f>
        <v>10949.359261199999</v>
      </c>
      <c r="AI59" s="18">
        <f t="shared" si="70"/>
        <v>0</v>
      </c>
      <c r="AJ59" s="18">
        <f t="shared" si="70"/>
        <v>7275.8499999999995</v>
      </c>
      <c r="AK59" s="18">
        <f t="shared" si="70"/>
        <v>2023.2492612000001</v>
      </c>
      <c r="AL59" s="18">
        <f t="shared" si="70"/>
        <v>1650.26</v>
      </c>
      <c r="AM59" s="18">
        <f t="shared" si="70"/>
        <v>0</v>
      </c>
      <c r="AN59" s="15"/>
      <c r="AO59" s="15">
        <f t="shared" si="67"/>
        <v>10949.359261199999</v>
      </c>
      <c r="AP59" s="15">
        <f t="shared" si="68"/>
        <v>10949.359261199999</v>
      </c>
      <c r="AQ59" s="15">
        <f t="shared" si="69"/>
        <v>10949.359261199999</v>
      </c>
      <c r="AR59" s="654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12">
        <v>0</v>
      </c>
      <c r="BH59" s="112">
        <v>0</v>
      </c>
      <c r="BI59" s="112">
        <f t="shared" si="5"/>
        <v>0</v>
      </c>
      <c r="BJ59" s="112"/>
      <c r="BK59" s="182"/>
      <c r="BL59" s="182"/>
      <c r="BM59" s="182"/>
      <c r="BN59" s="182"/>
      <c r="BO59" s="182"/>
      <c r="BP59" s="182"/>
      <c r="BQ59" s="182"/>
      <c r="BR59" s="182"/>
      <c r="BS59" s="182"/>
      <c r="BT59" s="182"/>
      <c r="BU59" s="182"/>
      <c r="BV59" s="182"/>
      <c r="BW59" s="182"/>
      <c r="BX59" s="182"/>
      <c r="BY59" s="182"/>
      <c r="BZ59" s="183"/>
      <c r="CA59" s="183"/>
      <c r="CB59" s="183"/>
      <c r="CC59" s="184"/>
      <c r="CD59" s="184"/>
      <c r="CE59" s="184"/>
      <c r="CF59" s="184"/>
      <c r="CG59" s="655"/>
      <c r="CH59" s="656"/>
      <c r="CI59" s="185"/>
      <c r="CJ59" s="208">
        <f t="shared" si="37"/>
        <v>4651.4745604520231</v>
      </c>
      <c r="CK59" s="208">
        <f t="shared" si="17"/>
        <v>3892.35977101659</v>
      </c>
      <c r="CL59" s="112">
        <f t="shared" si="38"/>
        <v>8543.8343314686135</v>
      </c>
      <c r="CM59" s="18">
        <f t="shared" si="39"/>
        <v>8543.8343314686117</v>
      </c>
      <c r="CN59" s="18">
        <f t="shared" si="40"/>
        <v>0</v>
      </c>
      <c r="CO59" s="112">
        <f t="shared" si="18"/>
        <v>8352158.0690702591</v>
      </c>
      <c r="CP59" s="112">
        <f t="shared" si="19"/>
        <v>8191763.1312667783</v>
      </c>
      <c r="CQ59" s="112">
        <f t="shared" si="20"/>
        <v>8191763.1312667783</v>
      </c>
      <c r="CR59" s="112">
        <f t="shared" si="21"/>
        <v>4459798.2980536697</v>
      </c>
      <c r="CS59" s="112">
        <f t="shared" si="22"/>
        <v>8543834.331468612</v>
      </c>
      <c r="CT59" s="112">
        <f t="shared" si="23"/>
        <v>8543834.331468612</v>
      </c>
      <c r="CU59" s="112">
        <f t="shared" si="24"/>
        <v>3892359.7710165894</v>
      </c>
      <c r="CV59" s="112">
        <f t="shared" si="41"/>
        <v>16735597.46273539</v>
      </c>
      <c r="CW59" s="843">
        <f t="shared" si="42"/>
        <v>1528.4545025423931</v>
      </c>
      <c r="CX59" s="112">
        <f t="shared" si="25"/>
        <v>6957121.1122667789</v>
      </c>
      <c r="CY59" s="112">
        <f t="shared" si="26"/>
        <v>7256129.0231030025</v>
      </c>
      <c r="CZ59" s="112"/>
      <c r="DA59" s="112">
        <f t="shared" si="27"/>
        <v>8191763.1312667783</v>
      </c>
      <c r="DB59" s="112">
        <f t="shared" si="28"/>
        <v>8543834.331468612</v>
      </c>
      <c r="DC59" s="106"/>
      <c r="DD59" s="128"/>
      <c r="DE59" s="106"/>
      <c r="DF59" s="106"/>
      <c r="DG59" s="106"/>
      <c r="DH59" s="112">
        <v>10949.359261199999</v>
      </c>
      <c r="DI59" s="797">
        <v>9299.0992611999991</v>
      </c>
      <c r="DJ59" s="797">
        <f t="shared" si="44"/>
        <v>1650.2600000000002</v>
      </c>
      <c r="DK59" s="106"/>
      <c r="DL59" s="618">
        <f t="shared" si="29"/>
        <v>0</v>
      </c>
      <c r="DM59" s="618">
        <f t="shared" si="30"/>
        <v>0</v>
      </c>
      <c r="DN59" s="618">
        <f t="shared" si="31"/>
        <v>0</v>
      </c>
      <c r="DO59" s="106"/>
    </row>
    <row r="60" spans="1:119" customFormat="1" ht="100.5" customHeight="1">
      <c r="A60" s="20">
        <f t="shared" si="45"/>
        <v>47</v>
      </c>
      <c r="B60" s="1249"/>
      <c r="C60" s="757" t="s">
        <v>99</v>
      </c>
      <c r="D60" s="967" t="s">
        <v>141</v>
      </c>
      <c r="E60" s="617">
        <v>4632024035</v>
      </c>
      <c r="F60" s="5" t="s">
        <v>8</v>
      </c>
      <c r="G60" s="1245" t="s">
        <v>956</v>
      </c>
      <c r="H60" s="866">
        <v>3299.1600000000003</v>
      </c>
      <c r="I60" s="825">
        <v>3299.1600000000003</v>
      </c>
      <c r="J60" s="756">
        <v>2660.25</v>
      </c>
      <c r="K60" s="756"/>
      <c r="L60" s="872">
        <v>3299.1600000000003</v>
      </c>
      <c r="M60" s="880"/>
      <c r="N60" s="1207">
        <f t="shared" ref="N60:N67" si="81">2762.47*1.2</f>
        <v>3314.9639999999995</v>
      </c>
      <c r="O60" s="1208">
        <f t="shared" ref="O60:O67" si="82">N60</f>
        <v>3314.9639999999995</v>
      </c>
      <c r="P60" s="964">
        <v>2950.21</v>
      </c>
      <c r="Q60" s="964"/>
      <c r="R60" s="1208">
        <f t="shared" ref="R60:R67" si="83">O60</f>
        <v>3314.9639999999995</v>
      </c>
      <c r="S60" s="917"/>
      <c r="T60" s="990">
        <v>2584.9644859492319</v>
      </c>
      <c r="U60" s="991">
        <v>8205.9713773778331</v>
      </c>
      <c r="V60" s="659"/>
      <c r="W60" s="658"/>
      <c r="X60" s="658"/>
      <c r="Y60" s="658"/>
      <c r="Z60" s="930">
        <f t="shared" si="50"/>
        <v>10790.935863327064</v>
      </c>
      <c r="AA60" s="992">
        <v>1579.7322895042021</v>
      </c>
      <c r="AB60" s="991">
        <v>6154.4828947204151</v>
      </c>
      <c r="AC60" s="659"/>
      <c r="AD60" s="658"/>
      <c r="AE60" s="658"/>
      <c r="AF60" s="658"/>
      <c r="AG60" s="930">
        <f t="shared" si="51"/>
        <v>7734.2151842246167</v>
      </c>
      <c r="AH60" s="898">
        <f t="shared" si="52"/>
        <v>18525.151047551681</v>
      </c>
      <c r="AI60" s="16">
        <f t="shared" si="70"/>
        <v>4164.6967754534344</v>
      </c>
      <c r="AJ60" s="16">
        <f t="shared" si="70"/>
        <v>14360.454272098248</v>
      </c>
      <c r="AK60" s="16">
        <f t="shared" si="70"/>
        <v>0</v>
      </c>
      <c r="AL60" s="16">
        <f t="shared" si="70"/>
        <v>0</v>
      </c>
      <c r="AM60" s="16">
        <f t="shared" si="70"/>
        <v>0</v>
      </c>
      <c r="AN60" s="16"/>
      <c r="AO60" s="16">
        <f t="shared" si="67"/>
        <v>18525.151047551684</v>
      </c>
      <c r="AP60" s="16">
        <f t="shared" si="68"/>
        <v>18525.151047551684</v>
      </c>
      <c r="AQ60" s="16">
        <f t="shared" si="69"/>
        <v>18525.151047551684</v>
      </c>
      <c r="AR60" s="127">
        <f t="shared" si="32"/>
        <v>0</v>
      </c>
      <c r="AS60" s="112">
        <f t="shared" si="79"/>
        <v>13740001.013704954</v>
      </c>
      <c r="AT60" s="112">
        <f t="shared" si="79"/>
        <v>38202398.477349363</v>
      </c>
      <c r="AU60" s="112">
        <f t="shared" si="79"/>
        <v>0</v>
      </c>
      <c r="AV60" s="112">
        <f t="shared" si="79"/>
        <v>0</v>
      </c>
      <c r="AW60" s="112">
        <f t="shared" si="79"/>
        <v>0</v>
      </c>
      <c r="AX60" s="112">
        <f t="shared" si="46"/>
        <v>51942399.491054319</v>
      </c>
      <c r="AY60" s="112">
        <f t="shared" si="47"/>
        <v>51942399.491054319</v>
      </c>
      <c r="AZ60" s="112">
        <f t="shared" si="80"/>
        <v>13805819.881544216</v>
      </c>
      <c r="BA60" s="112">
        <f t="shared" si="80"/>
        <v>42366355.798086971</v>
      </c>
      <c r="BB60" s="112">
        <f t="shared" si="80"/>
        <v>0</v>
      </c>
      <c r="BC60" s="112">
        <f t="shared" si="80"/>
        <v>0</v>
      </c>
      <c r="BD60" s="112">
        <f t="shared" si="80"/>
        <v>0</v>
      </c>
      <c r="BE60" s="112">
        <f t="shared" si="48"/>
        <v>56172175.679631189</v>
      </c>
      <c r="BF60" s="112">
        <f t="shared" si="49"/>
        <v>56172175.679631189</v>
      </c>
      <c r="BG60" s="623">
        <f>(O60-P60)/1.2*U60/1000</f>
        <v>2494.3007364867249</v>
      </c>
      <c r="BH60" s="624">
        <f>(O60-P60)/1.2*AB60/1000</f>
        <v>1870.7268781507059</v>
      </c>
      <c r="BI60" s="623">
        <f t="shared" si="5"/>
        <v>4365.0276146374308</v>
      </c>
      <c r="BJ60" s="169"/>
      <c r="BK60" s="169"/>
      <c r="BL60" s="112">
        <f t="shared" si="77"/>
        <v>8528211.4334642682</v>
      </c>
      <c r="BM60" s="112">
        <f t="shared" si="77"/>
        <v>21829935.356669381</v>
      </c>
      <c r="BN60" s="112">
        <f t="shared" si="77"/>
        <v>0</v>
      </c>
      <c r="BO60" s="112">
        <f t="shared" si="77"/>
        <v>0</v>
      </c>
      <c r="BP60" s="112">
        <f t="shared" si="77"/>
        <v>0</v>
      </c>
      <c r="BQ60" s="112">
        <f t="shared" si="54"/>
        <v>30358146.790133648</v>
      </c>
      <c r="BR60" s="112">
        <f t="shared" si="55"/>
        <v>30358146.790133648</v>
      </c>
      <c r="BS60" s="112">
        <f t="shared" si="78"/>
        <v>5236755.669344007</v>
      </c>
      <c r="BT60" s="112">
        <f t="shared" si="78"/>
        <v>18157016.980833117</v>
      </c>
      <c r="BU60" s="112">
        <f t="shared" si="78"/>
        <v>0</v>
      </c>
      <c r="BV60" s="112">
        <f t="shared" si="57"/>
        <v>0</v>
      </c>
      <c r="BW60" s="112">
        <f t="shared" si="14"/>
        <v>0</v>
      </c>
      <c r="BX60" s="112">
        <f t="shared" si="58"/>
        <v>23393772.650177125</v>
      </c>
      <c r="BY60" s="112">
        <f t="shared" si="59"/>
        <v>23393772.650177125</v>
      </c>
      <c r="BZ60" s="113">
        <f t="shared" si="60"/>
        <v>39986952.337502494</v>
      </c>
      <c r="CA60" s="113">
        <f t="shared" si="60"/>
        <v>0</v>
      </c>
      <c r="CB60" s="113">
        <f t="shared" si="61"/>
        <v>39986952.337502494</v>
      </c>
      <c r="CC60" s="119">
        <f t="shared" si="62"/>
        <v>2784.5186217538703</v>
      </c>
      <c r="CD60" s="119" t="e">
        <f t="shared" si="62"/>
        <v>#DIV/0!</v>
      </c>
      <c r="CE60" s="119">
        <f t="shared" si="35"/>
        <v>2784.5186217538703</v>
      </c>
      <c r="CF60" s="119">
        <f t="shared" si="15"/>
        <v>2784.5186217538703</v>
      </c>
      <c r="CG60" s="619">
        <f t="shared" si="16"/>
        <v>47474701.764003813</v>
      </c>
      <c r="CH60" s="132">
        <f t="shared" si="36"/>
        <v>3305.9331456000759</v>
      </c>
      <c r="CI60" s="171"/>
      <c r="CJ60" s="208">
        <f t="shared" si="37"/>
        <v>35771.563913238133</v>
      </c>
      <c r="CK60" s="208">
        <f t="shared" si="17"/>
        <v>25638.644903957967</v>
      </c>
      <c r="CL60" s="208">
        <f t="shared" si="38"/>
        <v>61410.2088171961</v>
      </c>
      <c r="CM60" s="18">
        <f t="shared" si="39"/>
        <v>61410.2088171961</v>
      </c>
      <c r="CN60" s="18">
        <f t="shared" si="40"/>
        <v>0</v>
      </c>
      <c r="CO60" s="112">
        <f t="shared" si="18"/>
        <v>61239668.86681208</v>
      </c>
      <c r="CP60" s="112">
        <f t="shared" si="19"/>
        <v>51942399.491054319</v>
      </c>
      <c r="CQ60" s="112">
        <f t="shared" si="20"/>
        <v>51942399.491054319</v>
      </c>
      <c r="CR60" s="112">
        <f t="shared" si="21"/>
        <v>30358146.790133648</v>
      </c>
      <c r="CS60" s="112">
        <f t="shared" si="22"/>
        <v>56172175.679631189</v>
      </c>
      <c r="CT60" s="112">
        <f t="shared" si="23"/>
        <v>56172175.679631189</v>
      </c>
      <c r="CU60" s="112">
        <f t="shared" si="24"/>
        <v>23393772.650177125</v>
      </c>
      <c r="CV60" s="112">
        <f t="shared" si="41"/>
        <v>108114575.1706855</v>
      </c>
      <c r="CW60" s="843">
        <f t="shared" si="42"/>
        <v>5836.0968228096654</v>
      </c>
      <c r="CX60" s="112">
        <f t="shared" si="25"/>
        <v>38202398.477349363</v>
      </c>
      <c r="CY60" s="112">
        <f t="shared" si="26"/>
        <v>42366355.798086971</v>
      </c>
      <c r="CZ60" s="112"/>
      <c r="DA60" s="112">
        <f t="shared" si="27"/>
        <v>61117437.330040619</v>
      </c>
      <c r="DB60" s="112">
        <f t="shared" si="28"/>
        <v>61410208.817196108</v>
      </c>
      <c r="DC60" s="171"/>
      <c r="DD60" s="128">
        <f t="shared" si="43"/>
        <v>124.61099520721734</v>
      </c>
      <c r="DE60" s="171"/>
      <c r="DF60" s="171"/>
      <c r="DG60" s="171"/>
      <c r="DH60" s="797">
        <v>19112.599999999999</v>
      </c>
      <c r="DI60" s="797">
        <v>14815.843000000001</v>
      </c>
      <c r="DJ60" s="797">
        <f t="shared" si="44"/>
        <v>4296.7569999999978</v>
      </c>
      <c r="DK60" s="171"/>
      <c r="DL60" s="618">
        <f t="shared" si="29"/>
        <v>0</v>
      </c>
      <c r="DM60" s="618">
        <f t="shared" si="30"/>
        <v>0</v>
      </c>
      <c r="DN60" s="618">
        <f t="shared" si="31"/>
        <v>0</v>
      </c>
      <c r="DO60" s="125"/>
    </row>
    <row r="61" spans="1:119" customFormat="1" ht="100.5" customHeight="1">
      <c r="A61" s="20">
        <f t="shared" si="45"/>
        <v>48</v>
      </c>
      <c r="B61" s="1287" t="s">
        <v>21</v>
      </c>
      <c r="C61" s="757" t="s">
        <v>67</v>
      </c>
      <c r="D61" s="967" t="s">
        <v>141</v>
      </c>
      <c r="E61" s="617">
        <v>4632024035</v>
      </c>
      <c r="F61" s="1280" t="s">
        <v>8</v>
      </c>
      <c r="G61" s="1245" t="s">
        <v>956</v>
      </c>
      <c r="H61" s="866">
        <v>3299.1600000000003</v>
      </c>
      <c r="I61" s="825">
        <v>3299.1600000000003</v>
      </c>
      <c r="J61" s="756">
        <v>2239.86</v>
      </c>
      <c r="K61" s="756"/>
      <c r="L61" s="872">
        <v>3299.1600000000003</v>
      </c>
      <c r="M61" s="880"/>
      <c r="N61" s="1207">
        <f t="shared" si="81"/>
        <v>3314.9639999999995</v>
      </c>
      <c r="O61" s="1208">
        <f t="shared" si="82"/>
        <v>3314.9639999999995</v>
      </c>
      <c r="P61" s="964">
        <v>2484</v>
      </c>
      <c r="Q61" s="964"/>
      <c r="R61" s="1208">
        <f t="shared" si="83"/>
        <v>3314.9639999999995</v>
      </c>
      <c r="S61" s="917"/>
      <c r="T61" s="1000">
        <v>7400.2834552053537</v>
      </c>
      <c r="U61" s="1001">
        <v>9192.2282966728162</v>
      </c>
      <c r="V61" s="999"/>
      <c r="W61" s="998"/>
      <c r="X61" s="998"/>
      <c r="Y61" s="998"/>
      <c r="Z61" s="978">
        <f t="shared" si="50"/>
        <v>16592.51175187817</v>
      </c>
      <c r="AA61" s="992">
        <v>4672.6142619566954</v>
      </c>
      <c r="AB61" s="998">
        <v>6894.1717071365083</v>
      </c>
      <c r="AC61" s="661"/>
      <c r="AD61" s="662"/>
      <c r="AE61" s="662"/>
      <c r="AF61" s="662"/>
      <c r="AG61" s="930">
        <f t="shared" si="51"/>
        <v>11566.785969093204</v>
      </c>
      <c r="AH61" s="898">
        <f t="shared" si="52"/>
        <v>28159.297720971372</v>
      </c>
      <c r="AI61" s="16">
        <f t="shared" si="70"/>
        <v>12072.89771716205</v>
      </c>
      <c r="AJ61" s="16">
        <f t="shared" si="70"/>
        <v>16086.400003809325</v>
      </c>
      <c r="AK61" s="16">
        <f t="shared" si="70"/>
        <v>0</v>
      </c>
      <c r="AL61" s="16">
        <f t="shared" si="70"/>
        <v>0</v>
      </c>
      <c r="AM61" s="16">
        <f t="shared" si="70"/>
        <v>0</v>
      </c>
      <c r="AN61" s="16"/>
      <c r="AO61" s="16">
        <f t="shared" si="67"/>
        <v>28159.297720971375</v>
      </c>
      <c r="AP61" s="16">
        <f t="shared" si="68"/>
        <v>28159.297720971375</v>
      </c>
      <c r="AQ61" s="16">
        <f t="shared" si="69"/>
        <v>28159.297720971375</v>
      </c>
      <c r="AR61" s="127">
        <f t="shared" si="32"/>
        <v>0</v>
      </c>
      <c r="AS61" s="112">
        <f t="shared" si="79"/>
        <v>39830421.23255235</v>
      </c>
      <c r="AT61" s="112">
        <f t="shared" si="79"/>
        <v>36031283.912532359</v>
      </c>
      <c r="AU61" s="112">
        <f t="shared" si="79"/>
        <v>0</v>
      </c>
      <c r="AV61" s="112">
        <f t="shared" si="79"/>
        <v>0</v>
      </c>
      <c r="AW61" s="112">
        <f t="shared" si="79"/>
        <v>0</v>
      </c>
      <c r="AX61" s="112">
        <f t="shared" si="46"/>
        <v>75861705.145084709</v>
      </c>
      <c r="AY61" s="112">
        <f t="shared" si="47"/>
        <v>75861705.145084709</v>
      </c>
      <c r="AZ61" s="112">
        <f t="shared" si="80"/>
        <v>40021221.30807437</v>
      </c>
      <c r="BA61" s="112">
        <f t="shared" si="80"/>
        <v>39958617.609462366</v>
      </c>
      <c r="BB61" s="112">
        <f t="shared" si="80"/>
        <v>0</v>
      </c>
      <c r="BC61" s="112">
        <f t="shared" si="80"/>
        <v>0</v>
      </c>
      <c r="BD61" s="112">
        <f t="shared" si="80"/>
        <v>0</v>
      </c>
      <c r="BE61" s="112">
        <f t="shared" si="48"/>
        <v>79979838.917536736</v>
      </c>
      <c r="BF61" s="112">
        <f t="shared" si="49"/>
        <v>79979838.917536736</v>
      </c>
      <c r="BG61" s="623">
        <f>(O61-P61)/1.2*U61/1000</f>
        <v>6365.3423285970212</v>
      </c>
      <c r="BH61" s="624">
        <f>(O61-P61)/1.2*AB61/1000</f>
        <v>4774.0070820408146</v>
      </c>
      <c r="BI61" s="623">
        <f t="shared" si="5"/>
        <v>11139.349410637835</v>
      </c>
      <c r="BJ61" s="169"/>
      <c r="BK61" s="169"/>
      <c r="BL61" s="112">
        <f t="shared" si="77"/>
        <v>24414719.164075296</v>
      </c>
      <c r="BM61" s="112">
        <f t="shared" si="77"/>
        <v>20589304.472585574</v>
      </c>
      <c r="BN61" s="112">
        <f t="shared" si="77"/>
        <v>0</v>
      </c>
      <c r="BO61" s="112">
        <f t="shared" si="77"/>
        <v>0</v>
      </c>
      <c r="BP61" s="112">
        <f t="shared" si="77"/>
        <v>0</v>
      </c>
      <c r="BQ61" s="112">
        <f t="shared" si="54"/>
        <v>45004023.636660874</v>
      </c>
      <c r="BR61" s="112">
        <f t="shared" si="55"/>
        <v>45004023.636660874</v>
      </c>
      <c r="BS61" s="112">
        <f t="shared" si="78"/>
        <v>15489548.064273013</v>
      </c>
      <c r="BT61" s="112">
        <f t="shared" si="78"/>
        <v>17125122.520527087</v>
      </c>
      <c r="BU61" s="112">
        <f t="shared" si="78"/>
        <v>0</v>
      </c>
      <c r="BV61" s="112">
        <f t="shared" si="57"/>
        <v>0</v>
      </c>
      <c r="BW61" s="112">
        <f t="shared" si="14"/>
        <v>0</v>
      </c>
      <c r="BX61" s="112">
        <f t="shared" si="58"/>
        <v>32614670.584800102</v>
      </c>
      <c r="BY61" s="112">
        <f t="shared" si="59"/>
        <v>32614670.584800102</v>
      </c>
      <c r="BZ61" s="113">
        <f t="shared" si="60"/>
        <v>37714426.993112661</v>
      </c>
      <c r="CA61" s="113">
        <f t="shared" si="60"/>
        <v>0</v>
      </c>
      <c r="CB61" s="113">
        <f t="shared" si="61"/>
        <v>37714426.993112661</v>
      </c>
      <c r="CC61" s="119">
        <f t="shared" si="62"/>
        <v>2344.4914327743763</v>
      </c>
      <c r="CD61" s="119" t="e">
        <f t="shared" si="62"/>
        <v>#DIV/0!</v>
      </c>
      <c r="CE61" s="119">
        <f t="shared" si="35"/>
        <v>2344.4914327743763</v>
      </c>
      <c r="CF61" s="119">
        <f t="shared" si="15"/>
        <v>2344.4914327743763</v>
      </c>
      <c r="CG61" s="619">
        <f t="shared" si="16"/>
        <v>53180562.926227152</v>
      </c>
      <c r="CH61" s="132">
        <f t="shared" si="36"/>
        <v>3305.9331431292135</v>
      </c>
      <c r="CI61" s="625"/>
      <c r="CJ61" s="208">
        <f t="shared" si="37"/>
        <v>55003.579127053061</v>
      </c>
      <c r="CK61" s="208">
        <f t="shared" si="17"/>
        <v>38343.479083249076</v>
      </c>
      <c r="CL61" s="208">
        <f t="shared" si="38"/>
        <v>93347.058210302144</v>
      </c>
      <c r="CM61" s="18">
        <f t="shared" si="39"/>
        <v>93347.05821030213</v>
      </c>
      <c r="CN61" s="18">
        <f t="shared" si="40"/>
        <v>0</v>
      </c>
      <c r="CO61" s="112">
        <f t="shared" si="18"/>
        <v>93084830.154575467</v>
      </c>
      <c r="CP61" s="112">
        <f t="shared" si="19"/>
        <v>75861705.145084709</v>
      </c>
      <c r="CQ61" s="112">
        <f t="shared" si="20"/>
        <v>75861705.145084709</v>
      </c>
      <c r="CR61" s="112">
        <f t="shared" si="21"/>
        <v>45004023.636660874</v>
      </c>
      <c r="CS61" s="112">
        <f t="shared" si="22"/>
        <v>79979838.917536736</v>
      </c>
      <c r="CT61" s="112">
        <f t="shared" si="23"/>
        <v>79979838.917536736</v>
      </c>
      <c r="CU61" s="112">
        <f t="shared" si="24"/>
        <v>32614670.584800102</v>
      </c>
      <c r="CV61" s="112">
        <f t="shared" si="41"/>
        <v>155841544.06262144</v>
      </c>
      <c r="CW61" s="843">
        <f t="shared" si="42"/>
        <v>5534.2837597316893</v>
      </c>
      <c r="CX61" s="112">
        <f t="shared" si="25"/>
        <v>36031283.912532359</v>
      </c>
      <c r="CY61" s="112">
        <f t="shared" si="26"/>
        <v>39958617.609462366</v>
      </c>
      <c r="CZ61" s="112"/>
      <c r="DA61" s="112">
        <f t="shared" si="27"/>
        <v>92902028.669119924</v>
      </c>
      <c r="DB61" s="112">
        <f t="shared" si="28"/>
        <v>93347058.210302144</v>
      </c>
      <c r="DC61" s="625"/>
      <c r="DD61" s="128">
        <f t="shared" si="43"/>
        <v>147.99871420535209</v>
      </c>
      <c r="DE61" s="625"/>
      <c r="DF61" s="625"/>
      <c r="DG61" s="625"/>
      <c r="DH61" s="797">
        <v>28764.667000000001</v>
      </c>
      <c r="DI61" s="797">
        <v>16596.513999999999</v>
      </c>
      <c r="DJ61" s="797">
        <f t="shared" si="44"/>
        <v>12168.153000000002</v>
      </c>
      <c r="DK61" s="625"/>
      <c r="DL61" s="618">
        <f t="shared" si="29"/>
        <v>0</v>
      </c>
      <c r="DM61" s="618">
        <f t="shared" si="30"/>
        <v>0</v>
      </c>
      <c r="DN61" s="618">
        <f t="shared" si="31"/>
        <v>0</v>
      </c>
      <c r="DO61" s="123"/>
    </row>
    <row r="62" spans="1:119" customFormat="1" ht="100.5" customHeight="1">
      <c r="A62" s="20">
        <f t="shared" si="45"/>
        <v>49</v>
      </c>
      <c r="B62" s="1287"/>
      <c r="C62" s="757" t="s">
        <v>100</v>
      </c>
      <c r="D62" s="967" t="s">
        <v>141</v>
      </c>
      <c r="E62" s="617">
        <v>4632024035</v>
      </c>
      <c r="F62" s="1280" t="s">
        <v>8</v>
      </c>
      <c r="G62" s="1245" t="s">
        <v>956</v>
      </c>
      <c r="H62" s="866">
        <v>3299.1600000000003</v>
      </c>
      <c r="I62" s="825">
        <v>3299.1600000000003</v>
      </c>
      <c r="J62" s="756">
        <v>2896.52</v>
      </c>
      <c r="K62" s="756"/>
      <c r="L62" s="872">
        <v>3299.1600000000003</v>
      </c>
      <c r="M62" s="881"/>
      <c r="N62" s="1207">
        <f t="shared" si="81"/>
        <v>3314.9639999999995</v>
      </c>
      <c r="O62" s="1208">
        <f t="shared" si="82"/>
        <v>3314.9639999999995</v>
      </c>
      <c r="P62" s="964">
        <v>2950.21</v>
      </c>
      <c r="Q62" s="964"/>
      <c r="R62" s="1208">
        <f t="shared" si="83"/>
        <v>3314.9639999999995</v>
      </c>
      <c r="S62" s="918"/>
      <c r="T62" s="993">
        <v>487.93223648759215</v>
      </c>
      <c r="U62" s="994">
        <v>1316.1632958085468</v>
      </c>
      <c r="V62" s="995"/>
      <c r="W62" s="994"/>
      <c r="X62" s="994"/>
      <c r="Y62" s="994"/>
      <c r="Z62" s="996">
        <f t="shared" si="50"/>
        <v>1804.095532296139</v>
      </c>
      <c r="AA62" s="997">
        <v>283.33519009555516</v>
      </c>
      <c r="AB62" s="994">
        <v>987.09824026174522</v>
      </c>
      <c r="AC62" s="665"/>
      <c r="AD62" s="664"/>
      <c r="AE62" s="664"/>
      <c r="AF62" s="664"/>
      <c r="AG62" s="941">
        <f t="shared" si="51"/>
        <v>1270.4334303573005</v>
      </c>
      <c r="AH62" s="909">
        <f t="shared" si="52"/>
        <v>3074.5289626534395</v>
      </c>
      <c r="AI62" s="606">
        <f t="shared" si="70"/>
        <v>771.26742658314731</v>
      </c>
      <c r="AJ62" s="606">
        <f t="shared" si="70"/>
        <v>2303.2615360702921</v>
      </c>
      <c r="AK62" s="606">
        <f t="shared" si="70"/>
        <v>0</v>
      </c>
      <c r="AL62" s="606">
        <f t="shared" si="70"/>
        <v>0</v>
      </c>
      <c r="AM62" s="606">
        <f t="shared" si="70"/>
        <v>0</v>
      </c>
      <c r="AN62" s="606"/>
      <c r="AO62" s="606">
        <f t="shared" si="67"/>
        <v>3074.5289626534395</v>
      </c>
      <c r="AP62" s="606">
        <f t="shared" si="68"/>
        <v>3074.5289626534395</v>
      </c>
      <c r="AQ62" s="606">
        <f t="shared" si="69"/>
        <v>3074.5289626534395</v>
      </c>
      <c r="AR62" s="127">
        <f t="shared" si="32"/>
        <v>0</v>
      </c>
      <c r="AS62" s="112">
        <f t="shared" si="79"/>
        <v>2544534.6430860567</v>
      </c>
      <c r="AT62" s="112">
        <f t="shared" si="79"/>
        <v>6671443.1044583227</v>
      </c>
      <c r="AU62" s="112">
        <f t="shared" si="79"/>
        <v>0</v>
      </c>
      <c r="AV62" s="112">
        <f t="shared" si="79"/>
        <v>0</v>
      </c>
      <c r="AW62" s="112">
        <f t="shared" si="79"/>
        <v>0</v>
      </c>
      <c r="AX62" s="112">
        <f t="shared" si="46"/>
        <v>9215977.7475443799</v>
      </c>
      <c r="AY62" s="112">
        <f t="shared" si="47"/>
        <v>9215977.7475443799</v>
      </c>
      <c r="AZ62" s="112">
        <f t="shared" si="80"/>
        <v>2556723.7534957761</v>
      </c>
      <c r="BA62" s="112">
        <f t="shared" si="80"/>
        <v>6795105.2163299369</v>
      </c>
      <c r="BB62" s="112">
        <f t="shared" si="80"/>
        <v>0</v>
      </c>
      <c r="BC62" s="112">
        <f t="shared" si="80"/>
        <v>0</v>
      </c>
      <c r="BD62" s="112">
        <f t="shared" si="80"/>
        <v>0</v>
      </c>
      <c r="BE62" s="112">
        <f t="shared" si="48"/>
        <v>9351828.969825713</v>
      </c>
      <c r="BF62" s="112">
        <f t="shared" si="49"/>
        <v>9351828.969825713</v>
      </c>
      <c r="BG62" s="623">
        <f>(O62-P62)/1.2*U62/1000</f>
        <v>400.0631889994583</v>
      </c>
      <c r="BH62" s="667">
        <f>(O62-P62)/1.2*AB62/1000</f>
        <v>300.0400262736934</v>
      </c>
      <c r="BI62" s="666">
        <f t="shared" si="5"/>
        <v>700.1032152731517</v>
      </c>
      <c r="BJ62" s="169"/>
      <c r="BK62" s="169"/>
      <c r="BL62" s="112">
        <f t="shared" si="77"/>
        <v>1609766.5173304046</v>
      </c>
      <c r="BM62" s="112">
        <f t="shared" si="77"/>
        <v>3812293.3095753719</v>
      </c>
      <c r="BN62" s="112">
        <f t="shared" si="77"/>
        <v>0</v>
      </c>
      <c r="BO62" s="112">
        <f t="shared" si="77"/>
        <v>0</v>
      </c>
      <c r="BP62" s="112">
        <f t="shared" si="77"/>
        <v>0</v>
      </c>
      <c r="BQ62" s="112">
        <f t="shared" si="54"/>
        <v>5422059.8269057767</v>
      </c>
      <c r="BR62" s="112">
        <f t="shared" si="55"/>
        <v>5422059.8269057767</v>
      </c>
      <c r="BS62" s="112">
        <f t="shared" si="78"/>
        <v>939245.95509992179</v>
      </c>
      <c r="BT62" s="112">
        <f t="shared" si="78"/>
        <v>2912147.0994026032</v>
      </c>
      <c r="BU62" s="112">
        <f t="shared" si="78"/>
        <v>0</v>
      </c>
      <c r="BV62" s="112">
        <f t="shared" si="57"/>
        <v>0</v>
      </c>
      <c r="BW62" s="112">
        <f t="shared" si="14"/>
        <v>0</v>
      </c>
      <c r="BX62" s="112">
        <f t="shared" si="58"/>
        <v>3851393.0545025249</v>
      </c>
      <c r="BY62" s="112">
        <f t="shared" si="59"/>
        <v>3851393.0545025249</v>
      </c>
      <c r="BZ62" s="113">
        <f t="shared" si="60"/>
        <v>6724440.4089779751</v>
      </c>
      <c r="CA62" s="113">
        <f t="shared" si="60"/>
        <v>0</v>
      </c>
      <c r="CB62" s="113">
        <f t="shared" si="61"/>
        <v>6724440.4089779751</v>
      </c>
      <c r="CC62" s="119">
        <f t="shared" si="62"/>
        <v>2919.5296772293059</v>
      </c>
      <c r="CD62" s="119" t="e">
        <f t="shared" si="62"/>
        <v>#DIV/0!</v>
      </c>
      <c r="CE62" s="119">
        <f t="shared" si="35"/>
        <v>2919.5296772293059</v>
      </c>
      <c r="CF62" s="119">
        <f t="shared" si="15"/>
        <v>2919.5296772293059</v>
      </c>
      <c r="CG62" s="619">
        <f t="shared" si="16"/>
        <v>7614428.4299307615</v>
      </c>
      <c r="CH62" s="132">
        <f t="shared" si="36"/>
        <v>3305.933047847494</v>
      </c>
      <c r="CI62" s="625"/>
      <c r="CJ62" s="208">
        <f t="shared" si="37"/>
        <v>5980.5117421225377</v>
      </c>
      <c r="CK62" s="208">
        <f t="shared" si="17"/>
        <v>4211.4410860309572</v>
      </c>
      <c r="CL62" s="208">
        <f t="shared" si="38"/>
        <v>10191.952828153495</v>
      </c>
      <c r="CM62" s="18">
        <f t="shared" si="39"/>
        <v>10191.952828153495</v>
      </c>
      <c r="CN62" s="18">
        <f t="shared" si="40"/>
        <v>0</v>
      </c>
      <c r="CO62" s="112">
        <f t="shared" si="18"/>
        <v>10163440.902361088</v>
      </c>
      <c r="CP62" s="112">
        <f t="shared" si="19"/>
        <v>9215977.7475443799</v>
      </c>
      <c r="CQ62" s="112">
        <f t="shared" si="20"/>
        <v>9215977.7475443799</v>
      </c>
      <c r="CR62" s="112">
        <f t="shared" si="21"/>
        <v>5422059.8269057767</v>
      </c>
      <c r="CS62" s="112">
        <f t="shared" si="22"/>
        <v>9351828.969825713</v>
      </c>
      <c r="CT62" s="112">
        <f t="shared" si="23"/>
        <v>9351828.969825713</v>
      </c>
      <c r="CU62" s="112">
        <f t="shared" si="24"/>
        <v>3851393.0545025249</v>
      </c>
      <c r="CV62" s="112">
        <f t="shared" si="41"/>
        <v>18567806.717370093</v>
      </c>
      <c r="CW62" s="843">
        <f t="shared" si="42"/>
        <v>6039.2362351809961</v>
      </c>
      <c r="CX62" s="112">
        <f t="shared" si="25"/>
        <v>6671443.1044583227</v>
      </c>
      <c r="CY62" s="112">
        <f t="shared" si="26"/>
        <v>6795105.2163299369</v>
      </c>
      <c r="CZ62" s="112"/>
      <c r="DA62" s="112">
        <f t="shared" si="27"/>
        <v>10143362.972427722</v>
      </c>
      <c r="DB62" s="112">
        <f t="shared" si="28"/>
        <v>10191952.828153495</v>
      </c>
      <c r="DC62" s="625"/>
      <c r="DD62" s="128">
        <f t="shared" si="43"/>
        <v>114.44643917528619</v>
      </c>
      <c r="DE62" s="625"/>
      <c r="DF62" s="625"/>
      <c r="DG62" s="625"/>
      <c r="DH62" s="797">
        <v>3172.0250000000001</v>
      </c>
      <c r="DI62" s="797">
        <v>2376.3000000000002</v>
      </c>
      <c r="DJ62" s="797">
        <f t="shared" si="44"/>
        <v>795.72499999999991</v>
      </c>
      <c r="DK62" s="625"/>
      <c r="DL62" s="618">
        <f t="shared" si="29"/>
        <v>0</v>
      </c>
      <c r="DM62" s="618">
        <f t="shared" si="30"/>
        <v>0</v>
      </c>
      <c r="DN62" s="618">
        <f t="shared" si="31"/>
        <v>0</v>
      </c>
      <c r="DO62" s="152"/>
    </row>
    <row r="63" spans="1:119" customFormat="1" ht="100.5" customHeight="1">
      <c r="A63" s="20">
        <f t="shared" si="45"/>
        <v>50</v>
      </c>
      <c r="B63" s="1287"/>
      <c r="C63" s="757" t="s">
        <v>101</v>
      </c>
      <c r="D63" s="967" t="s">
        <v>141</v>
      </c>
      <c r="E63" s="617">
        <v>4632024035</v>
      </c>
      <c r="F63" s="1280" t="s">
        <v>8</v>
      </c>
      <c r="G63" s="1245" t="s">
        <v>956</v>
      </c>
      <c r="H63" s="866">
        <v>3299.1600000000003</v>
      </c>
      <c r="I63" s="825">
        <v>3299.1600000000003</v>
      </c>
      <c r="J63" s="756">
        <v>2896.52</v>
      </c>
      <c r="K63" s="756"/>
      <c r="L63" s="872">
        <v>3299.1600000000003</v>
      </c>
      <c r="M63" s="869"/>
      <c r="N63" s="1207">
        <f t="shared" si="81"/>
        <v>3314.9639999999995</v>
      </c>
      <c r="O63" s="1208">
        <f t="shared" si="82"/>
        <v>3314.9639999999995</v>
      </c>
      <c r="P63" s="964">
        <v>2950.21</v>
      </c>
      <c r="Q63" s="964"/>
      <c r="R63" s="1208">
        <f t="shared" si="83"/>
        <v>3314.9639999999995</v>
      </c>
      <c r="S63" s="911"/>
      <c r="T63" s="990">
        <v>209.11381563753952</v>
      </c>
      <c r="U63" s="998">
        <v>62.417680064940704</v>
      </c>
      <c r="V63" s="999"/>
      <c r="W63" s="998"/>
      <c r="X63" s="998"/>
      <c r="Y63" s="998"/>
      <c r="Z63" s="971">
        <f t="shared" si="50"/>
        <v>271.53149570248024</v>
      </c>
      <c r="AA63" s="992">
        <v>121.42936718380935</v>
      </c>
      <c r="AB63" s="998">
        <v>46.813502364652173</v>
      </c>
      <c r="AC63" s="661"/>
      <c r="AD63" s="662"/>
      <c r="AE63" s="662"/>
      <c r="AF63" s="662"/>
      <c r="AG63" s="926">
        <f t="shared" si="51"/>
        <v>168.24286954846153</v>
      </c>
      <c r="AH63" s="894">
        <f t="shared" si="52"/>
        <v>439.77436525094174</v>
      </c>
      <c r="AI63" s="15">
        <f t="shared" si="70"/>
        <v>330.54318282134886</v>
      </c>
      <c r="AJ63" s="15">
        <f t="shared" si="70"/>
        <v>109.23118242959288</v>
      </c>
      <c r="AK63" s="15">
        <f t="shared" si="70"/>
        <v>0</v>
      </c>
      <c r="AL63" s="15">
        <f t="shared" si="70"/>
        <v>0</v>
      </c>
      <c r="AM63" s="15">
        <f t="shared" si="70"/>
        <v>0</v>
      </c>
      <c r="AN63" s="15"/>
      <c r="AO63" s="15">
        <f t="shared" si="67"/>
        <v>439.77436525094174</v>
      </c>
      <c r="AP63" s="15">
        <f t="shared" si="68"/>
        <v>439.77436525094174</v>
      </c>
      <c r="AQ63" s="15">
        <f t="shared" si="69"/>
        <v>439.77436525094174</v>
      </c>
      <c r="AR63" s="127">
        <f t="shared" si="32"/>
        <v>0</v>
      </c>
      <c r="AS63" s="112">
        <f t="shared" si="79"/>
        <v>1090514.8470368814</v>
      </c>
      <c r="AT63" s="112">
        <f t="shared" si="79"/>
        <v>316390.30453096435</v>
      </c>
      <c r="AU63" s="112">
        <f t="shared" si="79"/>
        <v>0</v>
      </c>
      <c r="AV63" s="112">
        <f t="shared" si="79"/>
        <v>0</v>
      </c>
      <c r="AW63" s="112">
        <f t="shared" si="79"/>
        <v>0</v>
      </c>
      <c r="AX63" s="112">
        <f t="shared" si="46"/>
        <v>1406905.1515678456</v>
      </c>
      <c r="AY63" s="112">
        <f t="shared" si="47"/>
        <v>1406905.1515678456</v>
      </c>
      <c r="AZ63" s="112">
        <f t="shared" si="80"/>
        <v>1095738.7514981898</v>
      </c>
      <c r="BA63" s="112">
        <f t="shared" si="80"/>
        <v>322254.92671560921</v>
      </c>
      <c r="BB63" s="112">
        <f t="shared" si="80"/>
        <v>0</v>
      </c>
      <c r="BC63" s="112">
        <f t="shared" si="80"/>
        <v>0</v>
      </c>
      <c r="BD63" s="112">
        <f t="shared" si="80"/>
        <v>0</v>
      </c>
      <c r="BE63" s="112">
        <f t="shared" si="48"/>
        <v>1417993.6782137989</v>
      </c>
      <c r="BF63" s="112">
        <f t="shared" si="49"/>
        <v>1417993.6782137989</v>
      </c>
      <c r="BG63" s="623">
        <f>(O63-P63)/1.2*U63/1000</f>
        <v>18.972582062006126</v>
      </c>
      <c r="BH63" s="624">
        <f>(O63-P63)/1.2*AB63/1000</f>
        <v>14.229510201263595</v>
      </c>
      <c r="BI63" s="623">
        <f t="shared" si="5"/>
        <v>33.202092263269719</v>
      </c>
      <c r="BJ63" s="169"/>
      <c r="BK63" s="169"/>
      <c r="BL63" s="112">
        <f t="shared" si="77"/>
        <v>689899.93599874491</v>
      </c>
      <c r="BM63" s="112">
        <f t="shared" si="77"/>
        <v>180794.05866170206</v>
      </c>
      <c r="BN63" s="112">
        <f t="shared" si="77"/>
        <v>0</v>
      </c>
      <c r="BO63" s="112">
        <f t="shared" si="77"/>
        <v>0</v>
      </c>
      <c r="BP63" s="112">
        <f t="shared" si="77"/>
        <v>0</v>
      </c>
      <c r="BQ63" s="112">
        <f t="shared" si="54"/>
        <v>870693.994660447</v>
      </c>
      <c r="BR63" s="112">
        <f t="shared" si="55"/>
        <v>870693.994660447</v>
      </c>
      <c r="BS63" s="112">
        <f t="shared" si="78"/>
        <v>402533.9807571093</v>
      </c>
      <c r="BT63" s="112">
        <f t="shared" si="78"/>
        <v>138109.66281122048</v>
      </c>
      <c r="BU63" s="112">
        <f t="shared" si="78"/>
        <v>0</v>
      </c>
      <c r="BV63" s="112">
        <f t="shared" si="57"/>
        <v>0</v>
      </c>
      <c r="BW63" s="112">
        <f t="shared" si="14"/>
        <v>0</v>
      </c>
      <c r="BX63" s="112">
        <f t="shared" si="58"/>
        <v>540643.64356832975</v>
      </c>
      <c r="BY63" s="112">
        <f t="shared" si="59"/>
        <v>540643.64356832975</v>
      </c>
      <c r="BZ63" s="113">
        <f t="shared" si="60"/>
        <v>318903.72147292254</v>
      </c>
      <c r="CA63" s="113">
        <f t="shared" si="60"/>
        <v>0</v>
      </c>
      <c r="CB63" s="113">
        <f t="shared" si="61"/>
        <v>318903.72147292254</v>
      </c>
      <c r="CC63" s="119">
        <f t="shared" si="62"/>
        <v>2919.5300680598075</v>
      </c>
      <c r="CD63" s="119" t="e">
        <f t="shared" si="62"/>
        <v>#DIV/0!</v>
      </c>
      <c r="CE63" s="119">
        <f t="shared" si="35"/>
        <v>2919.5300680598075</v>
      </c>
      <c r="CF63" s="119">
        <f t="shared" si="15"/>
        <v>2919.5300680598075</v>
      </c>
      <c r="CG63" s="619">
        <f t="shared" si="16"/>
        <v>361110.98841578659</v>
      </c>
      <c r="CH63" s="132">
        <f t="shared" si="36"/>
        <v>3305.933162890989</v>
      </c>
      <c r="CI63" s="625"/>
      <c r="CJ63" s="208">
        <f t="shared" si="37"/>
        <v>900.1171331198766</v>
      </c>
      <c r="CK63" s="208">
        <f t="shared" si="17"/>
        <v>557.71905580984617</v>
      </c>
      <c r="CL63" s="208">
        <f t="shared" si="38"/>
        <v>1457.8361889297228</v>
      </c>
      <c r="CM63" s="18">
        <f t="shared" si="39"/>
        <v>1457.8361889297225</v>
      </c>
      <c r="CN63" s="18">
        <f t="shared" si="40"/>
        <v>0</v>
      </c>
      <c r="CO63" s="112">
        <f t="shared" si="18"/>
        <v>1453544.9051716409</v>
      </c>
      <c r="CP63" s="112">
        <f t="shared" si="19"/>
        <v>1406905.1515678456</v>
      </c>
      <c r="CQ63" s="112">
        <f t="shared" si="20"/>
        <v>1406905.1515678456</v>
      </c>
      <c r="CR63" s="112">
        <f t="shared" si="21"/>
        <v>870693.994660447</v>
      </c>
      <c r="CS63" s="112">
        <f t="shared" si="22"/>
        <v>1417993.6782137989</v>
      </c>
      <c r="CT63" s="112">
        <f t="shared" si="23"/>
        <v>1417993.6782137989</v>
      </c>
      <c r="CU63" s="112">
        <f t="shared" si="24"/>
        <v>540643.64356832975</v>
      </c>
      <c r="CV63" s="112">
        <f t="shared" si="41"/>
        <v>2824898.8297816445</v>
      </c>
      <c r="CW63" s="843">
        <f t="shared" si="42"/>
        <v>6423.5186336286688</v>
      </c>
      <c r="CX63" s="112">
        <f t="shared" si="25"/>
        <v>316390.30453096435</v>
      </c>
      <c r="CY63" s="112">
        <f t="shared" si="26"/>
        <v>322254.92671560921</v>
      </c>
      <c r="CZ63" s="112"/>
      <c r="DA63" s="112">
        <f t="shared" si="27"/>
        <v>1450885.9948612971</v>
      </c>
      <c r="DB63" s="112">
        <f t="shared" si="28"/>
        <v>1457836.1889297226</v>
      </c>
      <c r="DC63" s="625"/>
      <c r="DD63" s="128">
        <f t="shared" si="43"/>
        <v>114.44643917528619</v>
      </c>
      <c r="DE63" s="625"/>
      <c r="DF63" s="625"/>
      <c r="DG63" s="625"/>
      <c r="DH63" s="797">
        <v>453.71999999999997</v>
      </c>
      <c r="DI63" s="797">
        <v>112.69499999999999</v>
      </c>
      <c r="DJ63" s="797">
        <f t="shared" si="44"/>
        <v>341.02499999999998</v>
      </c>
      <c r="DK63" s="625"/>
      <c r="DL63" s="618">
        <f t="shared" si="29"/>
        <v>0</v>
      </c>
      <c r="DM63" s="618">
        <f t="shared" si="30"/>
        <v>0</v>
      </c>
      <c r="DN63" s="618">
        <f t="shared" si="31"/>
        <v>0</v>
      </c>
      <c r="DO63" s="123"/>
    </row>
    <row r="64" spans="1:119" customFormat="1" ht="100.5" customHeight="1">
      <c r="A64" s="20">
        <f t="shared" si="45"/>
        <v>51</v>
      </c>
      <c r="B64" s="1285"/>
      <c r="C64" s="757" t="s">
        <v>102</v>
      </c>
      <c r="D64" s="967" t="s">
        <v>141</v>
      </c>
      <c r="E64" s="617">
        <v>4632024035</v>
      </c>
      <c r="F64" s="1280" t="s">
        <v>8</v>
      </c>
      <c r="G64" s="1245" t="s">
        <v>956</v>
      </c>
      <c r="H64" s="866">
        <v>3299.1600000000003</v>
      </c>
      <c r="I64" s="825">
        <v>3299.1600000000003</v>
      </c>
      <c r="J64" s="756"/>
      <c r="K64" s="756"/>
      <c r="L64" s="872">
        <v>3299.1600000000003</v>
      </c>
      <c r="M64" s="869"/>
      <c r="N64" s="1207">
        <f t="shared" si="81"/>
        <v>3314.9639999999995</v>
      </c>
      <c r="O64" s="1208">
        <f t="shared" si="82"/>
        <v>3314.9639999999995</v>
      </c>
      <c r="P64" s="963"/>
      <c r="Q64" s="963"/>
      <c r="R64" s="1208">
        <f t="shared" si="83"/>
        <v>3314.9639999999995</v>
      </c>
      <c r="S64" s="911"/>
      <c r="T64" s="993">
        <v>128.34700282869159</v>
      </c>
      <c r="U64" s="664"/>
      <c r="V64" s="665"/>
      <c r="W64" s="664"/>
      <c r="X64" s="664"/>
      <c r="Y64" s="664"/>
      <c r="Z64" s="926">
        <f t="shared" si="50"/>
        <v>128.34700282869159</v>
      </c>
      <c r="AA64" s="903">
        <v>73.256956990360081</v>
      </c>
      <c r="AB64" s="664"/>
      <c r="AC64" s="665"/>
      <c r="AD64" s="664"/>
      <c r="AE64" s="664"/>
      <c r="AF64" s="664"/>
      <c r="AG64" s="926">
        <f t="shared" si="51"/>
        <v>73.256956990360081</v>
      </c>
      <c r="AH64" s="894">
        <f t="shared" si="52"/>
        <v>201.60395981905168</v>
      </c>
      <c r="AI64" s="15">
        <f t="shared" si="70"/>
        <v>201.60395981905168</v>
      </c>
      <c r="AJ64" s="15">
        <f t="shared" si="70"/>
        <v>0</v>
      </c>
      <c r="AK64" s="15">
        <f t="shared" si="70"/>
        <v>0</v>
      </c>
      <c r="AL64" s="15">
        <f t="shared" si="70"/>
        <v>0</v>
      </c>
      <c r="AM64" s="15">
        <f t="shared" si="70"/>
        <v>0</v>
      </c>
      <c r="AN64" s="15"/>
      <c r="AO64" s="15">
        <f t="shared" si="67"/>
        <v>201.60395981905168</v>
      </c>
      <c r="AP64" s="15">
        <f t="shared" si="68"/>
        <v>201.60395981905168</v>
      </c>
      <c r="AQ64" s="15">
        <f t="shared" si="69"/>
        <v>201.60395981905168</v>
      </c>
      <c r="AR64" s="127">
        <f t="shared" si="32"/>
        <v>0</v>
      </c>
      <c r="AS64" s="112">
        <f t="shared" si="79"/>
        <v>665123.72007662256</v>
      </c>
      <c r="AT64" s="112">
        <f t="shared" si="79"/>
        <v>0</v>
      </c>
      <c r="AU64" s="112">
        <f t="shared" si="79"/>
        <v>0</v>
      </c>
      <c r="AV64" s="112">
        <f t="shared" si="79"/>
        <v>0</v>
      </c>
      <c r="AW64" s="112">
        <f t="shared" si="79"/>
        <v>0</v>
      </c>
      <c r="AX64" s="112">
        <f t="shared" si="46"/>
        <v>665123.72007662256</v>
      </c>
      <c r="AY64" s="112">
        <f t="shared" si="47"/>
        <v>665123.72007662256</v>
      </c>
      <c r="AZ64" s="112">
        <f t="shared" si="80"/>
        <v>668309.86905760271</v>
      </c>
      <c r="BA64" s="112">
        <f t="shared" si="80"/>
        <v>0</v>
      </c>
      <c r="BB64" s="112">
        <f t="shared" si="80"/>
        <v>0</v>
      </c>
      <c r="BC64" s="112">
        <f t="shared" si="80"/>
        <v>0</v>
      </c>
      <c r="BD64" s="112">
        <f t="shared" si="80"/>
        <v>0</v>
      </c>
      <c r="BE64" s="112">
        <f t="shared" si="48"/>
        <v>668309.86905760271</v>
      </c>
      <c r="BF64" s="112">
        <f t="shared" si="49"/>
        <v>668309.86905760271</v>
      </c>
      <c r="BG64" s="668"/>
      <c r="BH64" s="668"/>
      <c r="BI64" s="118">
        <f t="shared" si="5"/>
        <v>0</v>
      </c>
      <c r="BJ64" s="118"/>
      <c r="BK64" s="118"/>
      <c r="BL64" s="112">
        <f t="shared" si="77"/>
        <v>423437.29785230616</v>
      </c>
      <c r="BM64" s="112">
        <f t="shared" si="77"/>
        <v>0</v>
      </c>
      <c r="BN64" s="112">
        <f t="shared" si="77"/>
        <v>0</v>
      </c>
      <c r="BO64" s="112">
        <f t="shared" si="77"/>
        <v>0</v>
      </c>
      <c r="BP64" s="112">
        <f t="shared" si="77"/>
        <v>0</v>
      </c>
      <c r="BQ64" s="112">
        <f t="shared" si="54"/>
        <v>423437.29785230616</v>
      </c>
      <c r="BR64" s="112">
        <f t="shared" si="55"/>
        <v>423437.29785230616</v>
      </c>
      <c r="BS64" s="112">
        <f t="shared" si="78"/>
        <v>242844.17517259199</v>
      </c>
      <c r="BT64" s="112">
        <f t="shared" si="78"/>
        <v>0</v>
      </c>
      <c r="BU64" s="112">
        <f t="shared" si="78"/>
        <v>0</v>
      </c>
      <c r="BV64" s="112">
        <f t="shared" si="57"/>
        <v>0</v>
      </c>
      <c r="BW64" s="112">
        <f t="shared" si="14"/>
        <v>0</v>
      </c>
      <c r="BX64" s="112">
        <f t="shared" si="58"/>
        <v>242844.17517259199</v>
      </c>
      <c r="BY64" s="112">
        <f t="shared" si="59"/>
        <v>242844.17517259199</v>
      </c>
      <c r="BZ64" s="113">
        <f t="shared" si="60"/>
        <v>0</v>
      </c>
      <c r="CA64" s="113">
        <f t="shared" si="60"/>
        <v>0</v>
      </c>
      <c r="CB64" s="113">
        <f t="shared" si="61"/>
        <v>0</v>
      </c>
      <c r="CC64" s="119" t="e">
        <f t="shared" si="62"/>
        <v>#DIV/0!</v>
      </c>
      <c r="CD64" s="119" t="e">
        <f t="shared" si="62"/>
        <v>#DIV/0!</v>
      </c>
      <c r="CE64" s="119" t="e">
        <f t="shared" si="35"/>
        <v>#DIV/0!</v>
      </c>
      <c r="CF64" s="113" t="e">
        <f t="shared" si="15"/>
        <v>#DIV/0!</v>
      </c>
      <c r="CG64" s="619">
        <f t="shared" si="16"/>
        <v>0</v>
      </c>
      <c r="CH64" s="132" t="e">
        <f t="shared" si="36"/>
        <v>#DIV/0!</v>
      </c>
      <c r="CI64" s="621"/>
      <c r="CJ64" s="208">
        <f t="shared" si="37"/>
        <v>425.46569388501075</v>
      </c>
      <c r="CK64" s="208">
        <f t="shared" si="17"/>
        <v>242.844175172592</v>
      </c>
      <c r="CL64" s="208">
        <f t="shared" si="38"/>
        <v>668.30986905760278</v>
      </c>
      <c r="CM64" s="18">
        <f t="shared" si="39"/>
        <v>668.30986905760267</v>
      </c>
      <c r="CN64" s="18">
        <f t="shared" si="40"/>
        <v>0</v>
      </c>
      <c r="CO64" s="112">
        <f t="shared" si="18"/>
        <v>666281.47302489821</v>
      </c>
      <c r="CP64" s="112">
        <f t="shared" si="19"/>
        <v>665123.72007662256</v>
      </c>
      <c r="CQ64" s="112">
        <f t="shared" si="20"/>
        <v>665123.72007662256</v>
      </c>
      <c r="CR64" s="112">
        <f t="shared" si="21"/>
        <v>423437.29785230616</v>
      </c>
      <c r="CS64" s="112">
        <f t="shared" si="22"/>
        <v>668309.86905760271</v>
      </c>
      <c r="CT64" s="112">
        <f t="shared" si="23"/>
        <v>668309.86905760271</v>
      </c>
      <c r="CU64" s="112">
        <f t="shared" si="24"/>
        <v>242844.17517259199</v>
      </c>
      <c r="CV64" s="112">
        <f t="shared" si="41"/>
        <v>1333433.5891342252</v>
      </c>
      <c r="CW64" s="843">
        <f t="shared" si="42"/>
        <v>6614.1239999999989</v>
      </c>
      <c r="CX64" s="112">
        <f t="shared" si="25"/>
        <v>0</v>
      </c>
      <c r="CY64" s="112">
        <f t="shared" si="26"/>
        <v>0</v>
      </c>
      <c r="CZ64" s="112"/>
      <c r="DA64" s="112">
        <f t="shared" si="27"/>
        <v>665123.72007662256</v>
      </c>
      <c r="DB64" s="112">
        <f t="shared" si="28"/>
        <v>668309.86905760271</v>
      </c>
      <c r="DC64" s="621"/>
      <c r="DD64" s="128" t="e">
        <f t="shared" si="43"/>
        <v>#DIV/0!</v>
      </c>
      <c r="DE64" s="621"/>
      <c r="DF64" s="621"/>
      <c r="DG64" s="621"/>
      <c r="DH64" s="797">
        <v>207.99700000000001</v>
      </c>
      <c r="DI64" s="797">
        <v>0</v>
      </c>
      <c r="DJ64" s="797">
        <f t="shared" si="44"/>
        <v>207.99700000000001</v>
      </c>
      <c r="DK64" s="621"/>
      <c r="DL64" s="618">
        <f t="shared" si="29"/>
        <v>0</v>
      </c>
      <c r="DM64" s="618">
        <f t="shared" si="30"/>
        <v>0</v>
      </c>
      <c r="DN64" s="618">
        <f t="shared" si="31"/>
        <v>0</v>
      </c>
      <c r="DO64" s="121"/>
    </row>
    <row r="65" spans="1:121" customFormat="1" ht="100.5" customHeight="1">
      <c r="A65" s="20">
        <f t="shared" si="45"/>
        <v>52</v>
      </c>
      <c r="B65" s="1278" t="s">
        <v>22</v>
      </c>
      <c r="C65" s="757" t="s">
        <v>103</v>
      </c>
      <c r="D65" s="967" t="s">
        <v>142</v>
      </c>
      <c r="E65" s="617">
        <v>4632024035</v>
      </c>
      <c r="F65" s="1280" t="s">
        <v>8</v>
      </c>
      <c r="G65" s="1245" t="s">
        <v>956</v>
      </c>
      <c r="H65" s="866">
        <v>3299.1600000000003</v>
      </c>
      <c r="I65" s="825">
        <v>3299.1600000000003</v>
      </c>
      <c r="J65" s="756">
        <v>2239.86</v>
      </c>
      <c r="K65" s="756"/>
      <c r="L65" s="872">
        <v>3299.1600000000003</v>
      </c>
      <c r="M65" s="867"/>
      <c r="N65" s="1207">
        <f t="shared" si="81"/>
        <v>3314.9639999999995</v>
      </c>
      <c r="O65" s="1208">
        <f t="shared" si="82"/>
        <v>3314.9639999999995</v>
      </c>
      <c r="P65" s="964">
        <v>2484</v>
      </c>
      <c r="Q65" s="964"/>
      <c r="R65" s="1208">
        <f t="shared" si="83"/>
        <v>3314.9639999999995</v>
      </c>
      <c r="S65" s="910"/>
      <c r="T65" s="985">
        <v>3062.6070180784004</v>
      </c>
      <c r="U65" s="1003">
        <v>173.20743866336792</v>
      </c>
      <c r="V65" s="1004"/>
      <c r="W65" s="1005"/>
      <c r="X65" s="1005"/>
      <c r="Y65" s="1005"/>
      <c r="Z65" s="978">
        <f t="shared" si="50"/>
        <v>3235.8144567417685</v>
      </c>
      <c r="AA65" s="1006">
        <v>1791.1345369418771</v>
      </c>
      <c r="AB65" s="1007">
        <v>129.88134740286119</v>
      </c>
      <c r="AC65" s="669"/>
      <c r="AD65" s="606"/>
      <c r="AE65" s="606"/>
      <c r="AF65" s="606"/>
      <c r="AG65" s="926">
        <f t="shared" si="51"/>
        <v>1921.0158843447382</v>
      </c>
      <c r="AH65" s="894">
        <f t="shared" si="52"/>
        <v>5156.8303410865065</v>
      </c>
      <c r="AI65" s="15">
        <f t="shared" si="70"/>
        <v>4853.7415550202777</v>
      </c>
      <c r="AJ65" s="15">
        <f t="shared" si="70"/>
        <v>303.08878606622909</v>
      </c>
      <c r="AK65" s="15">
        <f t="shared" si="70"/>
        <v>0</v>
      </c>
      <c r="AL65" s="15">
        <f t="shared" si="70"/>
        <v>0</v>
      </c>
      <c r="AM65" s="15">
        <f t="shared" si="70"/>
        <v>0</v>
      </c>
      <c r="AN65" s="15"/>
      <c r="AO65" s="15">
        <f t="shared" si="67"/>
        <v>5156.8303410865065</v>
      </c>
      <c r="AP65" s="15">
        <f t="shared" si="68"/>
        <v>5156.8303410865065</v>
      </c>
      <c r="AQ65" s="15">
        <f t="shared" si="69"/>
        <v>5156.8303410865065</v>
      </c>
      <c r="AR65" s="127">
        <f t="shared" si="32"/>
        <v>0</v>
      </c>
      <c r="AS65" s="112">
        <f t="shared" si="79"/>
        <v>16013269.988660701</v>
      </c>
      <c r="AT65" s="112">
        <f t="shared" si="79"/>
        <v>678876.44835830398</v>
      </c>
      <c r="AU65" s="112">
        <f t="shared" si="79"/>
        <v>0</v>
      </c>
      <c r="AV65" s="112">
        <f t="shared" si="79"/>
        <v>0</v>
      </c>
      <c r="AW65" s="112">
        <f t="shared" si="79"/>
        <v>0</v>
      </c>
      <c r="AX65" s="112">
        <f t="shared" si="46"/>
        <v>16692146.437019005</v>
      </c>
      <c r="AY65" s="112">
        <f t="shared" si="47"/>
        <v>16692146.437019005</v>
      </c>
      <c r="AZ65" s="112">
        <f t="shared" si="80"/>
        <v>16089978.520196237</v>
      </c>
      <c r="BA65" s="112">
        <f t="shared" si="80"/>
        <v>752872.54458851309</v>
      </c>
      <c r="BB65" s="112">
        <f t="shared" si="80"/>
        <v>0</v>
      </c>
      <c r="BC65" s="112">
        <f t="shared" si="80"/>
        <v>0</v>
      </c>
      <c r="BD65" s="112">
        <f t="shared" si="80"/>
        <v>0</v>
      </c>
      <c r="BE65" s="112">
        <f t="shared" si="48"/>
        <v>16842851.06478475</v>
      </c>
      <c r="BF65" s="112">
        <f t="shared" si="49"/>
        <v>16842851.06478475</v>
      </c>
      <c r="BG65" s="623">
        <f>(O65-P65)/1.2*U65/1000</f>
        <v>119.9409550512223</v>
      </c>
      <c r="BH65" s="624">
        <f>(O65-P65)/1.2*AB65/1000</f>
        <v>89.938936636059239</v>
      </c>
      <c r="BI65" s="623">
        <f t="shared" si="5"/>
        <v>209.87989168728154</v>
      </c>
      <c r="BJ65" s="169"/>
      <c r="BK65" s="169"/>
      <c r="BL65" s="112">
        <f t="shared" si="77"/>
        <v>10104030.569763536</v>
      </c>
      <c r="BM65" s="112">
        <f t="shared" si="77"/>
        <v>387960.41356453131</v>
      </c>
      <c r="BN65" s="112">
        <f t="shared" si="77"/>
        <v>0</v>
      </c>
      <c r="BO65" s="112">
        <f t="shared" si="77"/>
        <v>0</v>
      </c>
      <c r="BP65" s="112">
        <f t="shared" si="77"/>
        <v>0</v>
      </c>
      <c r="BQ65" s="112">
        <f t="shared" si="54"/>
        <v>10491990.983328067</v>
      </c>
      <c r="BR65" s="112">
        <f t="shared" si="55"/>
        <v>10491990.983328067</v>
      </c>
      <c r="BS65" s="112">
        <f t="shared" si="78"/>
        <v>5937546.5091189919</v>
      </c>
      <c r="BT65" s="112">
        <f t="shared" si="78"/>
        <v>322625.26694870723</v>
      </c>
      <c r="BU65" s="112">
        <f t="shared" si="78"/>
        <v>0</v>
      </c>
      <c r="BV65" s="112">
        <f t="shared" si="57"/>
        <v>0</v>
      </c>
      <c r="BW65" s="112">
        <f t="shared" si="14"/>
        <v>0</v>
      </c>
      <c r="BX65" s="112">
        <f t="shared" si="58"/>
        <v>6260171.7760676993</v>
      </c>
      <c r="BY65" s="112">
        <f t="shared" si="59"/>
        <v>6260171.7760676993</v>
      </c>
      <c r="BZ65" s="113">
        <f t="shared" si="60"/>
        <v>710585.68051323853</v>
      </c>
      <c r="CA65" s="113">
        <f t="shared" si="60"/>
        <v>0</v>
      </c>
      <c r="CB65" s="113">
        <f t="shared" si="61"/>
        <v>710585.68051323853</v>
      </c>
      <c r="CC65" s="119">
        <f t="shared" si="62"/>
        <v>2344.4802750239851</v>
      </c>
      <c r="CD65" s="119" t="e">
        <f t="shared" si="62"/>
        <v>#DIV/0!</v>
      </c>
      <c r="CE65" s="119">
        <f t="shared" si="35"/>
        <v>2344.4802750239851</v>
      </c>
      <c r="CF65" s="119">
        <f t="shared" si="15"/>
        <v>2344.4802750239851</v>
      </c>
      <c r="CG65" s="619">
        <f t="shared" si="16"/>
        <v>1001991.0442526153</v>
      </c>
      <c r="CH65" s="132">
        <f t="shared" si="36"/>
        <v>3305.9324208506559</v>
      </c>
      <c r="CI65" s="621"/>
      <c r="CJ65" s="208">
        <f t="shared" si="37"/>
        <v>10726.608434778518</v>
      </c>
      <c r="CK65" s="208">
        <f t="shared" si="17"/>
        <v>6368.0985000309693</v>
      </c>
      <c r="CL65" s="208">
        <f t="shared" si="38"/>
        <v>17094.706934809488</v>
      </c>
      <c r="CM65" s="18">
        <f t="shared" si="39"/>
        <v>17094.706934809488</v>
      </c>
      <c r="CN65" s="18">
        <f t="shared" si="40"/>
        <v>0</v>
      </c>
      <c r="CO65" s="112">
        <f t="shared" si="18"/>
        <v>17043568.123135142</v>
      </c>
      <c r="CP65" s="112">
        <f t="shared" si="19"/>
        <v>16692146.437019005</v>
      </c>
      <c r="CQ65" s="112">
        <f t="shared" si="20"/>
        <v>16692146.437019005</v>
      </c>
      <c r="CR65" s="112">
        <f t="shared" si="21"/>
        <v>10491990.983328067</v>
      </c>
      <c r="CS65" s="112">
        <f t="shared" si="22"/>
        <v>16842851.06478475</v>
      </c>
      <c r="CT65" s="112">
        <f t="shared" si="23"/>
        <v>16842851.06478475</v>
      </c>
      <c r="CU65" s="112">
        <f t="shared" si="24"/>
        <v>6260171.7760676993</v>
      </c>
      <c r="CV65" s="112">
        <f t="shared" si="41"/>
        <v>33534997.501803756</v>
      </c>
      <c r="CW65" s="843">
        <f t="shared" si="42"/>
        <v>6503.0251692822176</v>
      </c>
      <c r="CX65" s="112">
        <f t="shared" si="25"/>
        <v>678876.44835830398</v>
      </c>
      <c r="CY65" s="112">
        <f t="shared" si="26"/>
        <v>752872.54458851309</v>
      </c>
      <c r="CZ65" s="112"/>
      <c r="DA65" s="112">
        <f t="shared" si="27"/>
        <v>17013208.388098963</v>
      </c>
      <c r="DB65" s="112">
        <f t="shared" si="28"/>
        <v>17094706.934809487</v>
      </c>
      <c r="DC65" s="621"/>
      <c r="DD65" s="128">
        <f t="shared" si="43"/>
        <v>147.99871420535209</v>
      </c>
      <c r="DE65" s="621"/>
      <c r="DF65" s="621"/>
      <c r="DG65" s="621"/>
      <c r="DH65" s="797">
        <v>5320.3580000000002</v>
      </c>
      <c r="DI65" s="797">
        <v>312.70000000000005</v>
      </c>
      <c r="DJ65" s="797">
        <f t="shared" si="44"/>
        <v>5007.6580000000004</v>
      </c>
      <c r="DK65" s="621"/>
      <c r="DL65" s="618">
        <f t="shared" si="29"/>
        <v>0</v>
      </c>
      <c r="DM65" s="618">
        <f t="shared" si="30"/>
        <v>0</v>
      </c>
      <c r="DN65" s="618">
        <f t="shared" si="31"/>
        <v>0</v>
      </c>
      <c r="DO65" s="121"/>
    </row>
    <row r="66" spans="1:121" customFormat="1" ht="100.5" customHeight="1">
      <c r="A66" s="20">
        <f t="shared" si="45"/>
        <v>53</v>
      </c>
      <c r="B66" s="1281"/>
      <c r="C66" s="757" t="s">
        <v>104</v>
      </c>
      <c r="D66" s="967" t="s">
        <v>141</v>
      </c>
      <c r="E66" s="617">
        <v>4632024035</v>
      </c>
      <c r="F66" s="1280" t="s">
        <v>8</v>
      </c>
      <c r="G66" s="1245" t="s">
        <v>956</v>
      </c>
      <c r="H66" s="866">
        <v>3299.1600000000003</v>
      </c>
      <c r="I66" s="825">
        <v>3299.1600000000003</v>
      </c>
      <c r="J66" s="756"/>
      <c r="K66" s="756"/>
      <c r="L66" s="872">
        <v>3299.1600000000003</v>
      </c>
      <c r="M66" s="867"/>
      <c r="N66" s="1207">
        <f t="shared" si="81"/>
        <v>3314.9639999999995</v>
      </c>
      <c r="O66" s="1208">
        <f t="shared" si="82"/>
        <v>3314.9639999999995</v>
      </c>
      <c r="P66" s="963"/>
      <c r="Q66" s="963"/>
      <c r="R66" s="1208">
        <f t="shared" si="83"/>
        <v>3314.9639999999995</v>
      </c>
      <c r="S66" s="910"/>
      <c r="T66" s="973">
        <v>115.01284091659336</v>
      </c>
      <c r="U66" s="825"/>
      <c r="V66" s="1002"/>
      <c r="W66" s="825"/>
      <c r="X66" s="825"/>
      <c r="Y66" s="825"/>
      <c r="Z66" s="978">
        <f t="shared" si="50"/>
        <v>115.01284091659336</v>
      </c>
      <c r="AA66" s="975">
        <v>66.786151951095135</v>
      </c>
      <c r="AB66" s="16"/>
      <c r="AC66" s="227"/>
      <c r="AD66" s="16"/>
      <c r="AE66" s="16"/>
      <c r="AF66" s="16"/>
      <c r="AG66" s="926">
        <f t="shared" si="51"/>
        <v>66.786151951095135</v>
      </c>
      <c r="AH66" s="894">
        <f t="shared" si="52"/>
        <v>181.7989928676885</v>
      </c>
      <c r="AI66" s="15">
        <f t="shared" si="70"/>
        <v>181.7989928676885</v>
      </c>
      <c r="AJ66" s="15">
        <f t="shared" si="70"/>
        <v>0</v>
      </c>
      <c r="AK66" s="15">
        <f t="shared" si="70"/>
        <v>0</v>
      </c>
      <c r="AL66" s="15">
        <f t="shared" si="70"/>
        <v>0</v>
      </c>
      <c r="AM66" s="15">
        <f t="shared" si="70"/>
        <v>0</v>
      </c>
      <c r="AN66" s="15"/>
      <c r="AO66" s="15">
        <f t="shared" si="67"/>
        <v>181.7989928676885</v>
      </c>
      <c r="AP66" s="15">
        <f t="shared" si="68"/>
        <v>181.7989928676885</v>
      </c>
      <c r="AQ66" s="15">
        <f t="shared" si="69"/>
        <v>181.7989928676885</v>
      </c>
      <c r="AR66" s="127">
        <f t="shared" si="32"/>
        <v>0</v>
      </c>
      <c r="AS66" s="112">
        <f t="shared" si="79"/>
        <v>599783.96530936321</v>
      </c>
      <c r="AT66" s="112">
        <f t="shared" si="79"/>
        <v>0</v>
      </c>
      <c r="AU66" s="112">
        <f t="shared" si="79"/>
        <v>0</v>
      </c>
      <c r="AV66" s="112">
        <f t="shared" si="79"/>
        <v>0</v>
      </c>
      <c r="AW66" s="112">
        <f t="shared" si="79"/>
        <v>0</v>
      </c>
      <c r="AX66" s="112">
        <f t="shared" si="46"/>
        <v>599783.96530936321</v>
      </c>
      <c r="AY66" s="112">
        <f t="shared" si="47"/>
        <v>599783.96530936321</v>
      </c>
      <c r="AZ66" s="112">
        <f t="shared" si="80"/>
        <v>602657.11659264402</v>
      </c>
      <c r="BA66" s="112">
        <f t="shared" si="80"/>
        <v>0</v>
      </c>
      <c r="BB66" s="112">
        <f t="shared" si="80"/>
        <v>0</v>
      </c>
      <c r="BC66" s="112">
        <f t="shared" si="80"/>
        <v>0</v>
      </c>
      <c r="BD66" s="112">
        <f t="shared" si="80"/>
        <v>0</v>
      </c>
      <c r="BE66" s="112">
        <f t="shared" si="48"/>
        <v>602657.11659264402</v>
      </c>
      <c r="BF66" s="112">
        <f t="shared" si="49"/>
        <v>602657.11659264402</v>
      </c>
      <c r="BG66" s="126"/>
      <c r="BH66" s="126"/>
      <c r="BI66" s="112">
        <f t="shared" si="5"/>
        <v>0</v>
      </c>
      <c r="BJ66" s="112"/>
      <c r="BK66" s="112"/>
      <c r="BL66" s="112">
        <f t="shared" si="77"/>
        <v>379445.76423838822</v>
      </c>
      <c r="BM66" s="112">
        <f t="shared" si="77"/>
        <v>0</v>
      </c>
      <c r="BN66" s="112">
        <f t="shared" si="77"/>
        <v>0</v>
      </c>
      <c r="BO66" s="112">
        <f t="shared" si="77"/>
        <v>0</v>
      </c>
      <c r="BP66" s="112">
        <f t="shared" si="77"/>
        <v>0</v>
      </c>
      <c r="BQ66" s="112">
        <f t="shared" si="54"/>
        <v>379445.76423838822</v>
      </c>
      <c r="BR66" s="112">
        <f t="shared" si="55"/>
        <v>379445.76423838822</v>
      </c>
      <c r="BS66" s="112">
        <f t="shared" si="78"/>
        <v>221393.68941641011</v>
      </c>
      <c r="BT66" s="112">
        <f t="shared" si="78"/>
        <v>0</v>
      </c>
      <c r="BU66" s="112">
        <f t="shared" si="78"/>
        <v>0</v>
      </c>
      <c r="BV66" s="112">
        <f t="shared" si="57"/>
        <v>0</v>
      </c>
      <c r="BW66" s="112">
        <f t="shared" si="14"/>
        <v>0</v>
      </c>
      <c r="BX66" s="112">
        <f t="shared" si="58"/>
        <v>221393.68941641011</v>
      </c>
      <c r="BY66" s="112">
        <f t="shared" si="59"/>
        <v>221393.68941641011</v>
      </c>
      <c r="BZ66" s="113">
        <f t="shared" si="60"/>
        <v>0</v>
      </c>
      <c r="CA66" s="113">
        <f t="shared" si="60"/>
        <v>0</v>
      </c>
      <c r="CB66" s="113">
        <f t="shared" si="61"/>
        <v>0</v>
      </c>
      <c r="CC66" s="119" t="e">
        <f t="shared" si="62"/>
        <v>#DIV/0!</v>
      </c>
      <c r="CD66" s="119" t="e">
        <f t="shared" si="62"/>
        <v>#DIV/0!</v>
      </c>
      <c r="CE66" s="119" t="e">
        <f t="shared" si="35"/>
        <v>#DIV/0!</v>
      </c>
      <c r="CF66" s="113" t="e">
        <f t="shared" si="15"/>
        <v>#DIV/0!</v>
      </c>
      <c r="CG66" s="619">
        <f t="shared" si="16"/>
        <v>0</v>
      </c>
      <c r="CH66" s="132" t="e">
        <f t="shared" si="36"/>
        <v>#DIV/0!</v>
      </c>
      <c r="CI66" s="625"/>
      <c r="CJ66" s="208">
        <f t="shared" si="37"/>
        <v>381.26342717623396</v>
      </c>
      <c r="CK66" s="208">
        <f t="shared" si="17"/>
        <v>221.3936894164101</v>
      </c>
      <c r="CL66" s="208">
        <f t="shared" si="38"/>
        <v>602.65711659264412</v>
      </c>
      <c r="CM66" s="18">
        <f t="shared" si="39"/>
        <v>602.657116592644</v>
      </c>
      <c r="CN66" s="18">
        <f t="shared" si="40"/>
        <v>0</v>
      </c>
      <c r="CO66" s="112">
        <f t="shared" si="18"/>
        <v>600839.45365479833</v>
      </c>
      <c r="CP66" s="112">
        <f t="shared" si="19"/>
        <v>599783.96530936321</v>
      </c>
      <c r="CQ66" s="112">
        <f t="shared" si="20"/>
        <v>599783.96530936321</v>
      </c>
      <c r="CR66" s="112">
        <f t="shared" si="21"/>
        <v>379445.76423838822</v>
      </c>
      <c r="CS66" s="112">
        <f t="shared" si="22"/>
        <v>602657.11659264402</v>
      </c>
      <c r="CT66" s="112">
        <f t="shared" si="23"/>
        <v>602657.11659264402</v>
      </c>
      <c r="CU66" s="112">
        <f t="shared" si="24"/>
        <v>221393.68941641011</v>
      </c>
      <c r="CV66" s="112">
        <f t="shared" si="41"/>
        <v>1202441.0819020071</v>
      </c>
      <c r="CW66" s="843">
        <f t="shared" si="42"/>
        <v>6614.1239999999989</v>
      </c>
      <c r="CX66" s="112">
        <f t="shared" si="25"/>
        <v>0</v>
      </c>
      <c r="CY66" s="112">
        <f t="shared" si="26"/>
        <v>0</v>
      </c>
      <c r="CZ66" s="112"/>
      <c r="DA66" s="112">
        <f t="shared" si="27"/>
        <v>599783.96530936321</v>
      </c>
      <c r="DB66" s="112">
        <f t="shared" si="28"/>
        <v>602657.11659264402</v>
      </c>
      <c r="DC66" s="625"/>
      <c r="DD66" s="128" t="e">
        <f t="shared" si="43"/>
        <v>#DIV/0!</v>
      </c>
      <c r="DE66" s="625"/>
      <c r="DF66" s="625"/>
      <c r="DG66" s="625"/>
      <c r="DH66" s="797">
        <v>187.56399999999999</v>
      </c>
      <c r="DI66" s="797">
        <v>0</v>
      </c>
      <c r="DJ66" s="797">
        <f t="shared" si="44"/>
        <v>187.56399999999999</v>
      </c>
      <c r="DK66" s="625"/>
      <c r="DL66" s="618">
        <f t="shared" si="29"/>
        <v>0</v>
      </c>
      <c r="DM66" s="618">
        <f t="shared" si="30"/>
        <v>0</v>
      </c>
      <c r="DN66" s="618">
        <f t="shared" si="31"/>
        <v>0</v>
      </c>
      <c r="DO66" s="123"/>
    </row>
    <row r="67" spans="1:121" customFormat="1" ht="100.5" customHeight="1">
      <c r="A67" s="20">
        <f t="shared" si="45"/>
        <v>54</v>
      </c>
      <c r="B67" s="1279"/>
      <c r="C67" s="757" t="s">
        <v>974</v>
      </c>
      <c r="D67" s="967" t="s">
        <v>141</v>
      </c>
      <c r="E67" s="617">
        <v>4632024035</v>
      </c>
      <c r="F67" s="1280" t="s">
        <v>8</v>
      </c>
      <c r="G67" s="1245" t="s">
        <v>956</v>
      </c>
      <c r="H67" s="866">
        <v>3299.1600000000003</v>
      </c>
      <c r="I67" s="825">
        <v>3299.1600000000003</v>
      </c>
      <c r="J67" s="756"/>
      <c r="K67" s="756"/>
      <c r="L67" s="872">
        <v>3299.1600000000003</v>
      </c>
      <c r="M67" s="867"/>
      <c r="N67" s="1207">
        <f t="shared" si="81"/>
        <v>3314.9639999999995</v>
      </c>
      <c r="O67" s="1208">
        <f t="shared" si="82"/>
        <v>3314.9639999999995</v>
      </c>
      <c r="P67" s="963"/>
      <c r="Q67" s="963"/>
      <c r="R67" s="1208">
        <f t="shared" si="83"/>
        <v>3314.9639999999995</v>
      </c>
      <c r="S67" s="910"/>
      <c r="T67" s="933">
        <v>0</v>
      </c>
      <c r="U67" s="16"/>
      <c r="V67" s="227"/>
      <c r="W67" s="16"/>
      <c r="X67" s="16"/>
      <c r="Y67" s="16"/>
      <c r="Z67" s="926">
        <f t="shared" si="50"/>
        <v>0</v>
      </c>
      <c r="AA67" s="898">
        <v>0</v>
      </c>
      <c r="AB67" s="16"/>
      <c r="AC67" s="227"/>
      <c r="AD67" s="16"/>
      <c r="AE67" s="16"/>
      <c r="AF67" s="16"/>
      <c r="AG67" s="926">
        <f t="shared" si="51"/>
        <v>0</v>
      </c>
      <c r="AH67" s="894">
        <f t="shared" si="52"/>
        <v>0</v>
      </c>
      <c r="AI67" s="15">
        <f t="shared" si="70"/>
        <v>0</v>
      </c>
      <c r="AJ67" s="15">
        <f t="shared" si="70"/>
        <v>0</v>
      </c>
      <c r="AK67" s="15">
        <f t="shared" si="70"/>
        <v>0</v>
      </c>
      <c r="AL67" s="15">
        <f t="shared" si="70"/>
        <v>0</v>
      </c>
      <c r="AM67" s="15">
        <f t="shared" si="70"/>
        <v>0</v>
      </c>
      <c r="AN67" s="15"/>
      <c r="AO67" s="15">
        <f t="shared" si="67"/>
        <v>0</v>
      </c>
      <c r="AP67" s="15">
        <f t="shared" si="68"/>
        <v>0</v>
      </c>
      <c r="AQ67" s="15">
        <f t="shared" si="69"/>
        <v>0</v>
      </c>
      <c r="AR67" s="127">
        <f t="shared" si="32"/>
        <v>0</v>
      </c>
      <c r="AS67" s="112">
        <f t="shared" si="79"/>
        <v>0</v>
      </c>
      <c r="AT67" s="112">
        <f t="shared" si="79"/>
        <v>0</v>
      </c>
      <c r="AU67" s="112">
        <f t="shared" si="79"/>
        <v>0</v>
      </c>
      <c r="AV67" s="112">
        <f t="shared" si="79"/>
        <v>0</v>
      </c>
      <c r="AW67" s="112">
        <f t="shared" si="79"/>
        <v>0</v>
      </c>
      <c r="AX67" s="112">
        <f t="shared" si="46"/>
        <v>0</v>
      </c>
      <c r="AY67" s="112">
        <f t="shared" si="47"/>
        <v>0</v>
      </c>
      <c r="AZ67" s="112">
        <f t="shared" si="80"/>
        <v>0</v>
      </c>
      <c r="BA67" s="112">
        <f t="shared" si="80"/>
        <v>0</v>
      </c>
      <c r="BB67" s="112">
        <f t="shared" si="80"/>
        <v>0</v>
      </c>
      <c r="BC67" s="112">
        <f t="shared" si="80"/>
        <v>0</v>
      </c>
      <c r="BD67" s="112">
        <f t="shared" si="80"/>
        <v>0</v>
      </c>
      <c r="BE67" s="112">
        <f t="shared" si="48"/>
        <v>0</v>
      </c>
      <c r="BF67" s="112">
        <f t="shared" si="49"/>
        <v>0</v>
      </c>
      <c r="BG67" s="126"/>
      <c r="BH67" s="126"/>
      <c r="BI67" s="112">
        <f t="shared" si="5"/>
        <v>0</v>
      </c>
      <c r="BJ67" s="112"/>
      <c r="BK67" s="112"/>
      <c r="BL67" s="112">
        <f t="shared" si="77"/>
        <v>0</v>
      </c>
      <c r="BM67" s="112">
        <f t="shared" si="77"/>
        <v>0</v>
      </c>
      <c r="BN67" s="112">
        <f t="shared" si="77"/>
        <v>0</v>
      </c>
      <c r="BO67" s="112">
        <f t="shared" si="77"/>
        <v>0</v>
      </c>
      <c r="BP67" s="112">
        <f t="shared" si="77"/>
        <v>0</v>
      </c>
      <c r="BQ67" s="112">
        <f t="shared" si="54"/>
        <v>0</v>
      </c>
      <c r="BR67" s="112">
        <f t="shared" si="55"/>
        <v>0</v>
      </c>
      <c r="BS67" s="112">
        <f t="shared" si="78"/>
        <v>0</v>
      </c>
      <c r="BT67" s="112">
        <f t="shared" si="78"/>
        <v>0</v>
      </c>
      <c r="BU67" s="112">
        <f t="shared" si="78"/>
        <v>0</v>
      </c>
      <c r="BV67" s="112">
        <f t="shared" si="57"/>
        <v>0</v>
      </c>
      <c r="BW67" s="112">
        <f t="shared" si="14"/>
        <v>0</v>
      </c>
      <c r="BX67" s="112">
        <f t="shared" si="58"/>
        <v>0</v>
      </c>
      <c r="BY67" s="112">
        <f t="shared" si="59"/>
        <v>0</v>
      </c>
      <c r="BZ67" s="113">
        <f t="shared" si="60"/>
        <v>0</v>
      </c>
      <c r="CA67" s="113">
        <f t="shared" si="60"/>
        <v>0</v>
      </c>
      <c r="CB67" s="113">
        <f t="shared" si="61"/>
        <v>0</v>
      </c>
      <c r="CC67" s="119" t="e">
        <f t="shared" si="62"/>
        <v>#DIV/0!</v>
      </c>
      <c r="CD67" s="119" t="e">
        <f t="shared" si="62"/>
        <v>#DIV/0!</v>
      </c>
      <c r="CE67" s="119" t="e">
        <f t="shared" si="35"/>
        <v>#DIV/0!</v>
      </c>
      <c r="CF67" s="113" t="e">
        <f t="shared" si="15"/>
        <v>#DIV/0!</v>
      </c>
      <c r="CG67" s="619">
        <f t="shared" si="16"/>
        <v>0</v>
      </c>
      <c r="CH67" s="132" t="e">
        <f t="shared" si="36"/>
        <v>#DIV/0!</v>
      </c>
      <c r="CI67" s="625"/>
      <c r="CJ67" s="208">
        <f t="shared" si="37"/>
        <v>0</v>
      </c>
      <c r="CK67" s="208">
        <f t="shared" si="17"/>
        <v>0</v>
      </c>
      <c r="CL67" s="208">
        <f>CJ67+CK67</f>
        <v>0</v>
      </c>
      <c r="CM67" s="18">
        <f t="shared" si="39"/>
        <v>0</v>
      </c>
      <c r="CN67" s="18">
        <f t="shared" si="40"/>
        <v>0</v>
      </c>
      <c r="CO67" s="112">
        <f t="shared" si="18"/>
        <v>0</v>
      </c>
      <c r="CP67" s="112">
        <f t="shared" si="19"/>
        <v>0</v>
      </c>
      <c r="CQ67" s="112">
        <f t="shared" si="20"/>
        <v>0</v>
      </c>
      <c r="CR67" s="112">
        <f t="shared" si="21"/>
        <v>0</v>
      </c>
      <c r="CS67" s="112">
        <f t="shared" si="22"/>
        <v>0</v>
      </c>
      <c r="CT67" s="112">
        <f t="shared" si="23"/>
        <v>0</v>
      </c>
      <c r="CU67" s="112">
        <f t="shared" si="24"/>
        <v>0</v>
      </c>
      <c r="CV67" s="112">
        <f t="shared" si="41"/>
        <v>0</v>
      </c>
      <c r="CW67" s="843" t="e">
        <f t="shared" si="42"/>
        <v>#DIV/0!</v>
      </c>
      <c r="CX67" s="112">
        <f t="shared" si="25"/>
        <v>0</v>
      </c>
      <c r="CY67" s="112">
        <f t="shared" si="26"/>
        <v>0</v>
      </c>
      <c r="CZ67" s="112"/>
      <c r="DA67" s="112">
        <f t="shared" si="27"/>
        <v>0</v>
      </c>
      <c r="DB67" s="112">
        <f t="shared" si="28"/>
        <v>0</v>
      </c>
      <c r="DC67" s="625"/>
      <c r="DD67" s="128" t="e">
        <f t="shared" si="43"/>
        <v>#DIV/0!</v>
      </c>
      <c r="DE67" s="625"/>
      <c r="DF67" s="625"/>
      <c r="DG67" s="625"/>
      <c r="DH67" s="797">
        <v>687.88799999999992</v>
      </c>
      <c r="DI67" s="797">
        <v>0</v>
      </c>
      <c r="DJ67" s="797">
        <f t="shared" si="44"/>
        <v>687.88799999999992</v>
      </c>
      <c r="DK67" s="625"/>
      <c r="DL67" s="618">
        <f t="shared" si="29"/>
        <v>0</v>
      </c>
      <c r="DM67" s="618">
        <f t="shared" si="30"/>
        <v>0</v>
      </c>
      <c r="DN67" s="618">
        <f t="shared" si="31"/>
        <v>0</v>
      </c>
      <c r="DO67" s="123"/>
    </row>
    <row r="68" spans="1:121" customFormat="1" ht="100.5" customHeight="1">
      <c r="A68" s="695">
        <f t="shared" si="45"/>
        <v>55</v>
      </c>
      <c r="B68" s="1278" t="s">
        <v>23</v>
      </c>
      <c r="C68" s="705" t="s">
        <v>68</v>
      </c>
      <c r="D68" s="1295" t="s">
        <v>24</v>
      </c>
      <c r="E68" s="746">
        <v>4616008283</v>
      </c>
      <c r="F68" s="696" t="s">
        <v>8</v>
      </c>
      <c r="G68" s="1253" t="s">
        <v>961</v>
      </c>
      <c r="H68" s="870">
        <v>3133.05</v>
      </c>
      <c r="I68" s="827">
        <v>3133.05</v>
      </c>
      <c r="J68" s="827">
        <v>2813.32</v>
      </c>
      <c r="K68" s="827">
        <v>2813.32</v>
      </c>
      <c r="L68" s="827">
        <v>3133.05</v>
      </c>
      <c r="M68" s="878">
        <v>0</v>
      </c>
      <c r="N68" s="854">
        <v>3478.3346220056919</v>
      </c>
      <c r="O68" s="714">
        <v>3478.3346220056919</v>
      </c>
      <c r="P68" s="714">
        <v>3122.7852000000003</v>
      </c>
      <c r="Q68" s="714">
        <v>3122.7852000000003</v>
      </c>
      <c r="R68" s="714">
        <v>3478.3346220056919</v>
      </c>
      <c r="S68" s="912"/>
      <c r="T68" s="938">
        <v>4222.33</v>
      </c>
      <c r="U68" s="747">
        <v>1260.886</v>
      </c>
      <c r="V68" s="18">
        <v>39.804000000000002</v>
      </c>
      <c r="W68" s="18">
        <v>375.74</v>
      </c>
      <c r="X68" s="18">
        <v>0</v>
      </c>
      <c r="Y68" s="18">
        <v>0</v>
      </c>
      <c r="Z68" s="942">
        <f>SUM(T68:W68)</f>
        <v>5898.76</v>
      </c>
      <c r="AA68" s="901">
        <v>2490.3200000000002</v>
      </c>
      <c r="AB68" s="747">
        <v>901.81399999999996</v>
      </c>
      <c r="AC68" s="18">
        <v>26.536000000000001</v>
      </c>
      <c r="AD68" s="18">
        <v>112.84</v>
      </c>
      <c r="AE68" s="18">
        <v>0</v>
      </c>
      <c r="AF68" s="18">
        <v>0</v>
      </c>
      <c r="AG68" s="934">
        <f>SUM(AA68:AD68)</f>
        <v>3531.51</v>
      </c>
      <c r="AH68" s="953">
        <f>Z68+AG68</f>
        <v>9430.27</v>
      </c>
      <c r="AI68" s="747">
        <f>T68+AA68</f>
        <v>6712.65</v>
      </c>
      <c r="AJ68" s="747">
        <f>U68+AB68</f>
        <v>2162.6999999999998</v>
      </c>
      <c r="AK68" s="18">
        <f>V68+AC68</f>
        <v>66.34</v>
      </c>
      <c r="AL68" s="18">
        <f>W68+AD68</f>
        <v>488.58000000000004</v>
      </c>
      <c r="AM68" s="18">
        <f t="shared" si="70"/>
        <v>0</v>
      </c>
      <c r="AN68" s="18"/>
      <c r="AO68" s="747">
        <f>SUM(AI68:AN68)</f>
        <v>9430.2699999999986</v>
      </c>
      <c r="AP68" s="747">
        <f>SUM(AI68:AM68)</f>
        <v>9430.2699999999986</v>
      </c>
      <c r="AQ68" s="747">
        <f>SUM(AI68:AL68)</f>
        <v>9430.2699999999986</v>
      </c>
      <c r="AR68" s="99">
        <f t="shared" si="32"/>
        <v>0</v>
      </c>
      <c r="AS68" s="18">
        <f t="shared" si="79"/>
        <v>21031068.0825</v>
      </c>
      <c r="AT68" s="18">
        <f t="shared" si="79"/>
        <v>6084367.1639999999</v>
      </c>
      <c r="AU68" s="18">
        <f t="shared" si="79"/>
        <v>186635.64880000002</v>
      </c>
      <c r="AV68" s="18">
        <f t="shared" si="79"/>
        <v>1530745.5690000001</v>
      </c>
      <c r="AW68" s="18">
        <f t="shared" si="79"/>
        <v>0</v>
      </c>
      <c r="AX68" s="18">
        <f t="shared" si="46"/>
        <v>28832816.464299999</v>
      </c>
      <c r="AY68" s="18">
        <f t="shared" si="47"/>
        <v>28832816.464299999</v>
      </c>
      <c r="AZ68" s="18">
        <f t="shared" si="80"/>
        <v>23348842.900406506</v>
      </c>
      <c r="BA68" s="18">
        <f t="shared" si="80"/>
        <v>6753647.5520400004</v>
      </c>
      <c r="BB68" s="18">
        <f t="shared" si="80"/>
        <v>207165.57016800003</v>
      </c>
      <c r="BC68" s="18">
        <f t="shared" si="80"/>
        <v>1699444.7296195412</v>
      </c>
      <c r="BD68" s="18">
        <f t="shared" si="80"/>
        <v>0</v>
      </c>
      <c r="BE68" s="18">
        <f t="shared" si="48"/>
        <v>32009100.752234045</v>
      </c>
      <c r="BF68" s="18">
        <f t="shared" si="49"/>
        <v>32009100.752234045</v>
      </c>
      <c r="BG68" s="18">
        <v>462.46</v>
      </c>
      <c r="BH68" s="18">
        <v>330.07</v>
      </c>
      <c r="BI68" s="18">
        <f>BG68+BH68</f>
        <v>792.53</v>
      </c>
      <c r="BJ68" s="29">
        <v>32129.286365419961</v>
      </c>
      <c r="BK68" s="18">
        <v>33394.18</v>
      </c>
      <c r="BL68" s="18">
        <f>I68*T68</f>
        <v>13228771.0065</v>
      </c>
      <c r="BM68" s="18">
        <f>J68*U68</f>
        <v>3547275.8015200002</v>
      </c>
      <c r="BN68" s="18">
        <f>K68*V68</f>
        <v>111981.38928000002</v>
      </c>
      <c r="BO68" s="18">
        <f>L68*W68</f>
        <v>1177212.2070000002</v>
      </c>
      <c r="BP68" s="18">
        <f t="shared" si="77"/>
        <v>0</v>
      </c>
      <c r="BQ68" s="18">
        <f>BL68+BM68+BN68+BO68+BP68</f>
        <v>18065240.404299997</v>
      </c>
      <c r="BR68" s="18">
        <f>BQ68-BP68</f>
        <v>18065240.404299997</v>
      </c>
      <c r="BS68" s="18">
        <f>O68*AA68</f>
        <v>8662166.2758732159</v>
      </c>
      <c r="BT68" s="18">
        <f>P68*AB68</f>
        <v>2816171.4123527999</v>
      </c>
      <c r="BU68" s="18">
        <f>Q68*AC68</f>
        <v>82866.228067200005</v>
      </c>
      <c r="BV68" s="18">
        <f>R68*W68</f>
        <v>1306949.4508724187</v>
      </c>
      <c r="BW68" s="18">
        <f t="shared" si="14"/>
        <v>0</v>
      </c>
      <c r="BX68" s="18">
        <f>BS68+BT68+BU68+BV68+BW68</f>
        <v>12868153.367165636</v>
      </c>
      <c r="BY68" s="18">
        <f>BX68-BW68</f>
        <v>12868153.367165636</v>
      </c>
      <c r="BZ68" s="161">
        <f>BM68+BT68</f>
        <v>6363447.2138727996</v>
      </c>
      <c r="CA68" s="161">
        <f>BN68+BU68</f>
        <v>194847.61734720002</v>
      </c>
      <c r="CB68" s="161">
        <f>BZ68+CA68</f>
        <v>6558294.8312200001</v>
      </c>
      <c r="CC68" s="162">
        <f t="shared" si="62"/>
        <v>2942.3624237632589</v>
      </c>
      <c r="CD68" s="162">
        <f t="shared" si="62"/>
        <v>2937.10608</v>
      </c>
      <c r="CE68" s="162">
        <f t="shared" si="35"/>
        <v>2942.2059860836953</v>
      </c>
      <c r="CF68" s="162">
        <f t="shared" si="15"/>
        <v>2942.2059860836953</v>
      </c>
      <c r="CG68" s="651">
        <f t="shared" si="16"/>
        <v>7304238.7508389838</v>
      </c>
      <c r="CH68" s="652">
        <f t="shared" si="36"/>
        <v>3276.8540496532069</v>
      </c>
      <c r="CJ68" s="208">
        <f t="shared" si="37"/>
        <v>20517.861134902294</v>
      </c>
      <c r="CK68" s="208">
        <f t="shared" si="17"/>
        <v>12283.773500959322</v>
      </c>
      <c r="CL68" s="99">
        <f t="shared" si="38"/>
        <v>32801.634635861614</v>
      </c>
      <c r="CM68" s="18">
        <f t="shared" si="39"/>
        <v>32801.634635861614</v>
      </c>
      <c r="CN68" s="18">
        <f t="shared" si="40"/>
        <v>0</v>
      </c>
      <c r="CO68" s="18">
        <f t="shared" si="18"/>
        <v>30764883.518959325</v>
      </c>
      <c r="CP68" s="18">
        <f t="shared" si="19"/>
        <v>28832816.464299999</v>
      </c>
      <c r="CQ68" s="18">
        <f t="shared" si="20"/>
        <v>28832816.464299999</v>
      </c>
      <c r="CR68" s="18">
        <f t="shared" si="21"/>
        <v>18065240.404299997</v>
      </c>
      <c r="CS68" s="18">
        <f t="shared" si="22"/>
        <v>32009100.752234045</v>
      </c>
      <c r="CT68" s="18">
        <f t="shared" si="23"/>
        <v>32009100.752234045</v>
      </c>
      <c r="CU68" s="18">
        <f t="shared" si="24"/>
        <v>11953699.19504034</v>
      </c>
      <c r="CV68" s="18">
        <f t="shared" si="41"/>
        <v>60841917.216534048</v>
      </c>
      <c r="CW68" s="843">
        <f t="shared" si="42"/>
        <v>6451.7683180369222</v>
      </c>
      <c r="CX68" s="18">
        <f t="shared" si="25"/>
        <v>6271002.8127999995</v>
      </c>
      <c r="CY68" s="18">
        <f t="shared" si="26"/>
        <v>6960813.1222080002</v>
      </c>
      <c r="CZ68" s="18"/>
      <c r="DA68" s="18">
        <f t="shared" si="27"/>
        <v>29545507.423500001</v>
      </c>
      <c r="DB68" s="18">
        <f t="shared" si="28"/>
        <v>32801634.635861613</v>
      </c>
      <c r="DD68" s="653">
        <f t="shared" si="43"/>
        <v>123.63807252661239</v>
      </c>
      <c r="DH68" s="18">
        <v>10482.800000000001</v>
      </c>
      <c r="DI68" s="18">
        <v>2405.5800000000004</v>
      </c>
      <c r="DJ68" s="18">
        <f t="shared" si="44"/>
        <v>8077.2200000000012</v>
      </c>
      <c r="DL68" s="701">
        <f t="shared" si="29"/>
        <v>0</v>
      </c>
      <c r="DM68" s="701">
        <f t="shared" si="30"/>
        <v>0</v>
      </c>
      <c r="DN68" s="701">
        <f t="shared" si="31"/>
        <v>0</v>
      </c>
    </row>
    <row r="69" spans="1:121" customFormat="1" ht="100.5" customHeight="1">
      <c r="A69" s="20">
        <f t="shared" si="45"/>
        <v>56</v>
      </c>
      <c r="B69" s="1281"/>
      <c r="C69" s="757" t="s">
        <v>106</v>
      </c>
      <c r="D69" s="967" t="s">
        <v>141</v>
      </c>
      <c r="E69" s="617">
        <v>4632024035</v>
      </c>
      <c r="F69" s="1280" t="s">
        <v>8</v>
      </c>
      <c r="G69" s="1245" t="s">
        <v>956</v>
      </c>
      <c r="H69" s="866">
        <v>3299.1600000000003</v>
      </c>
      <c r="I69" s="825">
        <v>3299.1600000000003</v>
      </c>
      <c r="J69" s="756"/>
      <c r="K69" s="756"/>
      <c r="L69" s="872">
        <v>3299.1600000000003</v>
      </c>
      <c r="M69" s="867"/>
      <c r="N69" s="1207">
        <f>2762.47*1.2</f>
        <v>3314.9639999999995</v>
      </c>
      <c r="O69" s="1208">
        <f>N69</f>
        <v>3314.9639999999995</v>
      </c>
      <c r="P69" s="963"/>
      <c r="Q69" s="963"/>
      <c r="R69" s="1208">
        <f>O69</f>
        <v>3314.9639999999995</v>
      </c>
      <c r="S69" s="910"/>
      <c r="T69" s="973">
        <v>511.52314778937006</v>
      </c>
      <c r="U69" s="825"/>
      <c r="V69" s="1002"/>
      <c r="W69" s="825"/>
      <c r="X69" s="825"/>
      <c r="Y69" s="825"/>
      <c r="Z69" s="971">
        <f t="shared" si="50"/>
        <v>511.52314778937006</v>
      </c>
      <c r="AA69" s="975">
        <v>303.88745942637809</v>
      </c>
      <c r="AB69" s="16"/>
      <c r="AC69" s="227"/>
      <c r="AD69" s="16"/>
      <c r="AE69" s="16"/>
      <c r="AF69" s="16"/>
      <c r="AG69" s="926">
        <f t="shared" si="51"/>
        <v>303.88745942637809</v>
      </c>
      <c r="AH69" s="894">
        <f t="shared" si="52"/>
        <v>815.41060721574809</v>
      </c>
      <c r="AI69" s="15">
        <f t="shared" si="70"/>
        <v>815.41060721574809</v>
      </c>
      <c r="AJ69" s="15">
        <f t="shared" si="70"/>
        <v>0</v>
      </c>
      <c r="AK69" s="15">
        <f t="shared" si="70"/>
        <v>0</v>
      </c>
      <c r="AL69" s="15">
        <f t="shared" si="70"/>
        <v>0</v>
      </c>
      <c r="AM69" s="15">
        <f t="shared" si="70"/>
        <v>0</v>
      </c>
      <c r="AN69" s="15"/>
      <c r="AO69" s="15">
        <f t="shared" si="67"/>
        <v>815.41060721574809</v>
      </c>
      <c r="AP69" s="15">
        <f t="shared" si="68"/>
        <v>815.41060721574809</v>
      </c>
      <c r="AQ69" s="15">
        <f t="shared" si="69"/>
        <v>815.41060721574809</v>
      </c>
      <c r="AR69" s="127">
        <f t="shared" si="32"/>
        <v>0</v>
      </c>
      <c r="AS69" s="112">
        <f t="shared" si="79"/>
        <v>2690170.0589019079</v>
      </c>
      <c r="AT69" s="112">
        <f t="shared" si="79"/>
        <v>0</v>
      </c>
      <c r="AU69" s="112">
        <f t="shared" si="79"/>
        <v>0</v>
      </c>
      <c r="AV69" s="112">
        <f t="shared" si="79"/>
        <v>0</v>
      </c>
      <c r="AW69" s="112">
        <f t="shared" si="79"/>
        <v>0</v>
      </c>
      <c r="AX69" s="112">
        <f t="shared" si="46"/>
        <v>2690170.0589019079</v>
      </c>
      <c r="AY69" s="112">
        <f t="shared" si="47"/>
        <v>2690170.0589019079</v>
      </c>
      <c r="AZ69" s="112">
        <f t="shared" si="80"/>
        <v>2703056.8081383449</v>
      </c>
      <c r="BA69" s="112">
        <f t="shared" si="80"/>
        <v>0</v>
      </c>
      <c r="BB69" s="112">
        <f t="shared" si="80"/>
        <v>0</v>
      </c>
      <c r="BC69" s="112">
        <f t="shared" si="80"/>
        <v>0</v>
      </c>
      <c r="BD69" s="112">
        <f t="shared" si="80"/>
        <v>0</v>
      </c>
      <c r="BE69" s="112">
        <f t="shared" si="48"/>
        <v>2703056.8081383449</v>
      </c>
      <c r="BF69" s="112">
        <f t="shared" si="49"/>
        <v>2703056.8081383449</v>
      </c>
      <c r="BG69" s="126"/>
      <c r="BH69" s="126"/>
      <c r="BI69" s="112">
        <f t="shared" ref="BI69:BI130" si="84">BG69+BH69</f>
        <v>0</v>
      </c>
      <c r="BJ69" s="112"/>
      <c r="BK69" s="112"/>
      <c r="BL69" s="112">
        <f t="shared" si="77"/>
        <v>1687596.7082607783</v>
      </c>
      <c r="BM69" s="112">
        <f t="shared" si="77"/>
        <v>0</v>
      </c>
      <c r="BN69" s="112">
        <f t="shared" si="77"/>
        <v>0</v>
      </c>
      <c r="BO69" s="112">
        <f t="shared" si="77"/>
        <v>0</v>
      </c>
      <c r="BP69" s="112">
        <f t="shared" si="77"/>
        <v>0</v>
      </c>
      <c r="BQ69" s="112">
        <f t="shared" si="54"/>
        <v>1687596.7082607783</v>
      </c>
      <c r="BR69" s="112">
        <f t="shared" si="55"/>
        <v>1687596.7082607783</v>
      </c>
      <c r="BS69" s="112">
        <f t="shared" si="78"/>
        <v>1007375.9880499039</v>
      </c>
      <c r="BT69" s="112">
        <f t="shared" si="78"/>
        <v>0</v>
      </c>
      <c r="BU69" s="112">
        <f t="shared" si="78"/>
        <v>0</v>
      </c>
      <c r="BV69" s="112">
        <f t="shared" si="57"/>
        <v>0</v>
      </c>
      <c r="BW69" s="112">
        <f t="shared" si="14"/>
        <v>0</v>
      </c>
      <c r="BX69" s="112">
        <f t="shared" si="58"/>
        <v>1007375.9880499039</v>
      </c>
      <c r="BY69" s="112">
        <f t="shared" si="59"/>
        <v>1007375.9880499039</v>
      </c>
      <c r="BZ69" s="113">
        <f t="shared" si="60"/>
        <v>0</v>
      </c>
      <c r="CA69" s="113">
        <f t="shared" si="60"/>
        <v>0</v>
      </c>
      <c r="CB69" s="113">
        <f t="shared" si="61"/>
        <v>0</v>
      </c>
      <c r="CC69" s="119" t="e">
        <f t="shared" si="62"/>
        <v>#DIV/0!</v>
      </c>
      <c r="CD69" s="119" t="e">
        <f t="shared" si="62"/>
        <v>#DIV/0!</v>
      </c>
      <c r="CE69" s="119" t="e">
        <f t="shared" si="35"/>
        <v>#DIV/0!</v>
      </c>
      <c r="CF69" s="113" t="e">
        <f t="shared" si="15"/>
        <v>#DIV/0!</v>
      </c>
      <c r="CG69" s="619">
        <f t="shared" si="16"/>
        <v>0</v>
      </c>
      <c r="CH69" s="132" t="e">
        <f t="shared" si="36"/>
        <v>#DIV/0!</v>
      </c>
      <c r="CI69" s="625"/>
      <c r="CJ69" s="208">
        <f t="shared" si="37"/>
        <v>1695.6808200884411</v>
      </c>
      <c r="CK69" s="208">
        <f t="shared" si="17"/>
        <v>1007.3759880499039</v>
      </c>
      <c r="CL69" s="208">
        <f t="shared" si="38"/>
        <v>2703.0568081383449</v>
      </c>
      <c r="CM69" s="18">
        <f t="shared" si="39"/>
        <v>2703.0568081383449</v>
      </c>
      <c r="CN69" s="18">
        <f t="shared" si="40"/>
        <v>0</v>
      </c>
      <c r="CO69" s="112">
        <f t="shared" si="18"/>
        <v>2694972.6963106822</v>
      </c>
      <c r="CP69" s="112">
        <f t="shared" si="19"/>
        <v>2690170.0589019079</v>
      </c>
      <c r="CQ69" s="112">
        <f t="shared" si="20"/>
        <v>2690170.0589019079</v>
      </c>
      <c r="CR69" s="112">
        <f t="shared" si="21"/>
        <v>1687596.7082607783</v>
      </c>
      <c r="CS69" s="112">
        <f t="shared" si="22"/>
        <v>2703056.8081383449</v>
      </c>
      <c r="CT69" s="112">
        <f t="shared" si="23"/>
        <v>2703056.8081383449</v>
      </c>
      <c r="CU69" s="112">
        <f t="shared" si="24"/>
        <v>1007375.9880499039</v>
      </c>
      <c r="CV69" s="112">
        <f t="shared" si="41"/>
        <v>5393226.8670402523</v>
      </c>
      <c r="CW69" s="843">
        <f t="shared" si="42"/>
        <v>6614.1239999999998</v>
      </c>
      <c r="CX69" s="112">
        <f t="shared" si="25"/>
        <v>0</v>
      </c>
      <c r="CY69" s="112">
        <f t="shared" si="26"/>
        <v>0</v>
      </c>
      <c r="CZ69" s="112"/>
      <c r="DA69" s="112">
        <f t="shared" si="27"/>
        <v>2690170.0589019079</v>
      </c>
      <c r="DB69" s="112">
        <f t="shared" si="28"/>
        <v>2703056.8081383449</v>
      </c>
      <c r="DC69" s="625"/>
      <c r="DD69" s="128" t="e">
        <f t="shared" si="43"/>
        <v>#DIV/0!</v>
      </c>
      <c r="DE69" s="625"/>
      <c r="DF69" s="625"/>
      <c r="DG69" s="625"/>
      <c r="DH69" s="797">
        <v>841.26800000000003</v>
      </c>
      <c r="DI69" s="797">
        <v>0</v>
      </c>
      <c r="DJ69" s="797">
        <f t="shared" si="44"/>
        <v>841.26800000000003</v>
      </c>
      <c r="DK69" s="625"/>
      <c r="DL69" s="618">
        <f t="shared" si="29"/>
        <v>0</v>
      </c>
      <c r="DM69" s="618">
        <f t="shared" si="30"/>
        <v>0</v>
      </c>
      <c r="DN69" s="618">
        <f t="shared" si="31"/>
        <v>0</v>
      </c>
      <c r="DO69" s="123"/>
    </row>
    <row r="70" spans="1:121" customFormat="1" ht="100.5" customHeight="1">
      <c r="A70" s="20">
        <f t="shared" si="45"/>
        <v>57</v>
      </c>
      <c r="B70" s="1279"/>
      <c r="C70" s="757" t="s">
        <v>107</v>
      </c>
      <c r="D70" s="967" t="s">
        <v>141</v>
      </c>
      <c r="E70" s="617">
        <v>4632024035</v>
      </c>
      <c r="F70" s="1280" t="s">
        <v>8</v>
      </c>
      <c r="G70" s="1245" t="s">
        <v>956</v>
      </c>
      <c r="H70" s="866">
        <v>3299.1600000000003</v>
      </c>
      <c r="I70" s="825">
        <v>3299.1600000000003</v>
      </c>
      <c r="J70" s="756"/>
      <c r="K70" s="756"/>
      <c r="L70" s="872">
        <v>3299.1600000000003</v>
      </c>
      <c r="M70" s="867"/>
      <c r="N70" s="1207">
        <f>2762.47*1.2</f>
        <v>3314.9639999999995</v>
      </c>
      <c r="O70" s="1208">
        <f>N70</f>
        <v>3314.9639999999995</v>
      </c>
      <c r="P70" s="963"/>
      <c r="Q70" s="963"/>
      <c r="R70" s="1208">
        <f>O70</f>
        <v>3314.9639999999995</v>
      </c>
      <c r="S70" s="910"/>
      <c r="T70" s="973">
        <v>162.64440191712623</v>
      </c>
      <c r="U70" s="1008"/>
      <c r="V70" s="1009"/>
      <c r="W70" s="981"/>
      <c r="X70" s="981"/>
      <c r="Y70" s="981"/>
      <c r="Z70" s="971">
        <f t="shared" si="50"/>
        <v>162.64440191712623</v>
      </c>
      <c r="AA70" s="975">
        <v>94.44506336518505</v>
      </c>
      <c r="AB70" s="15"/>
      <c r="AC70" s="208"/>
      <c r="AD70" s="15"/>
      <c r="AE70" s="15"/>
      <c r="AF70" s="15"/>
      <c r="AG70" s="926">
        <f t="shared" si="51"/>
        <v>94.44506336518505</v>
      </c>
      <c r="AH70" s="894">
        <f t="shared" si="52"/>
        <v>257.08946528231127</v>
      </c>
      <c r="AI70" s="15">
        <f t="shared" si="70"/>
        <v>257.08946528231127</v>
      </c>
      <c r="AJ70" s="15">
        <f t="shared" si="70"/>
        <v>0</v>
      </c>
      <c r="AK70" s="15">
        <f t="shared" si="70"/>
        <v>0</v>
      </c>
      <c r="AL70" s="15">
        <f t="shared" si="70"/>
        <v>0</v>
      </c>
      <c r="AM70" s="15">
        <f t="shared" si="70"/>
        <v>0</v>
      </c>
      <c r="AN70" s="15"/>
      <c r="AO70" s="15">
        <f t="shared" si="67"/>
        <v>257.08946528231127</v>
      </c>
      <c r="AP70" s="15">
        <f t="shared" si="68"/>
        <v>257.08946528231127</v>
      </c>
      <c r="AQ70" s="15">
        <f t="shared" si="69"/>
        <v>257.08946528231127</v>
      </c>
      <c r="AR70" s="127">
        <f t="shared" si="32"/>
        <v>0</v>
      </c>
      <c r="AS70" s="112">
        <f t="shared" si="79"/>
        <v>848179.28028079018</v>
      </c>
      <c r="AT70" s="112">
        <f t="shared" si="79"/>
        <v>0</v>
      </c>
      <c r="AU70" s="112">
        <f t="shared" si="79"/>
        <v>0</v>
      </c>
      <c r="AV70" s="112">
        <f t="shared" si="79"/>
        <v>0</v>
      </c>
      <c r="AW70" s="112">
        <f t="shared" si="79"/>
        <v>0</v>
      </c>
      <c r="AX70" s="112">
        <f t="shared" si="46"/>
        <v>848179.28028079018</v>
      </c>
      <c r="AY70" s="112">
        <f t="shared" si="47"/>
        <v>848179.28028079018</v>
      </c>
      <c r="AZ70" s="112">
        <f t="shared" si="80"/>
        <v>852242.3221901115</v>
      </c>
      <c r="BA70" s="112">
        <f t="shared" si="80"/>
        <v>0</v>
      </c>
      <c r="BB70" s="112">
        <f t="shared" si="80"/>
        <v>0</v>
      </c>
      <c r="BC70" s="112">
        <f t="shared" si="80"/>
        <v>0</v>
      </c>
      <c r="BD70" s="112">
        <f t="shared" si="80"/>
        <v>0</v>
      </c>
      <c r="BE70" s="112">
        <f t="shared" si="48"/>
        <v>852242.3221901115</v>
      </c>
      <c r="BF70" s="112">
        <f t="shared" si="49"/>
        <v>852242.3221901115</v>
      </c>
      <c r="BG70" s="112"/>
      <c r="BH70" s="112"/>
      <c r="BI70" s="112">
        <f t="shared" si="84"/>
        <v>0</v>
      </c>
      <c r="BJ70" s="112"/>
      <c r="BK70" s="112"/>
      <c r="BL70" s="112">
        <f t="shared" si="77"/>
        <v>536589.90502890619</v>
      </c>
      <c r="BM70" s="112">
        <f t="shared" si="77"/>
        <v>0</v>
      </c>
      <c r="BN70" s="112">
        <f t="shared" si="77"/>
        <v>0</v>
      </c>
      <c r="BO70" s="112">
        <f t="shared" si="77"/>
        <v>0</v>
      </c>
      <c r="BP70" s="112">
        <f t="shared" si="77"/>
        <v>0</v>
      </c>
      <c r="BQ70" s="112">
        <f t="shared" si="54"/>
        <v>536589.90502890619</v>
      </c>
      <c r="BR70" s="112">
        <f t="shared" si="55"/>
        <v>536589.90502890619</v>
      </c>
      <c r="BS70" s="112">
        <f t="shared" si="78"/>
        <v>313081.98503330722</v>
      </c>
      <c r="BT70" s="112">
        <f t="shared" si="78"/>
        <v>0</v>
      </c>
      <c r="BU70" s="112">
        <f t="shared" si="78"/>
        <v>0</v>
      </c>
      <c r="BV70" s="112">
        <f t="shared" si="57"/>
        <v>0</v>
      </c>
      <c r="BW70" s="112">
        <f t="shared" si="14"/>
        <v>0</v>
      </c>
      <c r="BX70" s="112">
        <f t="shared" si="58"/>
        <v>313081.98503330722</v>
      </c>
      <c r="BY70" s="112">
        <f t="shared" si="59"/>
        <v>313081.98503330722</v>
      </c>
      <c r="BZ70" s="113">
        <f t="shared" si="60"/>
        <v>0</v>
      </c>
      <c r="CA70" s="113">
        <f t="shared" si="60"/>
        <v>0</v>
      </c>
      <c r="CB70" s="113">
        <f t="shared" si="61"/>
        <v>0</v>
      </c>
      <c r="CC70" s="119" t="e">
        <f t="shared" si="62"/>
        <v>#DIV/0!</v>
      </c>
      <c r="CD70" s="119" t="e">
        <f t="shared" si="62"/>
        <v>#DIV/0!</v>
      </c>
      <c r="CE70" s="119" t="e">
        <f t="shared" si="35"/>
        <v>#DIV/0!</v>
      </c>
      <c r="CF70" s="113" t="e">
        <f t="shared" si="15"/>
        <v>#DIV/0!</v>
      </c>
      <c r="CG70" s="619">
        <f t="shared" si="16"/>
        <v>0</v>
      </c>
      <c r="CH70" s="132" t="e">
        <f t="shared" si="36"/>
        <v>#DIV/0!</v>
      </c>
      <c r="CI70" s="106"/>
      <c r="CJ70" s="208">
        <f t="shared" si="37"/>
        <v>539.16033715680442</v>
      </c>
      <c r="CK70" s="208">
        <f t="shared" si="17"/>
        <v>313.08198503330721</v>
      </c>
      <c r="CL70" s="208">
        <f t="shared" si="38"/>
        <v>852.24232219011162</v>
      </c>
      <c r="CM70" s="18">
        <f t="shared" si="39"/>
        <v>852.24232219011151</v>
      </c>
      <c r="CN70" s="18">
        <f t="shared" si="40"/>
        <v>0</v>
      </c>
      <c r="CO70" s="112">
        <f t="shared" si="18"/>
        <v>849671.89006221341</v>
      </c>
      <c r="CP70" s="112">
        <f t="shared" si="19"/>
        <v>848179.28028079018</v>
      </c>
      <c r="CQ70" s="112">
        <f t="shared" si="20"/>
        <v>848179.28028079018</v>
      </c>
      <c r="CR70" s="112">
        <f t="shared" si="21"/>
        <v>536589.90502890619</v>
      </c>
      <c r="CS70" s="112">
        <f t="shared" si="22"/>
        <v>852242.3221901115</v>
      </c>
      <c r="CT70" s="112">
        <f t="shared" si="23"/>
        <v>852242.3221901115</v>
      </c>
      <c r="CU70" s="112">
        <f t="shared" si="24"/>
        <v>313081.98503330722</v>
      </c>
      <c r="CV70" s="112">
        <f t="shared" si="41"/>
        <v>1700421.6024709018</v>
      </c>
      <c r="CW70" s="843">
        <f t="shared" si="42"/>
        <v>6614.1240000000007</v>
      </c>
      <c r="CX70" s="112">
        <f t="shared" si="25"/>
        <v>0</v>
      </c>
      <c r="CY70" s="112">
        <f t="shared" si="26"/>
        <v>0</v>
      </c>
      <c r="CZ70" s="112"/>
      <c r="DA70" s="112">
        <f t="shared" si="27"/>
        <v>848179.28028079018</v>
      </c>
      <c r="DB70" s="112">
        <f t="shared" si="28"/>
        <v>852242.3221901115</v>
      </c>
      <c r="DC70" s="106"/>
      <c r="DD70" s="128" t="e">
        <f t="shared" si="43"/>
        <v>#DIV/0!</v>
      </c>
      <c r="DE70" s="106"/>
      <c r="DF70" s="106"/>
      <c r="DG70" s="106"/>
      <c r="DH70" s="797">
        <v>265.24200000000002</v>
      </c>
      <c r="DI70" s="797">
        <v>0</v>
      </c>
      <c r="DJ70" s="797">
        <f t="shared" si="44"/>
        <v>265.24200000000002</v>
      </c>
      <c r="DK70" s="106"/>
      <c r="DL70" s="618">
        <f t="shared" si="29"/>
        <v>0</v>
      </c>
      <c r="DM70" s="618">
        <f t="shared" si="30"/>
        <v>0</v>
      </c>
      <c r="DN70" s="618">
        <f t="shared" si="31"/>
        <v>0</v>
      </c>
      <c r="DO70" s="115"/>
    </row>
    <row r="71" spans="1:121" customFormat="1" ht="100.5" customHeight="1">
      <c r="A71" s="20">
        <f t="shared" si="45"/>
        <v>58</v>
      </c>
      <c r="B71" s="1286" t="s">
        <v>25</v>
      </c>
      <c r="C71" s="1278" t="s">
        <v>108</v>
      </c>
      <c r="D71" s="696" t="s">
        <v>26</v>
      </c>
      <c r="E71" s="761">
        <v>4617004147</v>
      </c>
      <c r="F71" s="696" t="s">
        <v>8</v>
      </c>
      <c r="G71" s="849" t="s">
        <v>952</v>
      </c>
      <c r="H71" s="868">
        <v>2555.4899999999998</v>
      </c>
      <c r="I71" s="756">
        <v>2555.4899999999998</v>
      </c>
      <c r="J71" s="826">
        <v>2555.4899999999998</v>
      </c>
      <c r="K71" s="826"/>
      <c r="L71" s="826"/>
      <c r="M71" s="869"/>
      <c r="N71" s="853">
        <v>2706.4706688038673</v>
      </c>
      <c r="O71" s="10">
        <v>2706.4706688038673</v>
      </c>
      <c r="P71" s="36">
        <v>2706.4706688038673</v>
      </c>
      <c r="Q71" s="36"/>
      <c r="R71" s="36"/>
      <c r="S71" s="911"/>
      <c r="T71" s="943">
        <v>1742.6670000000001</v>
      </c>
      <c r="U71" s="173">
        <v>537.31299999999999</v>
      </c>
      <c r="V71" s="224">
        <v>0</v>
      </c>
      <c r="W71" s="173">
        <v>0</v>
      </c>
      <c r="X71" s="173">
        <v>0</v>
      </c>
      <c r="Y71" s="173">
        <v>0</v>
      </c>
      <c r="Z71" s="926">
        <f t="shared" si="50"/>
        <v>2279.98</v>
      </c>
      <c r="AA71" s="904">
        <v>1183.9153333333331</v>
      </c>
      <c r="AB71" s="173">
        <v>398.15899999999993</v>
      </c>
      <c r="AC71" s="224">
        <v>0</v>
      </c>
      <c r="AD71" s="173">
        <v>0</v>
      </c>
      <c r="AE71" s="173">
        <v>0</v>
      </c>
      <c r="AF71" s="173">
        <v>0</v>
      </c>
      <c r="AG71" s="926">
        <f t="shared" si="51"/>
        <v>1582.074333333333</v>
      </c>
      <c r="AH71" s="894">
        <f t="shared" si="52"/>
        <v>3862.054333333333</v>
      </c>
      <c r="AI71" s="15">
        <f t="shared" si="70"/>
        <v>2926.5823333333333</v>
      </c>
      <c r="AJ71" s="15">
        <f t="shared" si="70"/>
        <v>935.47199999999998</v>
      </c>
      <c r="AK71" s="15">
        <f t="shared" si="70"/>
        <v>0</v>
      </c>
      <c r="AL71" s="15">
        <f t="shared" si="70"/>
        <v>0</v>
      </c>
      <c r="AM71" s="15">
        <f t="shared" si="70"/>
        <v>0</v>
      </c>
      <c r="AN71" s="15"/>
      <c r="AO71" s="15">
        <f t="shared" si="67"/>
        <v>3862.0543333333335</v>
      </c>
      <c r="AP71" s="15">
        <f t="shared" si="68"/>
        <v>3862.0543333333335</v>
      </c>
      <c r="AQ71" s="15">
        <f t="shared" si="69"/>
        <v>3862.0543333333335</v>
      </c>
      <c r="AR71" s="127">
        <f t="shared" si="32"/>
        <v>0</v>
      </c>
      <c r="AS71" s="112">
        <f t="shared" si="79"/>
        <v>7478851.8870099988</v>
      </c>
      <c r="AT71" s="112">
        <f t="shared" si="79"/>
        <v>2390589.3412799998</v>
      </c>
      <c r="AU71" s="112">
        <f t="shared" si="79"/>
        <v>0</v>
      </c>
      <c r="AV71" s="112">
        <f t="shared" si="79"/>
        <v>0</v>
      </c>
      <c r="AW71" s="112">
        <f t="shared" si="79"/>
        <v>0</v>
      </c>
      <c r="AX71" s="112">
        <f t="shared" si="46"/>
        <v>9869441.2282899991</v>
      </c>
      <c r="AY71" s="112">
        <f t="shared" si="47"/>
        <v>9869441.2282899991</v>
      </c>
      <c r="AZ71" s="112">
        <f t="shared" si="80"/>
        <v>7920709.2450062493</v>
      </c>
      <c r="BA71" s="112">
        <f t="shared" si="80"/>
        <v>2531827.5294872914</v>
      </c>
      <c r="BB71" s="112">
        <f t="shared" si="80"/>
        <v>0</v>
      </c>
      <c r="BC71" s="112">
        <f t="shared" si="80"/>
        <v>0</v>
      </c>
      <c r="BD71" s="112">
        <f t="shared" si="80"/>
        <v>0</v>
      </c>
      <c r="BE71" s="112">
        <f t="shared" si="48"/>
        <v>10452536.774493542</v>
      </c>
      <c r="BF71" s="112">
        <f t="shared" si="49"/>
        <v>10452536.774493542</v>
      </c>
      <c r="BG71" s="169"/>
      <c r="BH71" s="170"/>
      <c r="BI71" s="169">
        <f t="shared" si="84"/>
        <v>0</v>
      </c>
      <c r="BJ71" s="169">
        <v>10452.525046453977</v>
      </c>
      <c r="BK71" s="169">
        <v>11913.652555999999</v>
      </c>
      <c r="BL71" s="112">
        <f t="shared" si="77"/>
        <v>4453368.0918300003</v>
      </c>
      <c r="BM71" s="112">
        <f t="shared" si="77"/>
        <v>1373097.9983699999</v>
      </c>
      <c r="BN71" s="112">
        <f t="shared" si="77"/>
        <v>0</v>
      </c>
      <c r="BO71" s="112">
        <f t="shared" si="77"/>
        <v>0</v>
      </c>
      <c r="BP71" s="112">
        <f t="shared" si="77"/>
        <v>0</v>
      </c>
      <c r="BQ71" s="112">
        <f t="shared" si="54"/>
        <v>5826466.0902000004</v>
      </c>
      <c r="BR71" s="112">
        <f t="shared" si="55"/>
        <v>5826466.0902000004</v>
      </c>
      <c r="BS71" s="112">
        <f t="shared" si="78"/>
        <v>3204232.1240138197</v>
      </c>
      <c r="BT71" s="112">
        <f t="shared" si="78"/>
        <v>1077605.6550202789</v>
      </c>
      <c r="BU71" s="112">
        <f t="shared" si="78"/>
        <v>0</v>
      </c>
      <c r="BV71" s="112">
        <f t="shared" si="57"/>
        <v>0</v>
      </c>
      <c r="BW71" s="112">
        <f t="shared" si="14"/>
        <v>0</v>
      </c>
      <c r="BX71" s="112">
        <f t="shared" si="58"/>
        <v>4281837.7790340986</v>
      </c>
      <c r="BY71" s="112">
        <f t="shared" si="59"/>
        <v>4281837.7790340986</v>
      </c>
      <c r="BZ71" s="113">
        <f t="shared" si="60"/>
        <v>2450703.653390279</v>
      </c>
      <c r="CA71" s="113">
        <f t="shared" si="60"/>
        <v>0</v>
      </c>
      <c r="CB71" s="113">
        <f t="shared" si="61"/>
        <v>2450703.653390279</v>
      </c>
      <c r="CC71" s="119">
        <f t="shared" si="62"/>
        <v>2619.7509421877717</v>
      </c>
      <c r="CD71" s="119" t="e">
        <f t="shared" si="62"/>
        <v>#DIV/0!</v>
      </c>
      <c r="CE71" s="119">
        <f t="shared" si="35"/>
        <v>2619.7509421877717</v>
      </c>
      <c r="CF71" s="119">
        <f t="shared" si="15"/>
        <v>2619.7509421877717</v>
      </c>
      <c r="CG71" s="619">
        <f t="shared" si="16"/>
        <v>2450703.653390279</v>
      </c>
      <c r="CH71" s="132">
        <f t="shared" si="36"/>
        <v>2619.7509421877717</v>
      </c>
      <c r="CI71" s="171"/>
      <c r="CJ71" s="208">
        <f t="shared" si="37"/>
        <v>6170.698995459441</v>
      </c>
      <c r="CK71" s="208">
        <f t="shared" si="17"/>
        <v>4281.8377790340983</v>
      </c>
      <c r="CL71" s="112">
        <f t="shared" si="38"/>
        <v>10452.536774493539</v>
      </c>
      <c r="CM71" s="18">
        <f t="shared" si="39"/>
        <v>10452.536774493539</v>
      </c>
      <c r="CN71" s="18">
        <f t="shared" si="40"/>
        <v>0</v>
      </c>
      <c r="CO71" s="112">
        <f t="shared" si="18"/>
        <v>10108303.869234098</v>
      </c>
      <c r="CP71" s="112">
        <f t="shared" si="19"/>
        <v>9869441.2282899991</v>
      </c>
      <c r="CQ71" s="112">
        <f t="shared" si="20"/>
        <v>9869441.2282899991</v>
      </c>
      <c r="CR71" s="112">
        <f t="shared" si="21"/>
        <v>5826466.0902000004</v>
      </c>
      <c r="CS71" s="112">
        <f t="shared" si="22"/>
        <v>10452536.774493542</v>
      </c>
      <c r="CT71" s="112">
        <f t="shared" si="23"/>
        <v>10452536.774493542</v>
      </c>
      <c r="CU71" s="112">
        <f t="shared" si="24"/>
        <v>4281837.7790340986</v>
      </c>
      <c r="CV71" s="112">
        <f t="shared" si="41"/>
        <v>20321978.002783541</v>
      </c>
      <c r="CW71" s="843">
        <f t="shared" si="42"/>
        <v>5261.9606688038675</v>
      </c>
      <c r="CX71" s="112">
        <f t="shared" si="25"/>
        <v>2390589.3412799998</v>
      </c>
      <c r="CY71" s="112">
        <f t="shared" si="26"/>
        <v>2531827.5294872914</v>
      </c>
      <c r="CZ71" s="112"/>
      <c r="DA71" s="112">
        <f t="shared" si="27"/>
        <v>9869441.2282899991</v>
      </c>
      <c r="DB71" s="112">
        <f t="shared" si="28"/>
        <v>10452536.774493542</v>
      </c>
      <c r="DC71" s="171"/>
      <c r="DD71" s="128">
        <f t="shared" si="43"/>
        <v>105.9080907694363</v>
      </c>
      <c r="DE71" s="171"/>
      <c r="DF71" s="171"/>
      <c r="DG71" s="171"/>
      <c r="DH71" s="112">
        <v>3862.054333333333</v>
      </c>
      <c r="DI71" s="797">
        <v>935.47199999999998</v>
      </c>
      <c r="DJ71" s="797">
        <f t="shared" si="44"/>
        <v>2926.5823333333328</v>
      </c>
      <c r="DK71" s="171"/>
      <c r="DL71" s="618">
        <f t="shared" si="29"/>
        <v>0</v>
      </c>
      <c r="DM71" s="618">
        <f t="shared" si="30"/>
        <v>0</v>
      </c>
      <c r="DN71" s="618">
        <f t="shared" si="31"/>
        <v>0</v>
      </c>
      <c r="DO71" s="125"/>
      <c r="DP71" s="21"/>
      <c r="DQ71" s="21"/>
    </row>
    <row r="72" spans="1:121" customFormat="1" ht="100.5" customHeight="1">
      <c r="A72" s="20">
        <f t="shared" si="45"/>
        <v>59</v>
      </c>
      <c r="B72" s="1286"/>
      <c r="C72" s="1279"/>
      <c r="D72" s="967" t="s">
        <v>141</v>
      </c>
      <c r="E72" s="617">
        <v>4632024035</v>
      </c>
      <c r="F72" s="1280" t="s">
        <v>8</v>
      </c>
      <c r="G72" s="1245" t="s">
        <v>956</v>
      </c>
      <c r="H72" s="866">
        <v>3299.1600000000003</v>
      </c>
      <c r="I72" s="825">
        <v>3299.1600000000003</v>
      </c>
      <c r="J72" s="756">
        <v>2896.52</v>
      </c>
      <c r="K72" s="756"/>
      <c r="L72" s="872">
        <v>3299.1600000000003</v>
      </c>
      <c r="M72" s="869"/>
      <c r="N72" s="1207">
        <f>2762.47*1.2</f>
        <v>3314.9639999999995</v>
      </c>
      <c r="O72" s="1208">
        <f>N72</f>
        <v>3314.9639999999995</v>
      </c>
      <c r="P72" s="964">
        <v>2950.21</v>
      </c>
      <c r="Q72" s="964"/>
      <c r="R72" s="1208">
        <f>O72</f>
        <v>3314.9639999999995</v>
      </c>
      <c r="S72" s="911"/>
      <c r="T72" s="1010">
        <v>154.61405144524039</v>
      </c>
      <c r="U72" s="1011">
        <v>1741.863950878223</v>
      </c>
      <c r="V72" s="1012"/>
      <c r="W72" s="1011"/>
      <c r="X72" s="1011"/>
      <c r="Y72" s="1011"/>
      <c r="Z72" s="971">
        <f t="shared" si="50"/>
        <v>1896.4780023234634</v>
      </c>
      <c r="AA72" s="1013">
        <v>91.711739487005445</v>
      </c>
      <c r="AB72" s="1011">
        <v>1306.3737315640026</v>
      </c>
      <c r="AC72" s="224"/>
      <c r="AD72" s="173"/>
      <c r="AE72" s="173"/>
      <c r="AF72" s="173"/>
      <c r="AG72" s="926">
        <f t="shared" si="51"/>
        <v>1398.085471051008</v>
      </c>
      <c r="AH72" s="894">
        <f>Z72+AG72</f>
        <v>3294.5634733744714</v>
      </c>
      <c r="AI72" s="15">
        <f t="shared" si="70"/>
        <v>246.32579093224584</v>
      </c>
      <c r="AJ72" s="15">
        <f t="shared" si="70"/>
        <v>3048.2376824422254</v>
      </c>
      <c r="AK72" s="15">
        <f t="shared" si="70"/>
        <v>0</v>
      </c>
      <c r="AL72" s="15">
        <f t="shared" si="70"/>
        <v>0</v>
      </c>
      <c r="AM72" s="15">
        <f t="shared" si="70"/>
        <v>0</v>
      </c>
      <c r="AN72" s="15"/>
      <c r="AO72" s="15">
        <f t="shared" si="67"/>
        <v>3294.5634733744714</v>
      </c>
      <c r="AP72" s="15">
        <f t="shared" si="68"/>
        <v>3294.5634733744714</v>
      </c>
      <c r="AQ72" s="15">
        <f t="shared" ref="AQ72:AQ133" si="85">SUM(AI72:AL72)</f>
        <v>3294.5634733744714</v>
      </c>
      <c r="AR72" s="127">
        <f t="shared" si="32"/>
        <v>0</v>
      </c>
      <c r="AS72" s="112">
        <f t="shared" si="79"/>
        <v>812668.19641202828</v>
      </c>
      <c r="AT72" s="112">
        <f t="shared" si="79"/>
        <v>8829281.411947554</v>
      </c>
      <c r="AU72" s="112">
        <f t="shared" si="79"/>
        <v>0</v>
      </c>
      <c r="AV72" s="112">
        <f t="shared" si="79"/>
        <v>0</v>
      </c>
      <c r="AW72" s="112">
        <f t="shared" si="79"/>
        <v>0</v>
      </c>
      <c r="AX72" s="112">
        <f t="shared" ref="AX72:AX135" si="86">SUM(AS72:AW72)</f>
        <v>9641949.6083595827</v>
      </c>
      <c r="AY72" s="112">
        <f t="shared" ref="AY72:AY135" si="87">SUM(AS72:AV72)</f>
        <v>9641949.6083595827</v>
      </c>
      <c r="AZ72" s="112">
        <f t="shared" si="80"/>
        <v>816561.12921192124</v>
      </c>
      <c r="BA72" s="112">
        <f t="shared" si="80"/>
        <v>8992941.2931178771</v>
      </c>
      <c r="BB72" s="112">
        <f t="shared" si="80"/>
        <v>0</v>
      </c>
      <c r="BC72" s="112">
        <f t="shared" si="80"/>
        <v>0</v>
      </c>
      <c r="BD72" s="112">
        <f t="shared" si="80"/>
        <v>0</v>
      </c>
      <c r="BE72" s="112">
        <f t="shared" ref="BE72:BE135" si="88">SUM(AZ72:BD72)</f>
        <v>9809502.4223297983</v>
      </c>
      <c r="BF72" s="112">
        <f t="shared" ref="BF72:BF135" si="89">SUM(AZ72:BC72)</f>
        <v>9809502.4223297983</v>
      </c>
      <c r="BG72" s="623">
        <f>(O72-P72)/1.2*U72/1000</f>
        <v>529.45986961552876</v>
      </c>
      <c r="BH72" s="624">
        <f>(O72-P72)/1.2*AB72/1000</f>
        <v>397.08753673574631</v>
      </c>
      <c r="BI72" s="623">
        <f>BG72+BH72</f>
        <v>926.54740635127507</v>
      </c>
      <c r="BJ72" s="169"/>
      <c r="BK72" s="169"/>
      <c r="BL72" s="112">
        <f t="shared" si="77"/>
        <v>510096.49396607932</v>
      </c>
      <c r="BM72" s="112">
        <f t="shared" si="77"/>
        <v>5045343.7709977906</v>
      </c>
      <c r="BN72" s="112">
        <f t="shared" si="77"/>
        <v>0</v>
      </c>
      <c r="BO72" s="112">
        <f t="shared" si="77"/>
        <v>0</v>
      </c>
      <c r="BP72" s="112">
        <f t="shared" si="77"/>
        <v>0</v>
      </c>
      <c r="BQ72" s="112">
        <f t="shared" si="54"/>
        <v>5555440.2649638699</v>
      </c>
      <c r="BR72" s="112">
        <f t="shared" si="55"/>
        <v>5555440.2649638699</v>
      </c>
      <c r="BS72" s="112">
        <f t="shared" si="78"/>
        <v>304021.11477680149</v>
      </c>
      <c r="BT72" s="112">
        <f t="shared" si="78"/>
        <v>3854076.8465974359</v>
      </c>
      <c r="BU72" s="112">
        <f t="shared" si="78"/>
        <v>0</v>
      </c>
      <c r="BV72" s="112">
        <f t="shared" si="57"/>
        <v>0</v>
      </c>
      <c r="BW72" s="112">
        <f t="shared" si="14"/>
        <v>0</v>
      </c>
      <c r="BX72" s="112">
        <f t="shared" si="58"/>
        <v>4158097.9613742372</v>
      </c>
      <c r="BY72" s="112">
        <f t="shared" si="59"/>
        <v>4158097.9613742372</v>
      </c>
      <c r="BZ72" s="113">
        <f t="shared" si="60"/>
        <v>8899420.6175952256</v>
      </c>
      <c r="CA72" s="113">
        <f t="shared" si="60"/>
        <v>0</v>
      </c>
      <c r="CB72" s="113">
        <f t="shared" si="61"/>
        <v>8899420.6175952256</v>
      </c>
      <c r="CC72" s="119">
        <f t="shared" si="62"/>
        <v>2919.5297561130719</v>
      </c>
      <c r="CD72" s="119" t="e">
        <f t="shared" si="62"/>
        <v>#DIV/0!</v>
      </c>
      <c r="CE72" s="119">
        <f t="shared" si="35"/>
        <v>2919.5297561130719</v>
      </c>
      <c r="CF72" s="119">
        <f t="shared" si="15"/>
        <v>2919.5297561130719</v>
      </c>
      <c r="CG72" s="619">
        <f t="shared" si="16"/>
        <v>10077269.762859732</v>
      </c>
      <c r="CH72" s="132">
        <f t="shared" si="36"/>
        <v>3305.9330710674431</v>
      </c>
      <c r="CI72" s="171"/>
      <c r="CJ72" s="208">
        <f t="shared" si="37"/>
        <v>6286.7563044941962</v>
      </c>
      <c r="CK72" s="208">
        <f t="shared" si="17"/>
        <v>4634.6030054571329</v>
      </c>
      <c r="CL72" s="208">
        <f>CJ72+CK72</f>
        <v>10921.359309951329</v>
      </c>
      <c r="CM72" s="18">
        <f t="shared" si="39"/>
        <v>10921.359309951329</v>
      </c>
      <c r="CN72" s="18">
        <f t="shared" si="40"/>
        <v>0</v>
      </c>
      <c r="CO72" s="112">
        <f t="shared" si="18"/>
        <v>10891387.371602612</v>
      </c>
      <c r="CP72" s="112">
        <f t="shared" si="19"/>
        <v>9641949.6083595827</v>
      </c>
      <c r="CQ72" s="112">
        <f t="shared" si="20"/>
        <v>9641949.6083595827</v>
      </c>
      <c r="CR72" s="112">
        <f t="shared" si="21"/>
        <v>5555440.2649638699</v>
      </c>
      <c r="CS72" s="112">
        <f t="shared" si="22"/>
        <v>9809502.4223297983</v>
      </c>
      <c r="CT72" s="112">
        <f t="shared" si="23"/>
        <v>9809502.4223297983</v>
      </c>
      <c r="CU72" s="112">
        <f t="shared" si="24"/>
        <v>4158097.9613742372</v>
      </c>
      <c r="CV72" s="112">
        <f t="shared" si="41"/>
        <v>19451452.030689381</v>
      </c>
      <c r="CW72" s="843">
        <f t="shared" si="42"/>
        <v>5904.1060182598767</v>
      </c>
      <c r="CX72" s="112">
        <f t="shared" si="25"/>
        <v>8829281.411947554</v>
      </c>
      <c r="CY72" s="112">
        <f t="shared" si="26"/>
        <v>8992941.2931178771</v>
      </c>
      <c r="CZ72" s="112"/>
      <c r="DA72" s="112">
        <f t="shared" si="27"/>
        <v>10869292.028818121</v>
      </c>
      <c r="DB72" s="112">
        <f t="shared" si="28"/>
        <v>10921359.30995133</v>
      </c>
      <c r="DC72" s="171"/>
      <c r="DD72" s="128">
        <f t="shared" si="43"/>
        <v>114.44643917528619</v>
      </c>
      <c r="DE72" s="171"/>
      <c r="DF72" s="171"/>
      <c r="DG72" s="171"/>
      <c r="DH72" s="797">
        <v>3399.0370000000003</v>
      </c>
      <c r="DI72" s="797">
        <v>3144.8999999999996</v>
      </c>
      <c r="DJ72" s="797">
        <f t="shared" si="44"/>
        <v>254.13700000000063</v>
      </c>
      <c r="DK72" s="171"/>
      <c r="DL72" s="618">
        <f t="shared" si="29"/>
        <v>0</v>
      </c>
      <c r="DM72" s="618">
        <f t="shared" si="30"/>
        <v>0</v>
      </c>
      <c r="DN72" s="618">
        <f t="shared" si="31"/>
        <v>0</v>
      </c>
      <c r="DO72" s="125"/>
    </row>
    <row r="73" spans="1:121" customFormat="1" ht="100.5" customHeight="1">
      <c r="A73" s="20">
        <f t="shared" si="45"/>
        <v>60</v>
      </c>
      <c r="B73" s="1286"/>
      <c r="C73" s="762" t="s">
        <v>902</v>
      </c>
      <c r="D73" s="760" t="s">
        <v>161</v>
      </c>
      <c r="E73" s="763">
        <v>4617004147</v>
      </c>
      <c r="F73" s="760" t="s">
        <v>8</v>
      </c>
      <c r="G73" s="1250" t="s">
        <v>952</v>
      </c>
      <c r="H73" s="868">
        <v>3701.43</v>
      </c>
      <c r="I73" s="826">
        <v>3701.43</v>
      </c>
      <c r="J73" s="826"/>
      <c r="K73" s="826"/>
      <c r="L73" s="826"/>
      <c r="M73" s="869"/>
      <c r="N73" s="853">
        <v>3850.8480191964254</v>
      </c>
      <c r="O73" s="36">
        <v>3850.8480191964254</v>
      </c>
      <c r="P73" s="36"/>
      <c r="Q73" s="36"/>
      <c r="R73" s="36"/>
      <c r="S73" s="911"/>
      <c r="T73" s="927">
        <f t="shared" ref="T73:T79" si="90">2909.97/7</f>
        <v>415.71</v>
      </c>
      <c r="U73" s="173">
        <v>0</v>
      </c>
      <c r="V73" s="224">
        <v>0</v>
      </c>
      <c r="W73" s="173">
        <v>0</v>
      </c>
      <c r="X73" s="173">
        <v>0</v>
      </c>
      <c r="Y73" s="173">
        <v>0</v>
      </c>
      <c r="Z73" s="926">
        <f t="shared" si="50"/>
        <v>415.71</v>
      </c>
      <c r="AA73" s="895">
        <f t="shared" ref="AA73:AA79" si="91">2092.53/7</f>
        <v>298.93285714285719</v>
      </c>
      <c r="AB73" s="173">
        <v>0</v>
      </c>
      <c r="AC73" s="224">
        <v>0</v>
      </c>
      <c r="AD73" s="173">
        <v>0</v>
      </c>
      <c r="AE73" s="173">
        <v>0</v>
      </c>
      <c r="AF73" s="173">
        <v>0</v>
      </c>
      <c r="AG73" s="926">
        <f t="shared" si="51"/>
        <v>298.93285714285719</v>
      </c>
      <c r="AH73" s="894">
        <f t="shared" si="52"/>
        <v>714.64285714285711</v>
      </c>
      <c r="AI73" s="15">
        <f t="shared" si="70"/>
        <v>714.64285714285711</v>
      </c>
      <c r="AJ73" s="15">
        <f t="shared" si="70"/>
        <v>0</v>
      </c>
      <c r="AK73" s="15">
        <f t="shared" si="70"/>
        <v>0</v>
      </c>
      <c r="AL73" s="15">
        <f t="shared" si="70"/>
        <v>0</v>
      </c>
      <c r="AM73" s="15">
        <f t="shared" si="70"/>
        <v>0</v>
      </c>
      <c r="AN73" s="15"/>
      <c r="AO73" s="15">
        <f t="shared" si="67"/>
        <v>714.64285714285711</v>
      </c>
      <c r="AP73" s="15">
        <f t="shared" si="68"/>
        <v>714.64285714285711</v>
      </c>
      <c r="AQ73" s="15">
        <f t="shared" si="85"/>
        <v>714.64285714285711</v>
      </c>
      <c r="AR73" s="127">
        <f t="shared" si="32"/>
        <v>0</v>
      </c>
      <c r="AS73" s="112">
        <f t="shared" si="79"/>
        <v>2645200.5107142855</v>
      </c>
      <c r="AT73" s="112">
        <f t="shared" si="79"/>
        <v>0</v>
      </c>
      <c r="AU73" s="112">
        <f t="shared" si="79"/>
        <v>0</v>
      </c>
      <c r="AV73" s="112">
        <f t="shared" si="79"/>
        <v>0</v>
      </c>
      <c r="AW73" s="112">
        <f t="shared" si="79"/>
        <v>0</v>
      </c>
      <c r="AX73" s="112">
        <f t="shared" si="86"/>
        <v>2645200.5107142855</v>
      </c>
      <c r="AY73" s="112">
        <f t="shared" si="87"/>
        <v>2645200.5107142855</v>
      </c>
      <c r="AZ73" s="112">
        <f t="shared" si="80"/>
        <v>2751981.0308614452</v>
      </c>
      <c r="BA73" s="112">
        <f t="shared" si="80"/>
        <v>0</v>
      </c>
      <c r="BB73" s="112">
        <f t="shared" si="80"/>
        <v>0</v>
      </c>
      <c r="BC73" s="112">
        <f t="shared" si="80"/>
        <v>0</v>
      </c>
      <c r="BD73" s="112">
        <f t="shared" si="80"/>
        <v>0</v>
      </c>
      <c r="BE73" s="112">
        <f t="shared" si="88"/>
        <v>2751981.0308614452</v>
      </c>
      <c r="BF73" s="112">
        <f t="shared" si="89"/>
        <v>2751981.0308614452</v>
      </c>
      <c r="BG73" s="117"/>
      <c r="BH73" s="117"/>
      <c r="BI73" s="112">
        <f t="shared" si="84"/>
        <v>0</v>
      </c>
      <c r="BJ73" s="1275">
        <v>19263.87</v>
      </c>
      <c r="BK73" s="1275">
        <v>20657.04</v>
      </c>
      <c r="BL73" s="112">
        <f t="shared" si="77"/>
        <v>1538721.4652999998</v>
      </c>
      <c r="BM73" s="112">
        <f t="shared" si="77"/>
        <v>0</v>
      </c>
      <c r="BN73" s="112">
        <f t="shared" si="77"/>
        <v>0</v>
      </c>
      <c r="BO73" s="112">
        <f t="shared" si="77"/>
        <v>0</v>
      </c>
      <c r="BP73" s="112">
        <f t="shared" si="77"/>
        <v>0</v>
      </c>
      <c r="BQ73" s="112">
        <f t="shared" si="54"/>
        <v>1538721.4652999998</v>
      </c>
      <c r="BR73" s="112">
        <f t="shared" si="55"/>
        <v>1538721.4652999998</v>
      </c>
      <c r="BS73" s="112">
        <f t="shared" si="78"/>
        <v>1151145.0008012997</v>
      </c>
      <c r="BT73" s="112">
        <f t="shared" si="78"/>
        <v>0</v>
      </c>
      <c r="BU73" s="112">
        <f t="shared" si="78"/>
        <v>0</v>
      </c>
      <c r="BV73" s="112">
        <f t="shared" si="57"/>
        <v>0</v>
      </c>
      <c r="BW73" s="112">
        <f t="shared" si="14"/>
        <v>0</v>
      </c>
      <c r="BX73" s="112">
        <f t="shared" si="58"/>
        <v>1151145.0008012997</v>
      </c>
      <c r="BY73" s="112">
        <f t="shared" si="59"/>
        <v>1151145.0008012997</v>
      </c>
      <c r="BZ73" s="113">
        <f t="shared" si="60"/>
        <v>0</v>
      </c>
      <c r="CA73" s="113">
        <f t="shared" si="60"/>
        <v>0</v>
      </c>
      <c r="CB73" s="113">
        <f t="shared" si="61"/>
        <v>0</v>
      </c>
      <c r="CC73" s="119" t="e">
        <f t="shared" si="62"/>
        <v>#DIV/0!</v>
      </c>
      <c r="CD73" s="119" t="e">
        <f t="shared" si="62"/>
        <v>#DIV/0!</v>
      </c>
      <c r="CE73" s="119" t="e">
        <f t="shared" si="35"/>
        <v>#DIV/0!</v>
      </c>
      <c r="CF73" s="113" t="e">
        <f t="shared" si="15"/>
        <v>#DIV/0!</v>
      </c>
      <c r="CG73" s="619">
        <f t="shared" si="16"/>
        <v>0</v>
      </c>
      <c r="CH73" s="132" t="e">
        <f t="shared" si="36"/>
        <v>#DIV/0!</v>
      </c>
      <c r="CI73" s="171"/>
      <c r="CJ73" s="208">
        <f t="shared" si="37"/>
        <v>1600.836030060146</v>
      </c>
      <c r="CK73" s="208">
        <f t="shared" si="17"/>
        <v>1151.1450008012996</v>
      </c>
      <c r="CL73" s="112">
        <f>CJ73+CK73</f>
        <v>2751.9810308614456</v>
      </c>
      <c r="CM73" s="18">
        <f t="shared" si="39"/>
        <v>2751.9810308614451</v>
      </c>
      <c r="CN73" s="18">
        <f t="shared" si="40"/>
        <v>0</v>
      </c>
      <c r="CO73" s="112">
        <f t="shared" si="18"/>
        <v>2689866.4661012995</v>
      </c>
      <c r="CP73" s="112">
        <f t="shared" si="19"/>
        <v>2645200.5107142855</v>
      </c>
      <c r="CQ73" s="112">
        <f t="shared" si="20"/>
        <v>2645200.5107142855</v>
      </c>
      <c r="CR73" s="112">
        <f t="shared" si="21"/>
        <v>1538721.4652999998</v>
      </c>
      <c r="CS73" s="112">
        <f t="shared" si="22"/>
        <v>2751981.0308614452</v>
      </c>
      <c r="CT73" s="112">
        <f t="shared" si="23"/>
        <v>2751981.0308614452</v>
      </c>
      <c r="CU73" s="112">
        <f t="shared" si="24"/>
        <v>1151145.0008012997</v>
      </c>
      <c r="CV73" s="112">
        <f t="shared" si="41"/>
        <v>5397181.5415757308</v>
      </c>
      <c r="CW73" s="843">
        <f t="shared" si="42"/>
        <v>7552.2780191964248</v>
      </c>
      <c r="CX73" s="112">
        <f t="shared" si="25"/>
        <v>0</v>
      </c>
      <c r="CY73" s="112">
        <f t="shared" si="26"/>
        <v>0</v>
      </c>
      <c r="CZ73" s="112"/>
      <c r="DA73" s="112">
        <f t="shared" si="27"/>
        <v>2645200.5107142855</v>
      </c>
      <c r="DB73" s="112">
        <f t="shared" si="28"/>
        <v>2751981.0308614452</v>
      </c>
      <c r="DC73" s="171"/>
      <c r="DD73" s="128" t="e">
        <f t="shared" si="43"/>
        <v>#DIV/0!</v>
      </c>
      <c r="DE73" s="171"/>
      <c r="DF73" s="171"/>
      <c r="DG73" s="171"/>
      <c r="DH73" s="112">
        <v>714.64285714285711</v>
      </c>
      <c r="DI73" s="797">
        <v>0</v>
      </c>
      <c r="DJ73" s="797">
        <f t="shared" si="44"/>
        <v>714.64285714285711</v>
      </c>
      <c r="DK73" s="171"/>
      <c r="DL73" s="618">
        <f t="shared" si="29"/>
        <v>0</v>
      </c>
      <c r="DM73" s="618">
        <f t="shared" si="30"/>
        <v>0</v>
      </c>
      <c r="DN73" s="618">
        <f t="shared" si="31"/>
        <v>0</v>
      </c>
      <c r="DO73" s="125"/>
    </row>
    <row r="74" spans="1:121" customFormat="1" ht="100.5" customHeight="1">
      <c r="A74" s="20">
        <f t="shared" si="45"/>
        <v>61</v>
      </c>
      <c r="B74" s="1286"/>
      <c r="C74" s="762" t="s">
        <v>156</v>
      </c>
      <c r="D74" s="760" t="s">
        <v>161</v>
      </c>
      <c r="E74" s="763">
        <v>4617004147</v>
      </c>
      <c r="F74" s="760" t="s">
        <v>8</v>
      </c>
      <c r="G74" s="1251"/>
      <c r="H74" s="868">
        <v>3701.43</v>
      </c>
      <c r="I74" s="826">
        <v>3701.43</v>
      </c>
      <c r="J74" s="826"/>
      <c r="K74" s="826"/>
      <c r="L74" s="826"/>
      <c r="M74" s="869"/>
      <c r="N74" s="853">
        <v>3850.8480191964254</v>
      </c>
      <c r="O74" s="36">
        <v>3850.8480191964254</v>
      </c>
      <c r="P74" s="36"/>
      <c r="Q74" s="36"/>
      <c r="R74" s="36"/>
      <c r="S74" s="911"/>
      <c r="T74" s="927">
        <f t="shared" si="90"/>
        <v>415.71</v>
      </c>
      <c r="U74" s="173">
        <v>0</v>
      </c>
      <c r="V74" s="224">
        <v>0</v>
      </c>
      <c r="W74" s="173">
        <v>0</v>
      </c>
      <c r="X74" s="173">
        <v>0</v>
      </c>
      <c r="Y74" s="173">
        <v>0</v>
      </c>
      <c r="Z74" s="926">
        <f t="shared" si="50"/>
        <v>415.71</v>
      </c>
      <c r="AA74" s="895">
        <f t="shared" si="91"/>
        <v>298.93285714285719</v>
      </c>
      <c r="AB74" s="173">
        <v>0</v>
      </c>
      <c r="AC74" s="224">
        <v>0</v>
      </c>
      <c r="AD74" s="173">
        <v>0</v>
      </c>
      <c r="AE74" s="173">
        <v>0</v>
      </c>
      <c r="AF74" s="173">
        <v>0</v>
      </c>
      <c r="AG74" s="926">
        <f t="shared" si="51"/>
        <v>298.93285714285719</v>
      </c>
      <c r="AH74" s="894">
        <f t="shared" si="52"/>
        <v>714.64285714285711</v>
      </c>
      <c r="AI74" s="15">
        <f t="shared" si="70"/>
        <v>714.64285714285711</v>
      </c>
      <c r="AJ74" s="15">
        <f t="shared" si="70"/>
        <v>0</v>
      </c>
      <c r="AK74" s="15">
        <f t="shared" si="70"/>
        <v>0</v>
      </c>
      <c r="AL74" s="15">
        <f t="shared" si="70"/>
        <v>0</v>
      </c>
      <c r="AM74" s="15">
        <f t="shared" si="70"/>
        <v>0</v>
      </c>
      <c r="AN74" s="15"/>
      <c r="AO74" s="15">
        <f t="shared" si="67"/>
        <v>714.64285714285711</v>
      </c>
      <c r="AP74" s="15">
        <f t="shared" si="68"/>
        <v>714.64285714285711</v>
      </c>
      <c r="AQ74" s="15">
        <f t="shared" si="85"/>
        <v>714.64285714285711</v>
      </c>
      <c r="AR74" s="127">
        <f t="shared" si="32"/>
        <v>0</v>
      </c>
      <c r="AS74" s="112">
        <f t="shared" si="79"/>
        <v>2645200.5107142855</v>
      </c>
      <c r="AT74" s="112">
        <f t="shared" si="79"/>
        <v>0</v>
      </c>
      <c r="AU74" s="112">
        <f t="shared" si="79"/>
        <v>0</v>
      </c>
      <c r="AV74" s="112">
        <f t="shared" si="79"/>
        <v>0</v>
      </c>
      <c r="AW74" s="112">
        <f t="shared" si="79"/>
        <v>0</v>
      </c>
      <c r="AX74" s="112">
        <f t="shared" si="86"/>
        <v>2645200.5107142855</v>
      </c>
      <c r="AY74" s="112">
        <f t="shared" si="87"/>
        <v>2645200.5107142855</v>
      </c>
      <c r="AZ74" s="112">
        <f t="shared" si="80"/>
        <v>2751981.0308614452</v>
      </c>
      <c r="BA74" s="112">
        <f t="shared" si="80"/>
        <v>0</v>
      </c>
      <c r="BB74" s="112">
        <f t="shared" si="80"/>
        <v>0</v>
      </c>
      <c r="BC74" s="112">
        <f t="shared" si="80"/>
        <v>0</v>
      </c>
      <c r="BD74" s="112">
        <f t="shared" si="80"/>
        <v>0</v>
      </c>
      <c r="BE74" s="112">
        <f t="shared" si="88"/>
        <v>2751981.0308614452</v>
      </c>
      <c r="BF74" s="112">
        <f t="shared" si="89"/>
        <v>2751981.0308614452</v>
      </c>
      <c r="BG74" s="117"/>
      <c r="BH74" s="117"/>
      <c r="BI74" s="112">
        <f t="shared" si="84"/>
        <v>0</v>
      </c>
      <c r="BJ74" s="1276"/>
      <c r="BK74" s="1276"/>
      <c r="BL74" s="112">
        <f t="shared" si="77"/>
        <v>1538721.4652999998</v>
      </c>
      <c r="BM74" s="112">
        <f t="shared" si="77"/>
        <v>0</v>
      </c>
      <c r="BN74" s="112">
        <f t="shared" si="77"/>
        <v>0</v>
      </c>
      <c r="BO74" s="112">
        <f t="shared" si="77"/>
        <v>0</v>
      </c>
      <c r="BP74" s="112">
        <f t="shared" si="77"/>
        <v>0</v>
      </c>
      <c r="BQ74" s="112">
        <f t="shared" si="54"/>
        <v>1538721.4652999998</v>
      </c>
      <c r="BR74" s="112">
        <f t="shared" si="55"/>
        <v>1538721.4652999998</v>
      </c>
      <c r="BS74" s="112">
        <f t="shared" si="78"/>
        <v>1151145.0008012997</v>
      </c>
      <c r="BT74" s="112">
        <f t="shared" si="78"/>
        <v>0</v>
      </c>
      <c r="BU74" s="112">
        <f t="shared" si="78"/>
        <v>0</v>
      </c>
      <c r="BV74" s="112">
        <f t="shared" si="57"/>
        <v>0</v>
      </c>
      <c r="BW74" s="112">
        <f t="shared" si="14"/>
        <v>0</v>
      </c>
      <c r="BX74" s="112">
        <f t="shared" si="58"/>
        <v>1151145.0008012997</v>
      </c>
      <c r="BY74" s="112">
        <f t="shared" si="59"/>
        <v>1151145.0008012997</v>
      </c>
      <c r="BZ74" s="113">
        <f t="shared" si="60"/>
        <v>0</v>
      </c>
      <c r="CA74" s="113">
        <f t="shared" si="60"/>
        <v>0</v>
      </c>
      <c r="CB74" s="113">
        <f t="shared" si="61"/>
        <v>0</v>
      </c>
      <c r="CC74" s="119" t="e">
        <f t="shared" si="62"/>
        <v>#DIV/0!</v>
      </c>
      <c r="CD74" s="119" t="e">
        <f t="shared" si="62"/>
        <v>#DIV/0!</v>
      </c>
      <c r="CE74" s="119" t="e">
        <f t="shared" si="35"/>
        <v>#DIV/0!</v>
      </c>
      <c r="CF74" s="113" t="e">
        <f t="shared" si="15"/>
        <v>#DIV/0!</v>
      </c>
      <c r="CG74" s="619">
        <f t="shared" si="16"/>
        <v>0</v>
      </c>
      <c r="CH74" s="132" t="e">
        <f t="shared" si="36"/>
        <v>#DIV/0!</v>
      </c>
      <c r="CI74" s="171"/>
      <c r="CJ74" s="208">
        <f t="shared" si="37"/>
        <v>1600.836030060146</v>
      </c>
      <c r="CK74" s="208">
        <f t="shared" si="17"/>
        <v>1151.1450008012996</v>
      </c>
      <c r="CL74" s="112">
        <f t="shared" ref="CL74:CL79" si="92">CJ74+CK74</f>
        <v>2751.9810308614456</v>
      </c>
      <c r="CM74" s="18">
        <f t="shared" si="39"/>
        <v>2751.9810308614451</v>
      </c>
      <c r="CN74" s="18">
        <f t="shared" si="40"/>
        <v>0</v>
      </c>
      <c r="CO74" s="112">
        <f t="shared" si="18"/>
        <v>2689866.4661012995</v>
      </c>
      <c r="CP74" s="112">
        <f t="shared" si="19"/>
        <v>2645200.5107142855</v>
      </c>
      <c r="CQ74" s="112">
        <f t="shared" si="20"/>
        <v>2645200.5107142855</v>
      </c>
      <c r="CR74" s="112">
        <f t="shared" si="21"/>
        <v>1538721.4652999998</v>
      </c>
      <c r="CS74" s="112">
        <f t="shared" si="22"/>
        <v>2751981.0308614452</v>
      </c>
      <c r="CT74" s="112">
        <f t="shared" si="23"/>
        <v>2751981.0308614452</v>
      </c>
      <c r="CU74" s="112">
        <f t="shared" si="24"/>
        <v>1151145.0008012997</v>
      </c>
      <c r="CV74" s="112">
        <f t="shared" si="41"/>
        <v>5397181.5415757308</v>
      </c>
      <c r="CW74" s="843">
        <f t="shared" si="42"/>
        <v>7552.2780191964248</v>
      </c>
      <c r="CX74" s="112">
        <f t="shared" si="25"/>
        <v>0</v>
      </c>
      <c r="CY74" s="112">
        <f t="shared" si="26"/>
        <v>0</v>
      </c>
      <c r="CZ74" s="112"/>
      <c r="DA74" s="112">
        <f t="shared" si="27"/>
        <v>2645200.5107142855</v>
      </c>
      <c r="DB74" s="112">
        <f t="shared" si="28"/>
        <v>2751981.0308614452</v>
      </c>
      <c r="DC74" s="171"/>
      <c r="DD74" s="128" t="e">
        <f t="shared" si="43"/>
        <v>#DIV/0!</v>
      </c>
      <c r="DE74" s="171"/>
      <c r="DF74" s="171"/>
      <c r="DG74" s="171"/>
      <c r="DH74" s="112">
        <v>714.64285714285711</v>
      </c>
      <c r="DI74" s="797">
        <v>0</v>
      </c>
      <c r="DJ74" s="797">
        <f t="shared" si="44"/>
        <v>714.64285714285711</v>
      </c>
      <c r="DK74" s="171"/>
      <c r="DL74" s="618">
        <f t="shared" si="29"/>
        <v>0</v>
      </c>
      <c r="DM74" s="618">
        <f t="shared" si="30"/>
        <v>0</v>
      </c>
      <c r="DN74" s="618">
        <f t="shared" si="31"/>
        <v>0</v>
      </c>
      <c r="DO74" s="125"/>
    </row>
    <row r="75" spans="1:121" customFormat="1" ht="100.5" customHeight="1">
      <c r="A75" s="20">
        <f t="shared" si="45"/>
        <v>62</v>
      </c>
      <c r="B75" s="1286"/>
      <c r="C75" s="762" t="s">
        <v>157</v>
      </c>
      <c r="D75" s="760" t="s">
        <v>161</v>
      </c>
      <c r="E75" s="763">
        <v>4617004147</v>
      </c>
      <c r="F75" s="760" t="s">
        <v>8</v>
      </c>
      <c r="G75" s="1251"/>
      <c r="H75" s="868">
        <v>3701.43</v>
      </c>
      <c r="I75" s="826">
        <v>3701.43</v>
      </c>
      <c r="J75" s="826"/>
      <c r="K75" s="826"/>
      <c r="L75" s="826"/>
      <c r="M75" s="869"/>
      <c r="N75" s="853">
        <v>3850.8480191964254</v>
      </c>
      <c r="O75" s="36">
        <v>3850.8480191964254</v>
      </c>
      <c r="P75" s="36"/>
      <c r="Q75" s="36"/>
      <c r="R75" s="36"/>
      <c r="S75" s="911"/>
      <c r="T75" s="927">
        <f t="shared" si="90"/>
        <v>415.71</v>
      </c>
      <c r="U75" s="173">
        <v>0</v>
      </c>
      <c r="V75" s="224">
        <v>0</v>
      </c>
      <c r="W75" s="173">
        <v>0</v>
      </c>
      <c r="X75" s="173">
        <v>0</v>
      </c>
      <c r="Y75" s="173">
        <v>0</v>
      </c>
      <c r="Z75" s="926">
        <f t="shared" si="50"/>
        <v>415.71</v>
      </c>
      <c r="AA75" s="895">
        <f t="shared" si="91"/>
        <v>298.93285714285719</v>
      </c>
      <c r="AB75" s="173">
        <v>0</v>
      </c>
      <c r="AC75" s="224">
        <v>0</v>
      </c>
      <c r="AD75" s="173">
        <v>0</v>
      </c>
      <c r="AE75" s="173">
        <v>0</v>
      </c>
      <c r="AF75" s="173">
        <v>0</v>
      </c>
      <c r="AG75" s="926">
        <f t="shared" si="51"/>
        <v>298.93285714285719</v>
      </c>
      <c r="AH75" s="894">
        <f t="shared" si="52"/>
        <v>714.64285714285711</v>
      </c>
      <c r="AI75" s="15">
        <f t="shared" si="70"/>
        <v>714.64285714285711</v>
      </c>
      <c r="AJ75" s="15">
        <f t="shared" si="70"/>
        <v>0</v>
      </c>
      <c r="AK75" s="15">
        <f t="shared" si="70"/>
        <v>0</v>
      </c>
      <c r="AL75" s="15">
        <f t="shared" si="70"/>
        <v>0</v>
      </c>
      <c r="AM75" s="15">
        <f t="shared" si="70"/>
        <v>0</v>
      </c>
      <c r="AN75" s="15"/>
      <c r="AO75" s="15">
        <f t="shared" si="67"/>
        <v>714.64285714285711</v>
      </c>
      <c r="AP75" s="15">
        <f t="shared" si="68"/>
        <v>714.64285714285711</v>
      </c>
      <c r="AQ75" s="15">
        <f t="shared" si="85"/>
        <v>714.64285714285711</v>
      </c>
      <c r="AR75" s="127">
        <f t="shared" si="32"/>
        <v>0</v>
      </c>
      <c r="AS75" s="112">
        <f t="shared" si="79"/>
        <v>2645200.5107142855</v>
      </c>
      <c r="AT75" s="112">
        <f t="shared" si="79"/>
        <v>0</v>
      </c>
      <c r="AU75" s="112">
        <f t="shared" si="79"/>
        <v>0</v>
      </c>
      <c r="AV75" s="112">
        <f t="shared" si="79"/>
        <v>0</v>
      </c>
      <c r="AW75" s="112">
        <f t="shared" si="79"/>
        <v>0</v>
      </c>
      <c r="AX75" s="112">
        <f t="shared" si="86"/>
        <v>2645200.5107142855</v>
      </c>
      <c r="AY75" s="112">
        <f t="shared" si="87"/>
        <v>2645200.5107142855</v>
      </c>
      <c r="AZ75" s="112">
        <f t="shared" si="80"/>
        <v>2751981.0308614452</v>
      </c>
      <c r="BA75" s="112">
        <f t="shared" si="80"/>
        <v>0</v>
      </c>
      <c r="BB75" s="112">
        <f t="shared" si="80"/>
        <v>0</v>
      </c>
      <c r="BC75" s="112">
        <f t="shared" si="80"/>
        <v>0</v>
      </c>
      <c r="BD75" s="112">
        <f t="shared" si="80"/>
        <v>0</v>
      </c>
      <c r="BE75" s="112">
        <f t="shared" si="88"/>
        <v>2751981.0308614452</v>
      </c>
      <c r="BF75" s="112">
        <f t="shared" si="89"/>
        <v>2751981.0308614452</v>
      </c>
      <c r="BG75" s="117"/>
      <c r="BH75" s="117"/>
      <c r="BI75" s="112">
        <f t="shared" si="84"/>
        <v>0</v>
      </c>
      <c r="BJ75" s="1276"/>
      <c r="BK75" s="1276"/>
      <c r="BL75" s="112">
        <f t="shared" si="77"/>
        <v>1538721.4652999998</v>
      </c>
      <c r="BM75" s="112">
        <f t="shared" si="77"/>
        <v>0</v>
      </c>
      <c r="BN75" s="112">
        <f t="shared" si="77"/>
        <v>0</v>
      </c>
      <c r="BO75" s="112">
        <f t="shared" si="77"/>
        <v>0</v>
      </c>
      <c r="BP75" s="112">
        <f t="shared" si="77"/>
        <v>0</v>
      </c>
      <c r="BQ75" s="112">
        <f t="shared" si="54"/>
        <v>1538721.4652999998</v>
      </c>
      <c r="BR75" s="112">
        <f t="shared" si="55"/>
        <v>1538721.4652999998</v>
      </c>
      <c r="BS75" s="112">
        <f t="shared" si="78"/>
        <v>1151145.0008012997</v>
      </c>
      <c r="BT75" s="112">
        <f t="shared" si="78"/>
        <v>0</v>
      </c>
      <c r="BU75" s="112">
        <f t="shared" si="78"/>
        <v>0</v>
      </c>
      <c r="BV75" s="112">
        <f t="shared" si="57"/>
        <v>0</v>
      </c>
      <c r="BW75" s="112">
        <f t="shared" si="14"/>
        <v>0</v>
      </c>
      <c r="BX75" s="112">
        <f t="shared" si="58"/>
        <v>1151145.0008012997</v>
      </c>
      <c r="BY75" s="112">
        <f t="shared" si="59"/>
        <v>1151145.0008012997</v>
      </c>
      <c r="BZ75" s="113">
        <f t="shared" si="60"/>
        <v>0</v>
      </c>
      <c r="CA75" s="113">
        <f t="shared" si="60"/>
        <v>0</v>
      </c>
      <c r="CB75" s="113">
        <f t="shared" si="61"/>
        <v>0</v>
      </c>
      <c r="CC75" s="119" t="e">
        <f t="shared" si="62"/>
        <v>#DIV/0!</v>
      </c>
      <c r="CD75" s="119" t="e">
        <f t="shared" si="62"/>
        <v>#DIV/0!</v>
      </c>
      <c r="CE75" s="119" t="e">
        <f t="shared" si="35"/>
        <v>#DIV/0!</v>
      </c>
      <c r="CF75" s="113" t="e">
        <f t="shared" si="15"/>
        <v>#DIV/0!</v>
      </c>
      <c r="CG75" s="619">
        <f t="shared" si="16"/>
        <v>0</v>
      </c>
      <c r="CH75" s="132" t="e">
        <f t="shared" si="36"/>
        <v>#DIV/0!</v>
      </c>
      <c r="CI75" s="171"/>
      <c r="CJ75" s="208">
        <f t="shared" si="37"/>
        <v>1600.836030060146</v>
      </c>
      <c r="CK75" s="208">
        <f t="shared" si="17"/>
        <v>1151.1450008012996</v>
      </c>
      <c r="CL75" s="112">
        <f t="shared" si="92"/>
        <v>2751.9810308614456</v>
      </c>
      <c r="CM75" s="18">
        <f t="shared" si="39"/>
        <v>2751.9810308614451</v>
      </c>
      <c r="CN75" s="18">
        <f t="shared" si="40"/>
        <v>0</v>
      </c>
      <c r="CO75" s="112">
        <f t="shared" si="18"/>
        <v>2689866.4661012995</v>
      </c>
      <c r="CP75" s="112">
        <f t="shared" si="19"/>
        <v>2645200.5107142855</v>
      </c>
      <c r="CQ75" s="112">
        <f t="shared" si="20"/>
        <v>2645200.5107142855</v>
      </c>
      <c r="CR75" s="112">
        <f t="shared" si="21"/>
        <v>1538721.4652999998</v>
      </c>
      <c r="CS75" s="112">
        <f t="shared" si="22"/>
        <v>2751981.0308614452</v>
      </c>
      <c r="CT75" s="112">
        <f t="shared" si="23"/>
        <v>2751981.0308614452</v>
      </c>
      <c r="CU75" s="112">
        <f t="shared" si="24"/>
        <v>1151145.0008012997</v>
      </c>
      <c r="CV75" s="112">
        <f t="shared" si="41"/>
        <v>5397181.5415757308</v>
      </c>
      <c r="CW75" s="843">
        <f t="shared" si="42"/>
        <v>7552.2780191964248</v>
      </c>
      <c r="CX75" s="112">
        <f t="shared" si="25"/>
        <v>0</v>
      </c>
      <c r="CY75" s="112">
        <f t="shared" si="26"/>
        <v>0</v>
      </c>
      <c r="CZ75" s="112"/>
      <c r="DA75" s="112">
        <f t="shared" si="27"/>
        <v>2645200.5107142855</v>
      </c>
      <c r="DB75" s="112">
        <f t="shared" si="28"/>
        <v>2751981.0308614452</v>
      </c>
      <c r="DC75" s="171"/>
      <c r="DD75" s="128" t="e">
        <f t="shared" si="43"/>
        <v>#DIV/0!</v>
      </c>
      <c r="DE75" s="171"/>
      <c r="DF75" s="171"/>
      <c r="DG75" s="171"/>
      <c r="DH75" s="112">
        <v>714.64285714285711</v>
      </c>
      <c r="DI75" s="797">
        <v>0</v>
      </c>
      <c r="DJ75" s="797">
        <f t="shared" si="44"/>
        <v>714.64285714285711</v>
      </c>
      <c r="DK75" s="171"/>
      <c r="DL75" s="618">
        <f t="shared" si="29"/>
        <v>0</v>
      </c>
      <c r="DM75" s="618">
        <f t="shared" si="30"/>
        <v>0</v>
      </c>
      <c r="DN75" s="618">
        <f t="shared" si="31"/>
        <v>0</v>
      </c>
      <c r="DO75" s="125"/>
    </row>
    <row r="76" spans="1:121" customFormat="1" ht="100.5" customHeight="1">
      <c r="A76" s="20">
        <f t="shared" si="45"/>
        <v>63</v>
      </c>
      <c r="B76" s="1286"/>
      <c r="C76" s="762" t="s">
        <v>158</v>
      </c>
      <c r="D76" s="760" t="s">
        <v>161</v>
      </c>
      <c r="E76" s="763">
        <v>4617004147</v>
      </c>
      <c r="F76" s="760" t="s">
        <v>8</v>
      </c>
      <c r="G76" s="1251"/>
      <c r="H76" s="868">
        <v>3701.43</v>
      </c>
      <c r="I76" s="826">
        <v>3701.43</v>
      </c>
      <c r="J76" s="826"/>
      <c r="K76" s="826"/>
      <c r="L76" s="826"/>
      <c r="M76" s="869"/>
      <c r="N76" s="853">
        <v>3850.8480191964254</v>
      </c>
      <c r="O76" s="36">
        <v>3850.8480191964254</v>
      </c>
      <c r="P76" s="36"/>
      <c r="Q76" s="36"/>
      <c r="R76" s="36"/>
      <c r="S76" s="911"/>
      <c r="T76" s="927">
        <f t="shared" si="90"/>
        <v>415.71</v>
      </c>
      <c r="U76" s="173">
        <v>0</v>
      </c>
      <c r="V76" s="224">
        <v>0</v>
      </c>
      <c r="W76" s="173">
        <v>0</v>
      </c>
      <c r="X76" s="173">
        <v>0</v>
      </c>
      <c r="Y76" s="173">
        <v>0</v>
      </c>
      <c r="Z76" s="926">
        <f t="shared" si="50"/>
        <v>415.71</v>
      </c>
      <c r="AA76" s="895">
        <f t="shared" si="91"/>
        <v>298.93285714285719</v>
      </c>
      <c r="AB76" s="173">
        <v>0</v>
      </c>
      <c r="AC76" s="224">
        <v>0</v>
      </c>
      <c r="AD76" s="173">
        <v>0</v>
      </c>
      <c r="AE76" s="173">
        <v>0</v>
      </c>
      <c r="AF76" s="173">
        <v>0</v>
      </c>
      <c r="AG76" s="926">
        <f t="shared" si="51"/>
        <v>298.93285714285719</v>
      </c>
      <c r="AH76" s="894">
        <f t="shared" si="52"/>
        <v>714.64285714285711</v>
      </c>
      <c r="AI76" s="15">
        <f t="shared" si="70"/>
        <v>714.64285714285711</v>
      </c>
      <c r="AJ76" s="15">
        <f t="shared" si="70"/>
        <v>0</v>
      </c>
      <c r="AK76" s="15">
        <f t="shared" si="70"/>
        <v>0</v>
      </c>
      <c r="AL76" s="15">
        <f t="shared" si="70"/>
        <v>0</v>
      </c>
      <c r="AM76" s="15">
        <f t="shared" si="70"/>
        <v>0</v>
      </c>
      <c r="AN76" s="15"/>
      <c r="AO76" s="15">
        <f t="shared" si="67"/>
        <v>714.64285714285711</v>
      </c>
      <c r="AP76" s="15">
        <f t="shared" si="68"/>
        <v>714.64285714285711</v>
      </c>
      <c r="AQ76" s="15">
        <f t="shared" si="85"/>
        <v>714.64285714285711</v>
      </c>
      <c r="AR76" s="127">
        <f t="shared" si="32"/>
        <v>0</v>
      </c>
      <c r="AS76" s="112">
        <f t="shared" si="79"/>
        <v>2645200.5107142855</v>
      </c>
      <c r="AT76" s="112">
        <f t="shared" si="79"/>
        <v>0</v>
      </c>
      <c r="AU76" s="112">
        <f t="shared" si="79"/>
        <v>0</v>
      </c>
      <c r="AV76" s="112">
        <f t="shared" si="79"/>
        <v>0</v>
      </c>
      <c r="AW76" s="112">
        <f t="shared" si="79"/>
        <v>0</v>
      </c>
      <c r="AX76" s="112">
        <f t="shared" si="86"/>
        <v>2645200.5107142855</v>
      </c>
      <c r="AY76" s="112">
        <f t="shared" si="87"/>
        <v>2645200.5107142855</v>
      </c>
      <c r="AZ76" s="112">
        <f t="shared" si="80"/>
        <v>2751981.0308614452</v>
      </c>
      <c r="BA76" s="112">
        <f t="shared" si="80"/>
        <v>0</v>
      </c>
      <c r="BB76" s="112">
        <f t="shared" si="80"/>
        <v>0</v>
      </c>
      <c r="BC76" s="112">
        <f t="shared" si="80"/>
        <v>0</v>
      </c>
      <c r="BD76" s="112">
        <f t="shared" si="80"/>
        <v>0</v>
      </c>
      <c r="BE76" s="112">
        <f t="shared" si="88"/>
        <v>2751981.0308614452</v>
      </c>
      <c r="BF76" s="112">
        <f t="shared" si="89"/>
        <v>2751981.0308614452</v>
      </c>
      <c r="BG76" s="117"/>
      <c r="BH76" s="117"/>
      <c r="BI76" s="112">
        <f t="shared" si="84"/>
        <v>0</v>
      </c>
      <c r="BJ76" s="1276"/>
      <c r="BK76" s="1276"/>
      <c r="BL76" s="112">
        <f t="shared" ref="BL76:BP110" si="93">I76*T76</f>
        <v>1538721.4652999998</v>
      </c>
      <c r="BM76" s="112">
        <f t="shared" si="93"/>
        <v>0</v>
      </c>
      <c r="BN76" s="112">
        <f t="shared" si="93"/>
        <v>0</v>
      </c>
      <c r="BO76" s="112">
        <f t="shared" si="93"/>
        <v>0</v>
      </c>
      <c r="BP76" s="112">
        <f t="shared" si="93"/>
        <v>0</v>
      </c>
      <c r="BQ76" s="112">
        <f t="shared" si="54"/>
        <v>1538721.4652999998</v>
      </c>
      <c r="BR76" s="112">
        <f t="shared" si="55"/>
        <v>1538721.4652999998</v>
      </c>
      <c r="BS76" s="112">
        <f t="shared" ref="BS76:BU110" si="94">O76*AA76</f>
        <v>1151145.0008012997</v>
      </c>
      <c r="BT76" s="112">
        <f t="shared" si="94"/>
        <v>0</v>
      </c>
      <c r="BU76" s="112">
        <f t="shared" si="94"/>
        <v>0</v>
      </c>
      <c r="BV76" s="112">
        <f t="shared" si="57"/>
        <v>0</v>
      </c>
      <c r="BW76" s="112">
        <f t="shared" si="14"/>
        <v>0</v>
      </c>
      <c r="BX76" s="112">
        <f t="shared" si="58"/>
        <v>1151145.0008012997</v>
      </c>
      <c r="BY76" s="112">
        <f t="shared" si="59"/>
        <v>1151145.0008012997</v>
      </c>
      <c r="BZ76" s="113">
        <f t="shared" ref="BZ76:CA143" si="95">BM76+BT76</f>
        <v>0</v>
      </c>
      <c r="CA76" s="113">
        <f t="shared" si="95"/>
        <v>0</v>
      </c>
      <c r="CB76" s="113">
        <f t="shared" si="61"/>
        <v>0</v>
      </c>
      <c r="CC76" s="119" t="e">
        <f t="shared" ref="CC76:CD143" si="96">BZ76/AJ76</f>
        <v>#DIV/0!</v>
      </c>
      <c r="CD76" s="119" t="e">
        <f t="shared" si="96"/>
        <v>#DIV/0!</v>
      </c>
      <c r="CE76" s="119" t="e">
        <f t="shared" si="35"/>
        <v>#DIV/0!</v>
      </c>
      <c r="CF76" s="113" t="e">
        <f t="shared" si="15"/>
        <v>#DIV/0!</v>
      </c>
      <c r="CG76" s="619">
        <f t="shared" si="16"/>
        <v>0</v>
      </c>
      <c r="CH76" s="132" t="e">
        <f t="shared" si="36"/>
        <v>#DIV/0!</v>
      </c>
      <c r="CI76" s="171"/>
      <c r="CJ76" s="208">
        <f t="shared" si="37"/>
        <v>1600.836030060146</v>
      </c>
      <c r="CK76" s="208">
        <f t="shared" si="17"/>
        <v>1151.1450008012996</v>
      </c>
      <c r="CL76" s="112">
        <f t="shared" si="92"/>
        <v>2751.9810308614456</v>
      </c>
      <c r="CM76" s="18">
        <f t="shared" si="39"/>
        <v>2751.9810308614451</v>
      </c>
      <c r="CN76" s="18">
        <f t="shared" si="40"/>
        <v>0</v>
      </c>
      <c r="CO76" s="112">
        <f t="shared" si="18"/>
        <v>2689866.4661012995</v>
      </c>
      <c r="CP76" s="112">
        <f t="shared" si="19"/>
        <v>2645200.5107142855</v>
      </c>
      <c r="CQ76" s="112">
        <f t="shared" si="20"/>
        <v>2645200.5107142855</v>
      </c>
      <c r="CR76" s="112">
        <f t="shared" si="21"/>
        <v>1538721.4652999998</v>
      </c>
      <c r="CS76" s="112">
        <f t="shared" si="22"/>
        <v>2751981.0308614452</v>
      </c>
      <c r="CT76" s="112">
        <f t="shared" si="23"/>
        <v>2751981.0308614452</v>
      </c>
      <c r="CU76" s="112">
        <f t="shared" si="24"/>
        <v>1151145.0008012997</v>
      </c>
      <c r="CV76" s="112">
        <f t="shared" si="41"/>
        <v>5397181.5415757308</v>
      </c>
      <c r="CW76" s="843">
        <f t="shared" si="42"/>
        <v>7552.2780191964248</v>
      </c>
      <c r="CX76" s="112">
        <f t="shared" si="25"/>
        <v>0</v>
      </c>
      <c r="CY76" s="112">
        <f t="shared" si="26"/>
        <v>0</v>
      </c>
      <c r="CZ76" s="112"/>
      <c r="DA76" s="112">
        <f t="shared" si="27"/>
        <v>2645200.5107142855</v>
      </c>
      <c r="DB76" s="112">
        <f t="shared" si="28"/>
        <v>2751981.0308614452</v>
      </c>
      <c r="DC76" s="171"/>
      <c r="DD76" s="128" t="e">
        <f t="shared" si="43"/>
        <v>#DIV/0!</v>
      </c>
      <c r="DE76" s="171"/>
      <c r="DF76" s="171"/>
      <c r="DG76" s="171"/>
      <c r="DH76" s="112">
        <v>714.64285714285711</v>
      </c>
      <c r="DI76" s="797">
        <v>0</v>
      </c>
      <c r="DJ76" s="797">
        <f t="shared" si="44"/>
        <v>714.64285714285711</v>
      </c>
      <c r="DK76" s="171"/>
      <c r="DL76" s="618">
        <f t="shared" si="29"/>
        <v>0</v>
      </c>
      <c r="DM76" s="618">
        <f t="shared" si="30"/>
        <v>0</v>
      </c>
      <c r="DN76" s="618">
        <f t="shared" si="31"/>
        <v>0</v>
      </c>
      <c r="DO76" s="125"/>
    </row>
    <row r="77" spans="1:121" customFormat="1" ht="100.5" customHeight="1">
      <c r="A77" s="20">
        <f t="shared" si="45"/>
        <v>64</v>
      </c>
      <c r="B77" s="1286"/>
      <c r="C77" s="762" t="s">
        <v>159</v>
      </c>
      <c r="D77" s="760" t="s">
        <v>161</v>
      </c>
      <c r="E77" s="763">
        <v>4617004147</v>
      </c>
      <c r="F77" s="760" t="s">
        <v>8</v>
      </c>
      <c r="G77" s="1251"/>
      <c r="H77" s="868">
        <v>3701.43</v>
      </c>
      <c r="I77" s="826">
        <v>3701.43</v>
      </c>
      <c r="J77" s="826"/>
      <c r="K77" s="826"/>
      <c r="L77" s="826"/>
      <c r="M77" s="869"/>
      <c r="N77" s="853">
        <v>3850.8480191964254</v>
      </c>
      <c r="O77" s="36">
        <v>3850.8480191964254</v>
      </c>
      <c r="P77" s="36"/>
      <c r="Q77" s="36"/>
      <c r="R77" s="36"/>
      <c r="S77" s="911"/>
      <c r="T77" s="927">
        <f t="shared" si="90"/>
        <v>415.71</v>
      </c>
      <c r="U77" s="173">
        <v>0</v>
      </c>
      <c r="V77" s="224">
        <v>0</v>
      </c>
      <c r="W77" s="173">
        <v>0</v>
      </c>
      <c r="X77" s="173">
        <v>0</v>
      </c>
      <c r="Y77" s="173">
        <v>0</v>
      </c>
      <c r="Z77" s="926">
        <f>SUM(T77:W77)</f>
        <v>415.71</v>
      </c>
      <c r="AA77" s="895">
        <f t="shared" si="91"/>
        <v>298.93285714285719</v>
      </c>
      <c r="AB77" s="173">
        <v>0</v>
      </c>
      <c r="AC77" s="224">
        <v>0</v>
      </c>
      <c r="AD77" s="173">
        <v>0</v>
      </c>
      <c r="AE77" s="173">
        <v>0</v>
      </c>
      <c r="AF77" s="173">
        <v>0</v>
      </c>
      <c r="AG77" s="926">
        <f>SUM(AA77:AD77)</f>
        <v>298.93285714285719</v>
      </c>
      <c r="AH77" s="894">
        <f t="shared" si="52"/>
        <v>714.64285714285711</v>
      </c>
      <c r="AI77" s="15">
        <f t="shared" si="70"/>
        <v>714.64285714285711</v>
      </c>
      <c r="AJ77" s="15">
        <f t="shared" si="70"/>
        <v>0</v>
      </c>
      <c r="AK77" s="15">
        <f t="shared" si="70"/>
        <v>0</v>
      </c>
      <c r="AL77" s="15">
        <f t="shared" si="70"/>
        <v>0</v>
      </c>
      <c r="AM77" s="15">
        <f t="shared" si="70"/>
        <v>0</v>
      </c>
      <c r="AN77" s="15"/>
      <c r="AO77" s="15">
        <f t="shared" si="67"/>
        <v>714.64285714285711</v>
      </c>
      <c r="AP77" s="15">
        <f t="shared" si="68"/>
        <v>714.64285714285711</v>
      </c>
      <c r="AQ77" s="15">
        <f t="shared" si="85"/>
        <v>714.64285714285711</v>
      </c>
      <c r="AR77" s="127">
        <f t="shared" si="32"/>
        <v>0</v>
      </c>
      <c r="AS77" s="112">
        <f t="shared" si="79"/>
        <v>2645200.5107142855</v>
      </c>
      <c r="AT77" s="112">
        <f t="shared" si="79"/>
        <v>0</v>
      </c>
      <c r="AU77" s="112">
        <f t="shared" si="79"/>
        <v>0</v>
      </c>
      <c r="AV77" s="112">
        <f t="shared" si="79"/>
        <v>0</v>
      </c>
      <c r="AW77" s="112">
        <f t="shared" si="79"/>
        <v>0</v>
      </c>
      <c r="AX77" s="112">
        <f t="shared" si="86"/>
        <v>2645200.5107142855</v>
      </c>
      <c r="AY77" s="112">
        <f t="shared" si="87"/>
        <v>2645200.5107142855</v>
      </c>
      <c r="AZ77" s="112">
        <f t="shared" si="80"/>
        <v>2751981.0308614452</v>
      </c>
      <c r="BA77" s="112">
        <f t="shared" si="80"/>
        <v>0</v>
      </c>
      <c r="BB77" s="112">
        <f t="shared" si="80"/>
        <v>0</v>
      </c>
      <c r="BC77" s="112">
        <f t="shared" si="80"/>
        <v>0</v>
      </c>
      <c r="BD77" s="112">
        <f t="shared" si="80"/>
        <v>0</v>
      </c>
      <c r="BE77" s="112">
        <f t="shared" si="88"/>
        <v>2751981.0308614452</v>
      </c>
      <c r="BF77" s="112">
        <f t="shared" si="89"/>
        <v>2751981.0308614452</v>
      </c>
      <c r="BG77" s="117"/>
      <c r="BH77" s="117"/>
      <c r="BI77" s="112">
        <f t="shared" si="84"/>
        <v>0</v>
      </c>
      <c r="BJ77" s="1276"/>
      <c r="BK77" s="1276"/>
      <c r="BL77" s="112">
        <f t="shared" si="93"/>
        <v>1538721.4652999998</v>
      </c>
      <c r="BM77" s="112">
        <f t="shared" si="93"/>
        <v>0</v>
      </c>
      <c r="BN77" s="112">
        <f t="shared" si="93"/>
        <v>0</v>
      </c>
      <c r="BO77" s="112">
        <f t="shared" si="93"/>
        <v>0</v>
      </c>
      <c r="BP77" s="112">
        <f t="shared" si="93"/>
        <v>0</v>
      </c>
      <c r="BQ77" s="112">
        <f t="shared" si="54"/>
        <v>1538721.4652999998</v>
      </c>
      <c r="BR77" s="112">
        <f t="shared" si="55"/>
        <v>1538721.4652999998</v>
      </c>
      <c r="BS77" s="112">
        <f t="shared" si="94"/>
        <v>1151145.0008012997</v>
      </c>
      <c r="BT77" s="112">
        <f t="shared" si="94"/>
        <v>0</v>
      </c>
      <c r="BU77" s="112">
        <f t="shared" si="94"/>
        <v>0</v>
      </c>
      <c r="BV77" s="112">
        <f t="shared" si="57"/>
        <v>0</v>
      </c>
      <c r="BW77" s="112">
        <f t="shared" si="14"/>
        <v>0</v>
      </c>
      <c r="BX77" s="112">
        <f t="shared" si="58"/>
        <v>1151145.0008012997</v>
      </c>
      <c r="BY77" s="112">
        <f t="shared" si="59"/>
        <v>1151145.0008012997</v>
      </c>
      <c r="BZ77" s="113">
        <f t="shared" si="95"/>
        <v>0</v>
      </c>
      <c r="CA77" s="113">
        <f t="shared" si="95"/>
        <v>0</v>
      </c>
      <c r="CB77" s="113">
        <f t="shared" si="61"/>
        <v>0</v>
      </c>
      <c r="CC77" s="119" t="e">
        <f t="shared" si="96"/>
        <v>#DIV/0!</v>
      </c>
      <c r="CD77" s="119" t="e">
        <f t="shared" si="96"/>
        <v>#DIV/0!</v>
      </c>
      <c r="CE77" s="119" t="e">
        <f t="shared" si="35"/>
        <v>#DIV/0!</v>
      </c>
      <c r="CF77" s="113" t="e">
        <f t="shared" si="15"/>
        <v>#DIV/0!</v>
      </c>
      <c r="CG77" s="619">
        <f t="shared" si="16"/>
        <v>0</v>
      </c>
      <c r="CH77" s="132" t="e">
        <f t="shared" si="36"/>
        <v>#DIV/0!</v>
      </c>
      <c r="CI77" s="171"/>
      <c r="CJ77" s="208">
        <f t="shared" si="37"/>
        <v>1600.836030060146</v>
      </c>
      <c r="CK77" s="208">
        <f t="shared" si="17"/>
        <v>1151.1450008012996</v>
      </c>
      <c r="CL77" s="112">
        <f t="shared" si="92"/>
        <v>2751.9810308614456</v>
      </c>
      <c r="CM77" s="18">
        <f t="shared" si="39"/>
        <v>2751.9810308614451</v>
      </c>
      <c r="CN77" s="18">
        <f t="shared" si="40"/>
        <v>0</v>
      </c>
      <c r="CO77" s="112">
        <f t="shared" si="18"/>
        <v>2689866.4661012995</v>
      </c>
      <c r="CP77" s="112">
        <f t="shared" si="19"/>
        <v>2645200.5107142855</v>
      </c>
      <c r="CQ77" s="112">
        <f t="shared" si="20"/>
        <v>2645200.5107142855</v>
      </c>
      <c r="CR77" s="112">
        <f t="shared" si="21"/>
        <v>1538721.4652999998</v>
      </c>
      <c r="CS77" s="112">
        <f t="shared" si="22"/>
        <v>2751981.0308614452</v>
      </c>
      <c r="CT77" s="112">
        <f t="shared" si="23"/>
        <v>2751981.0308614452</v>
      </c>
      <c r="CU77" s="112">
        <f t="shared" si="24"/>
        <v>1151145.0008012997</v>
      </c>
      <c r="CV77" s="112">
        <f t="shared" si="41"/>
        <v>5397181.5415757308</v>
      </c>
      <c r="CW77" s="843">
        <f t="shared" si="42"/>
        <v>7552.2780191964248</v>
      </c>
      <c r="CX77" s="112">
        <f t="shared" si="25"/>
        <v>0</v>
      </c>
      <c r="CY77" s="112">
        <f t="shared" si="26"/>
        <v>0</v>
      </c>
      <c r="CZ77" s="112"/>
      <c r="DA77" s="112">
        <f t="shared" si="27"/>
        <v>2645200.5107142855</v>
      </c>
      <c r="DB77" s="112">
        <f t="shared" si="28"/>
        <v>2751981.0308614452</v>
      </c>
      <c r="DC77" s="171"/>
      <c r="DD77" s="128" t="e">
        <f t="shared" si="43"/>
        <v>#DIV/0!</v>
      </c>
      <c r="DE77" s="171"/>
      <c r="DF77" s="171"/>
      <c r="DG77" s="171"/>
      <c r="DH77" s="112">
        <v>714.64285714285711</v>
      </c>
      <c r="DI77" s="797">
        <v>0</v>
      </c>
      <c r="DJ77" s="797">
        <f t="shared" si="44"/>
        <v>714.64285714285711</v>
      </c>
      <c r="DK77" s="171"/>
      <c r="DL77" s="618">
        <f t="shared" si="29"/>
        <v>0</v>
      </c>
      <c r="DM77" s="618">
        <f t="shared" si="30"/>
        <v>0</v>
      </c>
      <c r="DN77" s="618">
        <f t="shared" si="31"/>
        <v>0</v>
      </c>
      <c r="DO77" s="125"/>
    </row>
    <row r="78" spans="1:121" customFormat="1" ht="100.5" customHeight="1">
      <c r="A78" s="20">
        <f t="shared" si="45"/>
        <v>65</v>
      </c>
      <c r="B78" s="1286"/>
      <c r="C78" s="762" t="s">
        <v>160</v>
      </c>
      <c r="D78" s="760" t="s">
        <v>161</v>
      </c>
      <c r="E78" s="763">
        <v>4617004147</v>
      </c>
      <c r="F78" s="760" t="s">
        <v>8</v>
      </c>
      <c r="G78" s="1251"/>
      <c r="H78" s="868">
        <v>3701.43</v>
      </c>
      <c r="I78" s="826">
        <v>3701.43</v>
      </c>
      <c r="J78" s="826"/>
      <c r="K78" s="826"/>
      <c r="L78" s="826"/>
      <c r="M78" s="869"/>
      <c r="N78" s="853">
        <v>3850.8480191964254</v>
      </c>
      <c r="O78" s="36">
        <v>3850.8480191964254</v>
      </c>
      <c r="P78" s="36"/>
      <c r="Q78" s="36"/>
      <c r="R78" s="36"/>
      <c r="S78" s="911"/>
      <c r="T78" s="927">
        <f t="shared" si="90"/>
        <v>415.71</v>
      </c>
      <c r="U78" s="173">
        <v>0</v>
      </c>
      <c r="V78" s="224">
        <v>0</v>
      </c>
      <c r="W78" s="173">
        <v>0</v>
      </c>
      <c r="X78" s="173">
        <v>0</v>
      </c>
      <c r="Y78" s="173">
        <v>0</v>
      </c>
      <c r="Z78" s="926">
        <f>SUM(T78:W78)</f>
        <v>415.71</v>
      </c>
      <c r="AA78" s="895">
        <f t="shared" si="91"/>
        <v>298.93285714285719</v>
      </c>
      <c r="AB78" s="173">
        <v>0</v>
      </c>
      <c r="AC78" s="224">
        <v>0</v>
      </c>
      <c r="AD78" s="173">
        <v>0</v>
      </c>
      <c r="AE78" s="173">
        <v>0</v>
      </c>
      <c r="AF78" s="173">
        <v>0</v>
      </c>
      <c r="AG78" s="926">
        <f>SUM(AA78:AD78)</f>
        <v>298.93285714285719</v>
      </c>
      <c r="AH78" s="894">
        <f t="shared" si="52"/>
        <v>714.64285714285711</v>
      </c>
      <c r="AI78" s="15">
        <f t="shared" si="70"/>
        <v>714.64285714285711</v>
      </c>
      <c r="AJ78" s="15">
        <f t="shared" si="70"/>
        <v>0</v>
      </c>
      <c r="AK78" s="15">
        <f t="shared" si="70"/>
        <v>0</v>
      </c>
      <c r="AL78" s="15">
        <f t="shared" si="70"/>
        <v>0</v>
      </c>
      <c r="AM78" s="15">
        <f t="shared" si="70"/>
        <v>0</v>
      </c>
      <c r="AN78" s="15"/>
      <c r="AO78" s="15">
        <f t="shared" si="67"/>
        <v>714.64285714285711</v>
      </c>
      <c r="AP78" s="15">
        <f t="shared" si="68"/>
        <v>714.64285714285711</v>
      </c>
      <c r="AQ78" s="15">
        <f t="shared" si="85"/>
        <v>714.64285714285711</v>
      </c>
      <c r="AR78" s="127">
        <f t="shared" si="32"/>
        <v>0</v>
      </c>
      <c r="AS78" s="112">
        <f t="shared" si="79"/>
        <v>2645200.5107142855</v>
      </c>
      <c r="AT78" s="112">
        <f t="shared" si="79"/>
        <v>0</v>
      </c>
      <c r="AU78" s="112">
        <f t="shared" si="79"/>
        <v>0</v>
      </c>
      <c r="AV78" s="112">
        <f t="shared" si="79"/>
        <v>0</v>
      </c>
      <c r="AW78" s="112">
        <f t="shared" si="79"/>
        <v>0</v>
      </c>
      <c r="AX78" s="112">
        <f t="shared" si="86"/>
        <v>2645200.5107142855</v>
      </c>
      <c r="AY78" s="112">
        <f t="shared" si="87"/>
        <v>2645200.5107142855</v>
      </c>
      <c r="AZ78" s="112">
        <f t="shared" si="80"/>
        <v>2751981.0308614452</v>
      </c>
      <c r="BA78" s="112">
        <f t="shared" si="80"/>
        <v>0</v>
      </c>
      <c r="BB78" s="112">
        <f t="shared" si="80"/>
        <v>0</v>
      </c>
      <c r="BC78" s="112">
        <f t="shared" si="80"/>
        <v>0</v>
      </c>
      <c r="BD78" s="112">
        <f t="shared" si="80"/>
        <v>0</v>
      </c>
      <c r="BE78" s="112">
        <f t="shared" si="88"/>
        <v>2751981.0308614452</v>
      </c>
      <c r="BF78" s="112">
        <f t="shared" si="89"/>
        <v>2751981.0308614452</v>
      </c>
      <c r="BG78" s="117"/>
      <c r="BH78" s="117"/>
      <c r="BI78" s="112">
        <f t="shared" si="84"/>
        <v>0</v>
      </c>
      <c r="BJ78" s="1276"/>
      <c r="BK78" s="1276"/>
      <c r="BL78" s="112">
        <f t="shared" si="93"/>
        <v>1538721.4652999998</v>
      </c>
      <c r="BM78" s="112">
        <f t="shared" si="93"/>
        <v>0</v>
      </c>
      <c r="BN78" s="112">
        <f t="shared" si="93"/>
        <v>0</v>
      </c>
      <c r="BO78" s="112">
        <f t="shared" si="93"/>
        <v>0</v>
      </c>
      <c r="BP78" s="112">
        <f t="shared" si="93"/>
        <v>0</v>
      </c>
      <c r="BQ78" s="112">
        <f t="shared" si="54"/>
        <v>1538721.4652999998</v>
      </c>
      <c r="BR78" s="112">
        <f t="shared" si="55"/>
        <v>1538721.4652999998</v>
      </c>
      <c r="BS78" s="112">
        <f t="shared" si="94"/>
        <v>1151145.0008012997</v>
      </c>
      <c r="BT78" s="112">
        <f t="shared" si="94"/>
        <v>0</v>
      </c>
      <c r="BU78" s="112">
        <f t="shared" si="94"/>
        <v>0</v>
      </c>
      <c r="BV78" s="112">
        <f t="shared" si="57"/>
        <v>0</v>
      </c>
      <c r="BW78" s="112">
        <f t="shared" ref="BW78:BW133" si="97">S78*AE78</f>
        <v>0</v>
      </c>
      <c r="BX78" s="112">
        <f t="shared" si="58"/>
        <v>1151145.0008012997</v>
      </c>
      <c r="BY78" s="112">
        <f t="shared" si="59"/>
        <v>1151145.0008012997</v>
      </c>
      <c r="BZ78" s="113">
        <f t="shared" si="95"/>
        <v>0</v>
      </c>
      <c r="CA78" s="113">
        <f t="shared" si="95"/>
        <v>0</v>
      </c>
      <c r="CB78" s="113">
        <f t="shared" si="61"/>
        <v>0</v>
      </c>
      <c r="CC78" s="119" t="e">
        <f t="shared" si="96"/>
        <v>#DIV/0!</v>
      </c>
      <c r="CD78" s="119" t="e">
        <f t="shared" si="96"/>
        <v>#DIV/0!</v>
      </c>
      <c r="CE78" s="119" t="e">
        <f t="shared" si="35"/>
        <v>#DIV/0!</v>
      </c>
      <c r="CF78" s="113" t="e">
        <f t="shared" ref="CF78:CF143" si="98">CB78/(U78+V78+AB78+AC78)</f>
        <v>#DIV/0!</v>
      </c>
      <c r="CG78" s="619">
        <f t="shared" ref="CG78:CG143" si="99">I78*(U78+V78)+O78*(AB78+AC78)</f>
        <v>0</v>
      </c>
      <c r="CH78" s="132" t="e">
        <f t="shared" si="36"/>
        <v>#DIV/0!</v>
      </c>
      <c r="CI78" s="171"/>
      <c r="CJ78" s="208">
        <f t="shared" si="37"/>
        <v>1600.836030060146</v>
      </c>
      <c r="CK78" s="208">
        <f t="shared" ref="CK78:CK143" si="100">N78*AG78/1000</f>
        <v>1151.1450008012996</v>
      </c>
      <c r="CL78" s="112">
        <f t="shared" si="92"/>
        <v>2751.9810308614456</v>
      </c>
      <c r="CM78" s="18">
        <f t="shared" si="39"/>
        <v>2751.9810308614451</v>
      </c>
      <c r="CN78" s="18">
        <f t="shared" si="40"/>
        <v>0</v>
      </c>
      <c r="CO78" s="112">
        <f t="shared" ref="CO78:CO143" si="101">H78*Z78+N78*AG78</f>
        <v>2689866.4661012995</v>
      </c>
      <c r="CP78" s="112">
        <f t="shared" ref="CP78:CP143" si="102">I78*AI78+J78*AJ78+K78*AK78+L78*AL78</f>
        <v>2645200.5107142855</v>
      </c>
      <c r="CQ78" s="112">
        <f t="shared" ref="CQ78:CQ143" si="103">I78*AI78+J78*(AJ78+AK78)+L78*AL78</f>
        <v>2645200.5107142855</v>
      </c>
      <c r="CR78" s="112">
        <f t="shared" ref="CR78:CR143" si="104">I78*T78+J78*U78+K78*V78+L78*W78</f>
        <v>1538721.4652999998</v>
      </c>
      <c r="CS78" s="112">
        <f t="shared" ref="CS78:CS143" si="105">O78*AI78+P78*AJ78+Q78*AK78+R78*AL78</f>
        <v>2751981.0308614452</v>
      </c>
      <c r="CT78" s="112">
        <f t="shared" ref="CT78:CT143" si="106">O78*AI78+P78*(AJ78+AK78)+R78*AL78</f>
        <v>2751981.0308614452</v>
      </c>
      <c r="CU78" s="112">
        <f t="shared" ref="CU78:CU143" si="107">O78*AA78+P78*AB78+Q78*AC78+R78*AD78</f>
        <v>1151145.0008012997</v>
      </c>
      <c r="CV78" s="112">
        <f t="shared" si="41"/>
        <v>5397181.5415757308</v>
      </c>
      <c r="CW78" s="843">
        <f t="shared" si="42"/>
        <v>7552.2780191964248</v>
      </c>
      <c r="CX78" s="112">
        <f t="shared" ref="CX78:CX143" si="108">J78*AJ78+K78*AK78</f>
        <v>0</v>
      </c>
      <c r="CY78" s="112">
        <f t="shared" ref="CY78:CY143" si="109">P78*AJ78+Q78*AK78</f>
        <v>0</v>
      </c>
      <c r="CZ78" s="112"/>
      <c r="DA78" s="112">
        <f t="shared" ref="DA78:DA143" si="110">H78*AI78+H78*AJ78+H78*AK78+H78*AL78</f>
        <v>2645200.5107142855</v>
      </c>
      <c r="DB78" s="112">
        <f t="shared" ref="DB78:DB143" si="111">N78*AI78+N78*AJ78+N78*AK78+N78*AL78</f>
        <v>2751981.0308614452</v>
      </c>
      <c r="DC78" s="171"/>
      <c r="DD78" s="128" t="e">
        <f t="shared" si="43"/>
        <v>#DIV/0!</v>
      </c>
      <c r="DE78" s="171"/>
      <c r="DF78" s="171"/>
      <c r="DG78" s="171"/>
      <c r="DH78" s="112">
        <v>714.64285714285711</v>
      </c>
      <c r="DI78" s="797">
        <v>0</v>
      </c>
      <c r="DJ78" s="797">
        <f t="shared" si="44"/>
        <v>714.64285714285711</v>
      </c>
      <c r="DK78" s="171"/>
      <c r="DL78" s="618">
        <f t="shared" ref="DL78:DL143" si="112">M78*X78/1000</f>
        <v>0</v>
      </c>
      <c r="DM78" s="618">
        <f t="shared" ref="DM78:DM143" si="113">S78*AE78/1000</f>
        <v>0</v>
      </c>
      <c r="DN78" s="618">
        <f t="shared" ref="DN78:DN143" si="114">DL78+DM78</f>
        <v>0</v>
      </c>
      <c r="DO78" s="125"/>
    </row>
    <row r="79" spans="1:121" customFormat="1" ht="100.5" customHeight="1">
      <c r="A79" s="20">
        <f t="shared" si="45"/>
        <v>66</v>
      </c>
      <c r="B79" s="1282"/>
      <c r="C79" s="762" t="s">
        <v>155</v>
      </c>
      <c r="D79" s="760" t="s">
        <v>161</v>
      </c>
      <c r="E79" s="763">
        <v>4617004147</v>
      </c>
      <c r="F79" s="760" t="s">
        <v>8</v>
      </c>
      <c r="G79" s="1252"/>
      <c r="H79" s="868">
        <v>3701.43</v>
      </c>
      <c r="I79" s="826">
        <v>3701.43</v>
      </c>
      <c r="J79" s="826"/>
      <c r="K79" s="826"/>
      <c r="L79" s="826"/>
      <c r="M79" s="869"/>
      <c r="N79" s="853">
        <v>3850.8480191964254</v>
      </c>
      <c r="O79" s="36">
        <v>3850.8480191964254</v>
      </c>
      <c r="P79" s="36"/>
      <c r="Q79" s="36"/>
      <c r="R79" s="36"/>
      <c r="S79" s="911"/>
      <c r="T79" s="927">
        <f t="shared" si="90"/>
        <v>415.71</v>
      </c>
      <c r="U79" s="173">
        <v>0</v>
      </c>
      <c r="V79" s="224">
        <v>0</v>
      </c>
      <c r="W79" s="173">
        <v>0</v>
      </c>
      <c r="X79" s="173">
        <v>0</v>
      </c>
      <c r="Y79" s="173">
        <v>0</v>
      </c>
      <c r="Z79" s="926">
        <f>SUM(T79:W79)</f>
        <v>415.71</v>
      </c>
      <c r="AA79" s="895">
        <f t="shared" si="91"/>
        <v>298.93285714285719</v>
      </c>
      <c r="AB79" s="173">
        <v>0</v>
      </c>
      <c r="AC79" s="224">
        <v>0</v>
      </c>
      <c r="AD79" s="173">
        <v>0</v>
      </c>
      <c r="AE79" s="173">
        <v>0</v>
      </c>
      <c r="AF79" s="173">
        <v>0</v>
      </c>
      <c r="AG79" s="926">
        <f>SUM(AA79:AD79)</f>
        <v>298.93285714285719</v>
      </c>
      <c r="AH79" s="894">
        <f t="shared" si="52"/>
        <v>714.64285714285711</v>
      </c>
      <c r="AI79" s="15">
        <f t="shared" si="70"/>
        <v>714.64285714285711</v>
      </c>
      <c r="AJ79" s="15">
        <f t="shared" si="70"/>
        <v>0</v>
      </c>
      <c r="AK79" s="15">
        <f t="shared" si="70"/>
        <v>0</v>
      </c>
      <c r="AL79" s="15">
        <f t="shared" si="70"/>
        <v>0</v>
      </c>
      <c r="AM79" s="15">
        <f t="shared" si="70"/>
        <v>0</v>
      </c>
      <c r="AN79" s="15"/>
      <c r="AO79" s="15">
        <f t="shared" si="67"/>
        <v>714.64285714285711</v>
      </c>
      <c r="AP79" s="15">
        <f t="shared" si="68"/>
        <v>714.64285714285711</v>
      </c>
      <c r="AQ79" s="15">
        <f t="shared" si="85"/>
        <v>714.64285714285711</v>
      </c>
      <c r="AR79" s="127">
        <f t="shared" ref="AR79:AR145" si="115">AQ79-AH79</f>
        <v>0</v>
      </c>
      <c r="AS79" s="112">
        <f t="shared" si="79"/>
        <v>2645200.5107142855</v>
      </c>
      <c r="AT79" s="112">
        <f t="shared" si="79"/>
        <v>0</v>
      </c>
      <c r="AU79" s="112">
        <f t="shared" si="79"/>
        <v>0</v>
      </c>
      <c r="AV79" s="112">
        <f t="shared" si="79"/>
        <v>0</v>
      </c>
      <c r="AW79" s="112">
        <f t="shared" si="79"/>
        <v>0</v>
      </c>
      <c r="AX79" s="112">
        <f t="shared" si="86"/>
        <v>2645200.5107142855</v>
      </c>
      <c r="AY79" s="112">
        <f t="shared" si="87"/>
        <v>2645200.5107142855</v>
      </c>
      <c r="AZ79" s="112">
        <f t="shared" si="80"/>
        <v>2751981.0308614452</v>
      </c>
      <c r="BA79" s="112">
        <f t="shared" si="80"/>
        <v>0</v>
      </c>
      <c r="BB79" s="112">
        <f t="shared" si="80"/>
        <v>0</v>
      </c>
      <c r="BC79" s="112">
        <f t="shared" si="80"/>
        <v>0</v>
      </c>
      <c r="BD79" s="112">
        <f t="shared" si="80"/>
        <v>0</v>
      </c>
      <c r="BE79" s="112">
        <f t="shared" si="88"/>
        <v>2751981.0308614452</v>
      </c>
      <c r="BF79" s="112">
        <f t="shared" si="89"/>
        <v>2751981.0308614452</v>
      </c>
      <c r="BG79" s="117"/>
      <c r="BH79" s="117"/>
      <c r="BI79" s="112">
        <f t="shared" si="84"/>
        <v>0</v>
      </c>
      <c r="BJ79" s="1277"/>
      <c r="BK79" s="1277"/>
      <c r="BL79" s="112">
        <f t="shared" si="93"/>
        <v>1538721.4652999998</v>
      </c>
      <c r="BM79" s="112">
        <f t="shared" si="93"/>
        <v>0</v>
      </c>
      <c r="BN79" s="112">
        <f t="shared" si="93"/>
        <v>0</v>
      </c>
      <c r="BO79" s="112">
        <f t="shared" si="93"/>
        <v>0</v>
      </c>
      <c r="BP79" s="112">
        <f t="shared" si="93"/>
        <v>0</v>
      </c>
      <c r="BQ79" s="112">
        <f t="shared" si="54"/>
        <v>1538721.4652999998</v>
      </c>
      <c r="BR79" s="112">
        <f t="shared" si="55"/>
        <v>1538721.4652999998</v>
      </c>
      <c r="BS79" s="112">
        <f t="shared" si="94"/>
        <v>1151145.0008012997</v>
      </c>
      <c r="BT79" s="112">
        <f t="shared" si="94"/>
        <v>0</v>
      </c>
      <c r="BU79" s="112">
        <f t="shared" si="94"/>
        <v>0</v>
      </c>
      <c r="BV79" s="112">
        <f t="shared" si="57"/>
        <v>0</v>
      </c>
      <c r="BW79" s="112">
        <f t="shared" si="97"/>
        <v>0</v>
      </c>
      <c r="BX79" s="112">
        <f t="shared" si="58"/>
        <v>1151145.0008012997</v>
      </c>
      <c r="BY79" s="112">
        <f t="shared" si="59"/>
        <v>1151145.0008012997</v>
      </c>
      <c r="BZ79" s="113">
        <f t="shared" si="95"/>
        <v>0</v>
      </c>
      <c r="CA79" s="113">
        <f t="shared" si="95"/>
        <v>0</v>
      </c>
      <c r="CB79" s="113">
        <f t="shared" si="61"/>
        <v>0</v>
      </c>
      <c r="CC79" s="119" t="e">
        <f t="shared" si="96"/>
        <v>#DIV/0!</v>
      </c>
      <c r="CD79" s="119" t="e">
        <f t="shared" si="96"/>
        <v>#DIV/0!</v>
      </c>
      <c r="CE79" s="119" t="e">
        <f t="shared" ref="CE79:CE145" si="116">CB79/(AJ79+AK79)</f>
        <v>#DIV/0!</v>
      </c>
      <c r="CF79" s="113" t="e">
        <f t="shared" si="98"/>
        <v>#DIV/0!</v>
      </c>
      <c r="CG79" s="619">
        <f t="shared" si="99"/>
        <v>0</v>
      </c>
      <c r="CH79" s="132" t="e">
        <f t="shared" ref="CH79:CH144" si="117">CG79/(AJ79+AK79)</f>
        <v>#DIV/0!</v>
      </c>
      <c r="CI79" s="171"/>
      <c r="CJ79" s="208">
        <f t="shared" ref="CJ79:CJ145" si="118">N79*Z79/1000</f>
        <v>1600.836030060146</v>
      </c>
      <c r="CK79" s="208">
        <f t="shared" si="100"/>
        <v>1151.1450008012996</v>
      </c>
      <c r="CL79" s="112">
        <f t="shared" si="92"/>
        <v>2751.9810308614456</v>
      </c>
      <c r="CM79" s="18">
        <f t="shared" ref="CM79:CM145" si="119">N79*AH79/1000</f>
        <v>2751.9810308614451</v>
      </c>
      <c r="CN79" s="18">
        <f t="shared" ref="CN79:CN145" si="120">CM79-CL79</f>
        <v>0</v>
      </c>
      <c r="CO79" s="112">
        <f t="shared" si="101"/>
        <v>2689866.4661012995</v>
      </c>
      <c r="CP79" s="112">
        <f t="shared" si="102"/>
        <v>2645200.5107142855</v>
      </c>
      <c r="CQ79" s="112">
        <f t="shared" si="103"/>
        <v>2645200.5107142855</v>
      </c>
      <c r="CR79" s="112">
        <f t="shared" si="104"/>
        <v>1538721.4652999998</v>
      </c>
      <c r="CS79" s="112">
        <f t="shared" si="105"/>
        <v>2751981.0308614452</v>
      </c>
      <c r="CT79" s="112">
        <f t="shared" si="106"/>
        <v>2751981.0308614452</v>
      </c>
      <c r="CU79" s="112">
        <f t="shared" si="107"/>
        <v>1151145.0008012997</v>
      </c>
      <c r="CV79" s="112">
        <f t="shared" ref="CV79:CV145" si="121">CP79+CS79</f>
        <v>5397181.5415757308</v>
      </c>
      <c r="CW79" s="843">
        <f t="shared" ref="CW79:CW146" si="122">CV79/AH79</f>
        <v>7552.2780191964248</v>
      </c>
      <c r="CX79" s="112">
        <f t="shared" si="108"/>
        <v>0</v>
      </c>
      <c r="CY79" s="112">
        <f t="shared" si="109"/>
        <v>0</v>
      </c>
      <c r="CZ79" s="112"/>
      <c r="DA79" s="112">
        <f t="shared" si="110"/>
        <v>2645200.5107142855</v>
      </c>
      <c r="DB79" s="112">
        <f t="shared" si="111"/>
        <v>2751981.0308614452</v>
      </c>
      <c r="DC79" s="171"/>
      <c r="DD79" s="128" t="e">
        <f t="shared" ref="DD79:DD145" si="123">N79/J79*100</f>
        <v>#DIV/0!</v>
      </c>
      <c r="DE79" s="171"/>
      <c r="DF79" s="171"/>
      <c r="DG79" s="171"/>
      <c r="DH79" s="112">
        <v>714.64285714285711</v>
      </c>
      <c r="DI79" s="797">
        <v>0</v>
      </c>
      <c r="DJ79" s="797">
        <f t="shared" ref="DJ79:DJ146" si="124">DH79-DI79</f>
        <v>714.64285714285711</v>
      </c>
      <c r="DK79" s="171"/>
      <c r="DL79" s="618">
        <f t="shared" si="112"/>
        <v>0</v>
      </c>
      <c r="DM79" s="618">
        <f t="shared" si="113"/>
        <v>0</v>
      </c>
      <c r="DN79" s="618">
        <f t="shared" si="114"/>
        <v>0</v>
      </c>
      <c r="DO79" s="125"/>
    </row>
    <row r="80" spans="1:121" customFormat="1" ht="100.5" customHeight="1">
      <c r="A80" s="20">
        <f t="shared" ref="A80:A143" si="125">A79+1</f>
        <v>67</v>
      </c>
      <c r="B80" s="1278" t="s">
        <v>27</v>
      </c>
      <c r="C80" s="705" t="s">
        <v>63</v>
      </c>
      <c r="D80" s="696" t="s">
        <v>28</v>
      </c>
      <c r="E80" s="696">
        <v>4618003724</v>
      </c>
      <c r="F80" s="696" t="s">
        <v>8</v>
      </c>
      <c r="G80" s="849" t="s">
        <v>963</v>
      </c>
      <c r="H80" s="756">
        <v>2578.3862999999997</v>
      </c>
      <c r="I80" s="756">
        <v>2578.3862999999997</v>
      </c>
      <c r="J80" s="756">
        <v>2578.3862999999997</v>
      </c>
      <c r="K80" s="756"/>
      <c r="L80" s="756">
        <v>2578.3862999999997</v>
      </c>
      <c r="M80" s="867"/>
      <c r="N80" s="858">
        <v>2810.44</v>
      </c>
      <c r="O80" s="10">
        <v>2810.44</v>
      </c>
      <c r="P80" s="10">
        <v>2810.44</v>
      </c>
      <c r="Q80" s="10"/>
      <c r="R80" s="10">
        <v>2810.44</v>
      </c>
      <c r="S80" s="910"/>
      <c r="T80" s="931">
        <v>2581</v>
      </c>
      <c r="U80" s="15">
        <v>1010</v>
      </c>
      <c r="V80" s="208">
        <v>0</v>
      </c>
      <c r="W80" s="15">
        <v>430</v>
      </c>
      <c r="X80" s="15">
        <v>0</v>
      </c>
      <c r="Y80" s="15">
        <v>0</v>
      </c>
      <c r="Z80" s="926">
        <f t="shared" ref="Z80:Z144" si="126">SUM(T80:W80)</f>
        <v>4021</v>
      </c>
      <c r="AA80" s="900">
        <v>1561</v>
      </c>
      <c r="AB80" s="179">
        <v>640</v>
      </c>
      <c r="AC80" s="208">
        <v>0</v>
      </c>
      <c r="AD80" s="15">
        <v>420</v>
      </c>
      <c r="AE80" s="15">
        <v>0</v>
      </c>
      <c r="AF80" s="15">
        <v>0</v>
      </c>
      <c r="AG80" s="926">
        <f t="shared" ref="AG80:AG144" si="127">SUM(AA80:AD80)</f>
        <v>2621</v>
      </c>
      <c r="AH80" s="894">
        <f t="shared" si="52"/>
        <v>6642</v>
      </c>
      <c r="AI80" s="15">
        <f t="shared" si="70"/>
        <v>4142</v>
      </c>
      <c r="AJ80" s="15">
        <f t="shared" si="70"/>
        <v>1650</v>
      </c>
      <c r="AK80" s="15">
        <f t="shared" si="70"/>
        <v>0</v>
      </c>
      <c r="AL80" s="15">
        <f t="shared" si="70"/>
        <v>850</v>
      </c>
      <c r="AM80" s="15">
        <f t="shared" si="70"/>
        <v>0</v>
      </c>
      <c r="AN80" s="15">
        <v>0</v>
      </c>
      <c r="AO80" s="15">
        <f t="shared" si="67"/>
        <v>6642</v>
      </c>
      <c r="AP80" s="15">
        <f t="shared" si="68"/>
        <v>6642</v>
      </c>
      <c r="AQ80" s="15">
        <f t="shared" si="85"/>
        <v>6642</v>
      </c>
      <c r="AR80" s="127">
        <f t="shared" si="115"/>
        <v>0</v>
      </c>
      <c r="AS80" s="112">
        <f t="shared" si="79"/>
        <v>10679676.054599999</v>
      </c>
      <c r="AT80" s="112">
        <f t="shared" si="79"/>
        <v>4254337.3949999996</v>
      </c>
      <c r="AU80" s="112">
        <f t="shared" si="79"/>
        <v>0</v>
      </c>
      <c r="AV80" s="112">
        <f t="shared" si="79"/>
        <v>2191628.3549999995</v>
      </c>
      <c r="AW80" s="112">
        <f t="shared" si="79"/>
        <v>0</v>
      </c>
      <c r="AX80" s="112">
        <f t="shared" si="86"/>
        <v>17125641.804599997</v>
      </c>
      <c r="AY80" s="112">
        <f t="shared" si="87"/>
        <v>17125641.804599997</v>
      </c>
      <c r="AZ80" s="112">
        <f t="shared" si="80"/>
        <v>11640842.48</v>
      </c>
      <c r="BA80" s="112">
        <f t="shared" si="80"/>
        <v>4637226</v>
      </c>
      <c r="BB80" s="112">
        <f t="shared" si="80"/>
        <v>0</v>
      </c>
      <c r="BC80" s="112">
        <f t="shared" si="80"/>
        <v>2388874</v>
      </c>
      <c r="BD80" s="112">
        <f t="shared" si="80"/>
        <v>0</v>
      </c>
      <c r="BE80" s="112">
        <f t="shared" si="88"/>
        <v>18666942.48</v>
      </c>
      <c r="BF80" s="112">
        <f t="shared" si="89"/>
        <v>18666942.48</v>
      </c>
      <c r="BG80" s="112">
        <v>100.748</v>
      </c>
      <c r="BH80" s="112">
        <v>0</v>
      </c>
      <c r="BI80" s="112">
        <f t="shared" si="84"/>
        <v>100.748</v>
      </c>
      <c r="BJ80" s="112">
        <v>16835.830000000002</v>
      </c>
      <c r="BK80" s="112">
        <v>17317.7</v>
      </c>
      <c r="BL80" s="112">
        <f t="shared" si="93"/>
        <v>6654815.0402999995</v>
      </c>
      <c r="BM80" s="112">
        <f t="shared" si="93"/>
        <v>2604170.1629999997</v>
      </c>
      <c r="BN80" s="112">
        <f t="shared" si="93"/>
        <v>0</v>
      </c>
      <c r="BO80" s="112">
        <f t="shared" si="93"/>
        <v>1108706.1089999999</v>
      </c>
      <c r="BP80" s="112">
        <f t="shared" si="93"/>
        <v>0</v>
      </c>
      <c r="BQ80" s="112">
        <f t="shared" si="54"/>
        <v>10367691.312299998</v>
      </c>
      <c r="BR80" s="112">
        <f t="shared" si="55"/>
        <v>10367691.312299998</v>
      </c>
      <c r="BS80" s="112">
        <f t="shared" si="94"/>
        <v>4387096.84</v>
      </c>
      <c r="BT80" s="112">
        <f t="shared" si="94"/>
        <v>1798681.6000000001</v>
      </c>
      <c r="BU80" s="112">
        <f t="shared" si="94"/>
        <v>0</v>
      </c>
      <c r="BV80" s="112">
        <f t="shared" si="57"/>
        <v>1208489.2</v>
      </c>
      <c r="BW80" s="112">
        <f t="shared" si="97"/>
        <v>0</v>
      </c>
      <c r="BX80" s="112">
        <f t="shared" si="58"/>
        <v>7394267.6399999997</v>
      </c>
      <c r="BY80" s="112">
        <f t="shared" si="59"/>
        <v>7394267.6399999997</v>
      </c>
      <c r="BZ80" s="113">
        <f t="shared" si="95"/>
        <v>4402851.7630000003</v>
      </c>
      <c r="CA80" s="113">
        <f t="shared" si="95"/>
        <v>0</v>
      </c>
      <c r="CB80" s="113">
        <f t="shared" si="61"/>
        <v>4402851.7630000003</v>
      </c>
      <c r="CC80" s="119">
        <f t="shared" si="96"/>
        <v>2668.395007878788</v>
      </c>
      <c r="CD80" s="119" t="e">
        <f t="shared" si="96"/>
        <v>#DIV/0!</v>
      </c>
      <c r="CE80" s="119">
        <f t="shared" si="116"/>
        <v>2668.395007878788</v>
      </c>
      <c r="CF80" s="119">
        <f t="shared" si="98"/>
        <v>2668.395007878788</v>
      </c>
      <c r="CG80" s="619">
        <f t="shared" si="99"/>
        <v>4402851.7630000003</v>
      </c>
      <c r="CH80" s="132">
        <f t="shared" si="117"/>
        <v>2668.395007878788</v>
      </c>
      <c r="CI80" s="106"/>
      <c r="CJ80" s="208">
        <f t="shared" si="118"/>
        <v>11300.77924</v>
      </c>
      <c r="CK80" s="208">
        <f t="shared" si="100"/>
        <v>7366.1632399999999</v>
      </c>
      <c r="CL80" s="127">
        <f>CJ80+CK80+0.01</f>
        <v>18666.952479999996</v>
      </c>
      <c r="CM80" s="18">
        <f t="shared" si="119"/>
        <v>18666.942480000002</v>
      </c>
      <c r="CN80" s="18">
        <f t="shared" si="120"/>
        <v>-9.9999999947613105E-3</v>
      </c>
      <c r="CO80" s="112">
        <f t="shared" si="101"/>
        <v>17733854.552299999</v>
      </c>
      <c r="CP80" s="112">
        <f t="shared" si="102"/>
        <v>17125641.804599997</v>
      </c>
      <c r="CQ80" s="112">
        <f t="shared" si="103"/>
        <v>17125641.804599997</v>
      </c>
      <c r="CR80" s="112">
        <f t="shared" si="104"/>
        <v>10367691.312299998</v>
      </c>
      <c r="CS80" s="112">
        <f t="shared" si="105"/>
        <v>18666942.48</v>
      </c>
      <c r="CT80" s="112">
        <f t="shared" si="106"/>
        <v>18666942.48</v>
      </c>
      <c r="CU80" s="112">
        <f t="shared" si="107"/>
        <v>7366163.2399999993</v>
      </c>
      <c r="CV80" s="112">
        <f t="shared" si="121"/>
        <v>35792584.284599997</v>
      </c>
      <c r="CW80" s="843">
        <f t="shared" si="122"/>
        <v>5388.8262999999997</v>
      </c>
      <c r="CX80" s="112">
        <f t="shared" si="108"/>
        <v>4254337.3949999996</v>
      </c>
      <c r="CY80" s="112">
        <f t="shared" si="109"/>
        <v>4637226</v>
      </c>
      <c r="CZ80" s="112"/>
      <c r="DA80" s="112">
        <f t="shared" si="110"/>
        <v>17125641.804599997</v>
      </c>
      <c r="DB80" s="112">
        <f t="shared" si="111"/>
        <v>18666942.48</v>
      </c>
      <c r="DC80" s="106"/>
      <c r="DD80" s="128">
        <f t="shared" si="123"/>
        <v>108.99995861752758</v>
      </c>
      <c r="DE80" s="106"/>
      <c r="DF80" s="106"/>
      <c r="DG80" s="106"/>
      <c r="DH80" s="112">
        <v>6642</v>
      </c>
      <c r="DI80" s="797">
        <v>1650</v>
      </c>
      <c r="DJ80" s="797">
        <f t="shared" si="124"/>
        <v>4992</v>
      </c>
      <c r="DK80" s="106"/>
      <c r="DL80" s="618">
        <f t="shared" si="112"/>
        <v>0</v>
      </c>
      <c r="DM80" s="618">
        <f t="shared" si="113"/>
        <v>0</v>
      </c>
      <c r="DN80" s="618">
        <f t="shared" si="114"/>
        <v>0</v>
      </c>
      <c r="DO80" s="106"/>
    </row>
    <row r="81" spans="1:191" customFormat="1" ht="100.5" customHeight="1">
      <c r="A81" s="20">
        <f t="shared" si="125"/>
        <v>68</v>
      </c>
      <c r="B81" s="1287"/>
      <c r="C81" s="757" t="s">
        <v>109</v>
      </c>
      <c r="D81" s="967" t="s">
        <v>141</v>
      </c>
      <c r="E81" s="617">
        <v>4632024035</v>
      </c>
      <c r="F81" s="1280" t="s">
        <v>8</v>
      </c>
      <c r="G81" s="1245" t="s">
        <v>956</v>
      </c>
      <c r="H81" s="866">
        <v>3299.1600000000003</v>
      </c>
      <c r="I81" s="825">
        <v>3299.1600000000003</v>
      </c>
      <c r="J81" s="756"/>
      <c r="K81" s="756"/>
      <c r="L81" s="872">
        <v>3299.1600000000003</v>
      </c>
      <c r="M81" s="867"/>
      <c r="N81" s="1207">
        <f>2762.47*1.2</f>
        <v>3314.9639999999995</v>
      </c>
      <c r="O81" s="1208">
        <f>N81</f>
        <v>3314.9639999999995</v>
      </c>
      <c r="P81" s="963"/>
      <c r="Q81" s="963"/>
      <c r="R81" s="1208">
        <f>O81</f>
        <v>3314.9639999999995</v>
      </c>
      <c r="S81" s="910"/>
      <c r="T81" s="973">
        <v>188.20291870567883</v>
      </c>
      <c r="U81" s="825"/>
      <c r="V81" s="1002"/>
      <c r="W81" s="825"/>
      <c r="X81" s="825"/>
      <c r="Y81" s="825"/>
      <c r="Z81" s="971">
        <f t="shared" si="126"/>
        <v>188.20291870567883</v>
      </c>
      <c r="AA81" s="975">
        <v>109.28643046542841</v>
      </c>
      <c r="AB81" s="178"/>
      <c r="AC81" s="227"/>
      <c r="AD81" s="16"/>
      <c r="AE81" s="16"/>
      <c r="AF81" s="16"/>
      <c r="AG81" s="926">
        <f t="shared" si="127"/>
        <v>109.28643046542841</v>
      </c>
      <c r="AH81" s="894">
        <f t="shared" si="52"/>
        <v>297.48934917110722</v>
      </c>
      <c r="AI81" s="15">
        <f t="shared" si="70"/>
        <v>297.48934917110722</v>
      </c>
      <c r="AJ81" s="15">
        <f t="shared" si="70"/>
        <v>0</v>
      </c>
      <c r="AK81" s="15">
        <f t="shared" si="70"/>
        <v>0</v>
      </c>
      <c r="AL81" s="15">
        <f t="shared" si="70"/>
        <v>0</v>
      </c>
      <c r="AM81" s="15">
        <f t="shared" si="70"/>
        <v>0</v>
      </c>
      <c r="AN81" s="15"/>
      <c r="AO81" s="15">
        <f t="shared" si="67"/>
        <v>297.48934917110722</v>
      </c>
      <c r="AP81" s="15">
        <f t="shared" si="68"/>
        <v>297.48934917110722</v>
      </c>
      <c r="AQ81" s="15">
        <f t="shared" si="85"/>
        <v>297.48934917110722</v>
      </c>
      <c r="AR81" s="127">
        <f t="shared" si="115"/>
        <v>0</v>
      </c>
      <c r="AS81" s="112">
        <f t="shared" si="79"/>
        <v>981464.96121135016</v>
      </c>
      <c r="AT81" s="112">
        <f t="shared" si="79"/>
        <v>0</v>
      </c>
      <c r="AU81" s="112">
        <f t="shared" si="79"/>
        <v>0</v>
      </c>
      <c r="AV81" s="112">
        <f t="shared" si="79"/>
        <v>0</v>
      </c>
      <c r="AW81" s="112">
        <f t="shared" si="79"/>
        <v>0</v>
      </c>
      <c r="AX81" s="112">
        <f t="shared" si="86"/>
        <v>981464.96121135016</v>
      </c>
      <c r="AY81" s="112">
        <f t="shared" si="87"/>
        <v>981464.96121135016</v>
      </c>
      <c r="AZ81" s="112">
        <f t="shared" si="80"/>
        <v>986166.48288565013</v>
      </c>
      <c r="BA81" s="112">
        <f t="shared" si="80"/>
        <v>0</v>
      </c>
      <c r="BB81" s="112">
        <f t="shared" si="80"/>
        <v>0</v>
      </c>
      <c r="BC81" s="112">
        <f t="shared" si="80"/>
        <v>0</v>
      </c>
      <c r="BD81" s="112">
        <f t="shared" si="80"/>
        <v>0</v>
      </c>
      <c r="BE81" s="112">
        <f t="shared" si="88"/>
        <v>986166.48288565013</v>
      </c>
      <c r="BF81" s="112">
        <f t="shared" si="89"/>
        <v>986166.48288565013</v>
      </c>
      <c r="BG81" s="169">
        <f>(I81-J81)/1.2*U81/1000</f>
        <v>0</v>
      </c>
      <c r="BH81" s="170">
        <f>(O81-P81)/1.2*AB81/1000</f>
        <v>0</v>
      </c>
      <c r="BI81" s="169">
        <f t="shared" si="84"/>
        <v>0</v>
      </c>
      <c r="BJ81" s="169"/>
      <c r="BK81" s="169"/>
      <c r="BL81" s="112">
        <f t="shared" si="93"/>
        <v>620911.54127702746</v>
      </c>
      <c r="BM81" s="112">
        <f t="shared" si="93"/>
        <v>0</v>
      </c>
      <c r="BN81" s="112">
        <f t="shared" si="93"/>
        <v>0</v>
      </c>
      <c r="BO81" s="112">
        <f t="shared" si="93"/>
        <v>0</v>
      </c>
      <c r="BP81" s="112">
        <f t="shared" si="93"/>
        <v>0</v>
      </c>
      <c r="BQ81" s="112">
        <f t="shared" si="54"/>
        <v>620911.54127702746</v>
      </c>
      <c r="BR81" s="112">
        <f t="shared" si="55"/>
        <v>620911.54127702746</v>
      </c>
      <c r="BS81" s="112">
        <f t="shared" si="94"/>
        <v>362280.58268139837</v>
      </c>
      <c r="BT81" s="112">
        <f t="shared" si="94"/>
        <v>0</v>
      </c>
      <c r="BU81" s="112">
        <f t="shared" si="94"/>
        <v>0</v>
      </c>
      <c r="BV81" s="112">
        <f t="shared" si="57"/>
        <v>0</v>
      </c>
      <c r="BW81" s="112">
        <f t="shared" si="97"/>
        <v>0</v>
      </c>
      <c r="BX81" s="112">
        <f t="shared" si="58"/>
        <v>362280.58268139837</v>
      </c>
      <c r="BY81" s="112">
        <f t="shared" si="59"/>
        <v>362280.58268139837</v>
      </c>
      <c r="BZ81" s="113">
        <f t="shared" si="95"/>
        <v>0</v>
      </c>
      <c r="CA81" s="113">
        <f t="shared" si="95"/>
        <v>0</v>
      </c>
      <c r="CB81" s="113">
        <f t="shared" si="61"/>
        <v>0</v>
      </c>
      <c r="CC81" s="119" t="e">
        <f t="shared" si="96"/>
        <v>#DIV/0!</v>
      </c>
      <c r="CD81" s="119" t="e">
        <f t="shared" si="96"/>
        <v>#DIV/0!</v>
      </c>
      <c r="CE81" s="119" t="e">
        <f t="shared" si="116"/>
        <v>#DIV/0!</v>
      </c>
      <c r="CF81" s="113" t="e">
        <f t="shared" si="98"/>
        <v>#DIV/0!</v>
      </c>
      <c r="CG81" s="619">
        <f t="shared" si="99"/>
        <v>0</v>
      </c>
      <c r="CH81" s="132" t="e">
        <f t="shared" si="117"/>
        <v>#DIV/0!</v>
      </c>
      <c r="CI81" s="625"/>
      <c r="CJ81" s="208">
        <f t="shared" si="118"/>
        <v>623.8859002042517</v>
      </c>
      <c r="CK81" s="208">
        <f t="shared" si="100"/>
        <v>362.28058268139836</v>
      </c>
      <c r="CL81" s="208">
        <f t="shared" ref="CL81:CL143" si="128">CJ81+CK81</f>
        <v>986.16648288565011</v>
      </c>
      <c r="CM81" s="18">
        <f t="shared" si="119"/>
        <v>986.16648288565011</v>
      </c>
      <c r="CN81" s="18">
        <f t="shared" si="120"/>
        <v>0</v>
      </c>
      <c r="CO81" s="112">
        <f t="shared" si="101"/>
        <v>983192.12395842583</v>
      </c>
      <c r="CP81" s="112">
        <f t="shared" si="102"/>
        <v>981464.96121135016</v>
      </c>
      <c r="CQ81" s="112">
        <f t="shared" si="103"/>
        <v>981464.96121135016</v>
      </c>
      <c r="CR81" s="112">
        <f t="shared" si="104"/>
        <v>620911.54127702746</v>
      </c>
      <c r="CS81" s="112">
        <f t="shared" si="105"/>
        <v>986166.48288565013</v>
      </c>
      <c r="CT81" s="112">
        <f t="shared" si="106"/>
        <v>986166.48288565013</v>
      </c>
      <c r="CU81" s="112">
        <f t="shared" si="107"/>
        <v>362280.58268139837</v>
      </c>
      <c r="CV81" s="112">
        <f t="shared" si="121"/>
        <v>1967631.4440970002</v>
      </c>
      <c r="CW81" s="843">
        <f t="shared" si="122"/>
        <v>6614.1239999999989</v>
      </c>
      <c r="CX81" s="112">
        <f t="shared" si="108"/>
        <v>0</v>
      </c>
      <c r="CY81" s="112">
        <f t="shared" si="109"/>
        <v>0</v>
      </c>
      <c r="CZ81" s="112"/>
      <c r="DA81" s="112">
        <f t="shared" si="110"/>
        <v>981464.96121135016</v>
      </c>
      <c r="DB81" s="112">
        <f t="shared" si="111"/>
        <v>986166.48288565013</v>
      </c>
      <c r="DC81" s="625"/>
      <c r="DD81" s="128" t="e">
        <f t="shared" si="123"/>
        <v>#DIV/0!</v>
      </c>
      <c r="DE81" s="625"/>
      <c r="DF81" s="625"/>
      <c r="DG81" s="625"/>
      <c r="DH81" s="797">
        <v>306.923</v>
      </c>
      <c r="DI81" s="797">
        <v>0</v>
      </c>
      <c r="DJ81" s="797">
        <f t="shared" si="124"/>
        <v>306.923</v>
      </c>
      <c r="DK81" s="625"/>
      <c r="DL81" s="618">
        <f t="shared" si="112"/>
        <v>0</v>
      </c>
      <c r="DM81" s="618">
        <f t="shared" si="113"/>
        <v>0</v>
      </c>
      <c r="DN81" s="618">
        <f t="shared" si="114"/>
        <v>0</v>
      </c>
      <c r="DO81" s="123"/>
    </row>
    <row r="82" spans="1:191" customFormat="1" ht="100.5" customHeight="1">
      <c r="A82" s="20">
        <f t="shared" si="125"/>
        <v>69</v>
      </c>
      <c r="B82" s="1285"/>
      <c r="C82" s="1285" t="s">
        <v>110</v>
      </c>
      <c r="D82" s="967" t="s">
        <v>142</v>
      </c>
      <c r="E82" s="617">
        <v>4632024035</v>
      </c>
      <c r="F82" s="1280" t="s">
        <v>8</v>
      </c>
      <c r="G82" s="1245" t="s">
        <v>956</v>
      </c>
      <c r="H82" s="866">
        <v>3299.1600000000003</v>
      </c>
      <c r="I82" s="825">
        <v>3299.1600000000003</v>
      </c>
      <c r="J82" s="756">
        <v>2896.52</v>
      </c>
      <c r="K82" s="756"/>
      <c r="L82" s="872">
        <v>3299.1600000000003</v>
      </c>
      <c r="M82" s="867"/>
      <c r="N82" s="1207">
        <f>2762.47*1.2</f>
        <v>3314.9639999999995</v>
      </c>
      <c r="O82" s="1208">
        <f>N82</f>
        <v>3314.9639999999995</v>
      </c>
      <c r="P82" s="964">
        <v>2950.21</v>
      </c>
      <c r="Q82" s="964"/>
      <c r="R82" s="1208">
        <f>O82</f>
        <v>3314.9639999999995</v>
      </c>
      <c r="S82" s="910"/>
      <c r="T82" s="1014">
        <v>615.72288190278198</v>
      </c>
      <c r="U82" s="981">
        <v>187.35868994756026</v>
      </c>
      <c r="V82" s="1009"/>
      <c r="W82" s="981"/>
      <c r="X82" s="981"/>
      <c r="Y82" s="981"/>
      <c r="Z82" s="1015">
        <f t="shared" si="126"/>
        <v>803.08157185034224</v>
      </c>
      <c r="AA82" s="980">
        <v>357.54202559677196</v>
      </c>
      <c r="AB82" s="981">
        <v>140.54324905533488</v>
      </c>
      <c r="AC82" s="227"/>
      <c r="AD82" s="16"/>
      <c r="AE82" s="16"/>
      <c r="AF82" s="16"/>
      <c r="AG82" s="926">
        <f t="shared" si="127"/>
        <v>498.08527465210682</v>
      </c>
      <c r="AH82" s="894">
        <f t="shared" si="52"/>
        <v>1301.1668465024491</v>
      </c>
      <c r="AI82" s="15">
        <f t="shared" si="70"/>
        <v>973.26490749955394</v>
      </c>
      <c r="AJ82" s="15">
        <f t="shared" si="70"/>
        <v>327.90193900289512</v>
      </c>
      <c r="AK82" s="15">
        <f t="shared" si="70"/>
        <v>0</v>
      </c>
      <c r="AL82" s="15">
        <f t="shared" si="70"/>
        <v>0</v>
      </c>
      <c r="AM82" s="15">
        <f t="shared" si="70"/>
        <v>0</v>
      </c>
      <c r="AN82" s="15"/>
      <c r="AO82" s="15">
        <f t="shared" si="67"/>
        <v>1301.1668465024491</v>
      </c>
      <c r="AP82" s="15">
        <f t="shared" si="68"/>
        <v>1301.1668465024491</v>
      </c>
      <c r="AQ82" s="15">
        <f t="shared" si="85"/>
        <v>1301.1668465024491</v>
      </c>
      <c r="AR82" s="127">
        <f t="shared" si="115"/>
        <v>0</v>
      </c>
      <c r="AS82" s="112">
        <f t="shared" si="79"/>
        <v>3210956.6522262287</v>
      </c>
      <c r="AT82" s="112">
        <f t="shared" si="79"/>
        <v>949774.52436066582</v>
      </c>
      <c r="AU82" s="112">
        <f t="shared" si="79"/>
        <v>0</v>
      </c>
      <c r="AV82" s="112">
        <f t="shared" si="79"/>
        <v>0</v>
      </c>
      <c r="AW82" s="112">
        <f t="shared" si="79"/>
        <v>0</v>
      </c>
      <c r="AX82" s="112">
        <f t="shared" si="86"/>
        <v>4160731.1765868943</v>
      </c>
      <c r="AY82" s="112">
        <f t="shared" si="87"/>
        <v>4160731.1765868943</v>
      </c>
      <c r="AZ82" s="112">
        <f t="shared" si="80"/>
        <v>3226338.1308243508</v>
      </c>
      <c r="BA82" s="112">
        <f t="shared" si="80"/>
        <v>967379.57946573128</v>
      </c>
      <c r="BB82" s="112">
        <f t="shared" si="80"/>
        <v>0</v>
      </c>
      <c r="BC82" s="112">
        <f t="shared" si="80"/>
        <v>0</v>
      </c>
      <c r="BD82" s="112">
        <f t="shared" si="80"/>
        <v>0</v>
      </c>
      <c r="BE82" s="112">
        <f t="shared" si="88"/>
        <v>4193717.7102900818</v>
      </c>
      <c r="BF82" s="112">
        <f t="shared" si="89"/>
        <v>4193717.7102900818</v>
      </c>
      <c r="BG82" s="623">
        <f>(O82-P82)/1.2*U82/1000</f>
        <v>56.949859660943588</v>
      </c>
      <c r="BH82" s="624">
        <f>(O82-P82)/1.2*AB82/1000</f>
        <v>42.719760221607956</v>
      </c>
      <c r="BI82" s="623">
        <f t="shared" si="84"/>
        <v>99.669619882551544</v>
      </c>
      <c r="BJ82" s="169"/>
      <c r="BK82" s="169"/>
      <c r="BL82" s="112">
        <f t="shared" si="93"/>
        <v>2031368.3030583824</v>
      </c>
      <c r="BM82" s="112">
        <f t="shared" si="93"/>
        <v>542688.19260690722</v>
      </c>
      <c r="BN82" s="112">
        <f t="shared" si="93"/>
        <v>0</v>
      </c>
      <c r="BO82" s="112">
        <f t="shared" si="93"/>
        <v>0</v>
      </c>
      <c r="BP82" s="112">
        <f t="shared" si="93"/>
        <v>0</v>
      </c>
      <c r="BQ82" s="112">
        <f t="shared" si="54"/>
        <v>2574056.4956652895</v>
      </c>
      <c r="BR82" s="112">
        <f t="shared" si="55"/>
        <v>2574056.4956652895</v>
      </c>
      <c r="BS82" s="112">
        <f t="shared" si="94"/>
        <v>1185238.9433403774</v>
      </c>
      <c r="BT82" s="112">
        <f t="shared" si="94"/>
        <v>414632.09879553952</v>
      </c>
      <c r="BU82" s="112">
        <f t="shared" si="94"/>
        <v>0</v>
      </c>
      <c r="BV82" s="112">
        <f t="shared" si="57"/>
        <v>0</v>
      </c>
      <c r="BW82" s="112">
        <f t="shared" si="97"/>
        <v>0</v>
      </c>
      <c r="BX82" s="112">
        <f t="shared" si="58"/>
        <v>1599871.0421359169</v>
      </c>
      <c r="BY82" s="112">
        <f t="shared" si="59"/>
        <v>1599871.0421359169</v>
      </c>
      <c r="BZ82" s="113">
        <f t="shared" si="95"/>
        <v>957320.2914024468</v>
      </c>
      <c r="CA82" s="113">
        <f t="shared" si="95"/>
        <v>0</v>
      </c>
      <c r="CB82" s="113">
        <f t="shared" si="61"/>
        <v>957320.2914024468</v>
      </c>
      <c r="CC82" s="119">
        <f t="shared" si="96"/>
        <v>2919.5322672184457</v>
      </c>
      <c r="CD82" s="119" t="e">
        <f t="shared" si="96"/>
        <v>#DIV/0!</v>
      </c>
      <c r="CE82" s="119">
        <f t="shared" si="116"/>
        <v>2919.5322672184457</v>
      </c>
      <c r="CF82" s="119">
        <f t="shared" si="98"/>
        <v>2919.5322672184457</v>
      </c>
      <c r="CG82" s="619">
        <f t="shared" si="99"/>
        <v>1084022.1065888621</v>
      </c>
      <c r="CH82" s="132">
        <f t="shared" si="117"/>
        <v>3305.9338102276092</v>
      </c>
      <c r="CI82" s="625"/>
      <c r="CJ82" s="208">
        <f t="shared" si="118"/>
        <v>2662.1864997472976</v>
      </c>
      <c r="CK82" s="208">
        <f t="shared" si="100"/>
        <v>1651.1347544018463</v>
      </c>
      <c r="CL82" s="208">
        <f t="shared" si="128"/>
        <v>4313.3212541491439</v>
      </c>
      <c r="CM82" s="18">
        <f t="shared" si="119"/>
        <v>4313.3212541491439</v>
      </c>
      <c r="CN82" s="18">
        <f t="shared" si="120"/>
        <v>0</v>
      </c>
      <c r="CO82" s="112">
        <f t="shared" si="101"/>
        <v>4300629.3529876219</v>
      </c>
      <c r="CP82" s="112">
        <f t="shared" si="102"/>
        <v>4160731.1765868943</v>
      </c>
      <c r="CQ82" s="112">
        <f t="shared" si="103"/>
        <v>4160731.1765868943</v>
      </c>
      <c r="CR82" s="112">
        <f t="shared" si="104"/>
        <v>2574056.4956652895</v>
      </c>
      <c r="CS82" s="112">
        <f t="shared" si="105"/>
        <v>4193717.7102900818</v>
      </c>
      <c r="CT82" s="112">
        <f t="shared" si="106"/>
        <v>4193717.7102900818</v>
      </c>
      <c r="CU82" s="112">
        <f t="shared" si="107"/>
        <v>1599871.0421359169</v>
      </c>
      <c r="CV82" s="112">
        <f t="shared" si="121"/>
        <v>8354448.8868769761</v>
      </c>
      <c r="CW82" s="843">
        <f t="shared" si="122"/>
        <v>6420.7360565125273</v>
      </c>
      <c r="CX82" s="112">
        <f t="shared" si="108"/>
        <v>949774.52436066582</v>
      </c>
      <c r="CY82" s="112">
        <f t="shared" si="109"/>
        <v>967379.57946573128</v>
      </c>
      <c r="CZ82" s="112"/>
      <c r="DA82" s="112">
        <f t="shared" si="110"/>
        <v>4292757.6133070206</v>
      </c>
      <c r="DB82" s="112">
        <f t="shared" si="111"/>
        <v>4313321.2541491436</v>
      </c>
      <c r="DC82" s="625"/>
      <c r="DD82" s="128">
        <f t="shared" si="123"/>
        <v>114.44643917528619</v>
      </c>
      <c r="DE82" s="625"/>
      <c r="DF82" s="625"/>
      <c r="DG82" s="625"/>
      <c r="DH82" s="797">
        <v>1342.4279999999999</v>
      </c>
      <c r="DI82" s="797">
        <v>338.29999999999995</v>
      </c>
      <c r="DJ82" s="797">
        <f t="shared" si="124"/>
        <v>1004.1279999999999</v>
      </c>
      <c r="DK82" s="625"/>
      <c r="DL82" s="618">
        <f t="shared" si="112"/>
        <v>0</v>
      </c>
      <c r="DM82" s="618">
        <f t="shared" si="113"/>
        <v>0</v>
      </c>
      <c r="DN82" s="618">
        <f t="shared" si="114"/>
        <v>0</v>
      </c>
      <c r="DO82" s="123"/>
    </row>
    <row r="83" spans="1:191" customFormat="1" ht="100.5" customHeight="1">
      <c r="A83" s="20">
        <f t="shared" si="125"/>
        <v>70</v>
      </c>
      <c r="B83" s="1282" t="s">
        <v>29</v>
      </c>
      <c r="C83" s="764" t="s">
        <v>112</v>
      </c>
      <c r="D83" s="696" t="s">
        <v>111</v>
      </c>
      <c r="E83" s="761">
        <v>4617004147</v>
      </c>
      <c r="F83" s="696" t="s">
        <v>8</v>
      </c>
      <c r="G83" s="849" t="s">
        <v>952</v>
      </c>
      <c r="H83" s="868">
        <v>2999.01</v>
      </c>
      <c r="I83" s="756">
        <v>2999.01</v>
      </c>
      <c r="J83" s="826">
        <v>2999.01</v>
      </c>
      <c r="K83" s="826"/>
      <c r="L83" s="826"/>
      <c r="M83" s="869"/>
      <c r="N83" s="853">
        <v>3127.6598130001857</v>
      </c>
      <c r="O83" s="10">
        <v>3127.6598130001857</v>
      </c>
      <c r="P83" s="36">
        <v>3127.6598130001857</v>
      </c>
      <c r="Q83" s="36"/>
      <c r="R83" s="36"/>
      <c r="S83" s="911"/>
      <c r="T83" s="943">
        <v>1485.2766666666666</v>
      </c>
      <c r="U83" s="173">
        <v>103.92</v>
      </c>
      <c r="V83" s="224">
        <v>0</v>
      </c>
      <c r="W83" s="173">
        <v>0</v>
      </c>
      <c r="X83" s="173">
        <v>0</v>
      </c>
      <c r="Y83" s="173">
        <v>0</v>
      </c>
      <c r="Z83" s="926">
        <f t="shared" si="126"/>
        <v>1589.1966666666667</v>
      </c>
      <c r="AA83" s="904">
        <v>1125.9566666666667</v>
      </c>
      <c r="AB83" s="173">
        <v>75.029999999999987</v>
      </c>
      <c r="AC83" s="224">
        <v>0</v>
      </c>
      <c r="AD83" s="173">
        <v>0</v>
      </c>
      <c r="AE83" s="173">
        <v>0</v>
      </c>
      <c r="AF83" s="173">
        <v>0</v>
      </c>
      <c r="AG83" s="926">
        <f t="shared" si="127"/>
        <v>1200.9866666666667</v>
      </c>
      <c r="AH83" s="894">
        <f t="shared" ref="AH83:AH145" si="129">Z83+AG83</f>
        <v>2790.1833333333334</v>
      </c>
      <c r="AI83" s="15">
        <f t="shared" si="70"/>
        <v>2611.2333333333336</v>
      </c>
      <c r="AJ83" s="15">
        <f t="shared" si="70"/>
        <v>178.95</v>
      </c>
      <c r="AK83" s="15">
        <f t="shared" si="70"/>
        <v>0</v>
      </c>
      <c r="AL83" s="15">
        <f t="shared" si="70"/>
        <v>0</v>
      </c>
      <c r="AM83" s="15">
        <f t="shared" si="70"/>
        <v>0</v>
      </c>
      <c r="AN83" s="15"/>
      <c r="AO83" s="15">
        <f t="shared" si="67"/>
        <v>2790.1833333333334</v>
      </c>
      <c r="AP83" s="15">
        <f t="shared" si="68"/>
        <v>2790.1833333333334</v>
      </c>
      <c r="AQ83" s="15">
        <f t="shared" si="85"/>
        <v>2790.1833333333334</v>
      </c>
      <c r="AR83" s="127">
        <f t="shared" si="115"/>
        <v>0</v>
      </c>
      <c r="AS83" s="112">
        <f t="shared" si="79"/>
        <v>7831114.8790000016</v>
      </c>
      <c r="AT83" s="112">
        <f t="shared" si="79"/>
        <v>536672.8395</v>
      </c>
      <c r="AU83" s="112">
        <f t="shared" si="79"/>
        <v>0</v>
      </c>
      <c r="AV83" s="112">
        <f t="shared" si="79"/>
        <v>0</v>
      </c>
      <c r="AW83" s="112">
        <f t="shared" si="79"/>
        <v>0</v>
      </c>
      <c r="AX83" s="112">
        <f t="shared" si="86"/>
        <v>8367787.7185000014</v>
      </c>
      <c r="AY83" s="112">
        <f t="shared" si="87"/>
        <v>8367787.7185000014</v>
      </c>
      <c r="AZ83" s="112">
        <f t="shared" si="80"/>
        <v>8167049.5590331862</v>
      </c>
      <c r="BA83" s="112">
        <f t="shared" si="80"/>
        <v>559694.72353638324</v>
      </c>
      <c r="BB83" s="112">
        <f t="shared" si="80"/>
        <v>0</v>
      </c>
      <c r="BC83" s="112">
        <f t="shared" si="80"/>
        <v>0</v>
      </c>
      <c r="BD83" s="112">
        <f t="shared" si="80"/>
        <v>0</v>
      </c>
      <c r="BE83" s="112">
        <f t="shared" si="88"/>
        <v>8726744.2825695686</v>
      </c>
      <c r="BF83" s="112">
        <f t="shared" si="89"/>
        <v>8726744.2825695686</v>
      </c>
      <c r="BG83" s="169"/>
      <c r="BH83" s="170"/>
      <c r="BI83" s="169">
        <f t="shared" si="84"/>
        <v>0</v>
      </c>
      <c r="BJ83" s="169">
        <v>8726.7338570368593</v>
      </c>
      <c r="BK83" s="169">
        <v>9682.9008252000003</v>
      </c>
      <c r="BL83" s="112">
        <f t="shared" si="93"/>
        <v>4454359.5761000002</v>
      </c>
      <c r="BM83" s="112">
        <f t="shared" si="93"/>
        <v>311657.11920000002</v>
      </c>
      <c r="BN83" s="112">
        <f t="shared" si="93"/>
        <v>0</v>
      </c>
      <c r="BO83" s="112">
        <f t="shared" si="93"/>
        <v>0</v>
      </c>
      <c r="BP83" s="112">
        <f t="shared" si="93"/>
        <v>0</v>
      </c>
      <c r="BQ83" s="112">
        <f t="shared" ref="BQ83:BQ142" si="130">BL83+BM83+BN83+BO83+BP83</f>
        <v>4766016.6952999998</v>
      </c>
      <c r="BR83" s="112">
        <f t="shared" ref="BR83:BR142" si="131">BQ83-BP83</f>
        <v>4766016.6952999998</v>
      </c>
      <c r="BS83" s="112">
        <f t="shared" si="94"/>
        <v>3521609.4175129794</v>
      </c>
      <c r="BT83" s="112">
        <f t="shared" si="94"/>
        <v>234668.31576940388</v>
      </c>
      <c r="BU83" s="112">
        <f t="shared" si="94"/>
        <v>0</v>
      </c>
      <c r="BV83" s="112">
        <f t="shared" ref="BV83:BV144" si="132">R83*W83</f>
        <v>0</v>
      </c>
      <c r="BW83" s="112">
        <f t="shared" si="97"/>
        <v>0</v>
      </c>
      <c r="BX83" s="112">
        <f t="shared" ref="BX83:BX145" si="133">BS83+BT83+BU83+BV83+BW83</f>
        <v>3756277.7332823831</v>
      </c>
      <c r="BY83" s="112">
        <f t="shared" ref="BY83:BY145" si="134">BX83-BW83</f>
        <v>3756277.7332823831</v>
      </c>
      <c r="BZ83" s="113">
        <f t="shared" si="95"/>
        <v>546325.4349694039</v>
      </c>
      <c r="CA83" s="113">
        <f t="shared" si="95"/>
        <v>0</v>
      </c>
      <c r="CB83" s="113">
        <f t="shared" ref="CB83:CB145" si="135">BZ83+CA83</f>
        <v>546325.4349694039</v>
      </c>
      <c r="CC83" s="119">
        <f t="shared" si="96"/>
        <v>3052.9501814440009</v>
      </c>
      <c r="CD83" s="119" t="e">
        <f t="shared" si="96"/>
        <v>#DIV/0!</v>
      </c>
      <c r="CE83" s="119">
        <f t="shared" si="116"/>
        <v>3052.9501814440009</v>
      </c>
      <c r="CF83" s="119">
        <f t="shared" si="98"/>
        <v>3052.9501814440009</v>
      </c>
      <c r="CG83" s="619">
        <f t="shared" si="99"/>
        <v>546325.4349694039</v>
      </c>
      <c r="CH83" s="132">
        <f t="shared" si="117"/>
        <v>3052.9501814440009</v>
      </c>
      <c r="CI83" s="171"/>
      <c r="CJ83" s="208">
        <f t="shared" si="118"/>
        <v>4970.4665492871854</v>
      </c>
      <c r="CK83" s="208">
        <f t="shared" si="100"/>
        <v>3756.277733282383</v>
      </c>
      <c r="CL83" s="112">
        <f t="shared" si="128"/>
        <v>8726.7442825695689</v>
      </c>
      <c r="CM83" s="18">
        <f t="shared" si="119"/>
        <v>8726.7442825695689</v>
      </c>
      <c r="CN83" s="18">
        <f t="shared" si="120"/>
        <v>0</v>
      </c>
      <c r="CO83" s="112">
        <f t="shared" si="101"/>
        <v>8522294.4285823833</v>
      </c>
      <c r="CP83" s="112">
        <f t="shared" si="102"/>
        <v>8367787.7185000014</v>
      </c>
      <c r="CQ83" s="112">
        <f t="shared" si="103"/>
        <v>8367787.7185000014</v>
      </c>
      <c r="CR83" s="112">
        <f t="shared" si="104"/>
        <v>4766016.6952999998</v>
      </c>
      <c r="CS83" s="112">
        <f t="shared" si="105"/>
        <v>8726744.2825695686</v>
      </c>
      <c r="CT83" s="112">
        <f t="shared" si="106"/>
        <v>8726744.2825695686</v>
      </c>
      <c r="CU83" s="112">
        <f t="shared" si="107"/>
        <v>3756277.7332823831</v>
      </c>
      <c r="CV83" s="112">
        <f t="shared" si="121"/>
        <v>17094532.001069568</v>
      </c>
      <c r="CW83" s="843">
        <f t="shared" si="122"/>
        <v>6126.669813000186</v>
      </c>
      <c r="CX83" s="112">
        <f t="shared" si="108"/>
        <v>536672.8395</v>
      </c>
      <c r="CY83" s="112">
        <f t="shared" si="109"/>
        <v>559694.72353638324</v>
      </c>
      <c r="CZ83" s="112"/>
      <c r="DA83" s="112">
        <f t="shared" si="110"/>
        <v>8367787.7185000014</v>
      </c>
      <c r="DB83" s="112">
        <f t="shared" si="111"/>
        <v>8726744.2825695686</v>
      </c>
      <c r="DC83" s="171"/>
      <c r="DD83" s="128">
        <f t="shared" si="123"/>
        <v>104.28974271510216</v>
      </c>
      <c r="DE83" s="171"/>
      <c r="DF83" s="171"/>
      <c r="DG83" s="171"/>
      <c r="DH83" s="112">
        <v>2790.1833333333334</v>
      </c>
      <c r="DI83" s="797">
        <v>178.95</v>
      </c>
      <c r="DJ83" s="797">
        <f t="shared" si="124"/>
        <v>2611.2333333333336</v>
      </c>
      <c r="DK83" s="171"/>
      <c r="DL83" s="618">
        <f t="shared" si="112"/>
        <v>0</v>
      </c>
      <c r="DM83" s="618">
        <f t="shared" si="113"/>
        <v>0</v>
      </c>
      <c r="DN83" s="618">
        <f t="shared" si="114"/>
        <v>0</v>
      </c>
      <c r="DO83" s="125"/>
      <c r="DP83" s="21"/>
      <c r="DQ83" s="21"/>
    </row>
    <row r="84" spans="1:191" customFormat="1" ht="100.5" customHeight="1">
      <c r="A84" s="20">
        <f t="shared" si="125"/>
        <v>71</v>
      </c>
      <c r="B84" s="1247"/>
      <c r="C84" s="1285" t="s">
        <v>113</v>
      </c>
      <c r="D84" s="967" t="s">
        <v>142</v>
      </c>
      <c r="E84" s="617">
        <v>4632024035</v>
      </c>
      <c r="F84" s="1280" t="s">
        <v>8</v>
      </c>
      <c r="G84" s="1245" t="s">
        <v>956</v>
      </c>
      <c r="H84" s="866">
        <v>3299.1600000000003</v>
      </c>
      <c r="I84" s="825">
        <v>3299.1600000000003</v>
      </c>
      <c r="J84" s="756"/>
      <c r="K84" s="756"/>
      <c r="L84" s="872">
        <v>3299.1600000000003</v>
      </c>
      <c r="M84" s="867"/>
      <c r="N84" s="1207">
        <f>2762.47*1.2</f>
        <v>3314.9639999999995</v>
      </c>
      <c r="O84" s="1208">
        <f t="shared" ref="O84:O90" si="136">N84</f>
        <v>3314.9639999999995</v>
      </c>
      <c r="P84" s="963"/>
      <c r="Q84" s="963"/>
      <c r="R84" s="1208">
        <f>O84</f>
        <v>3314.9639999999995</v>
      </c>
      <c r="S84" s="910"/>
      <c r="T84" s="973">
        <v>221.89258939992251</v>
      </c>
      <c r="U84" s="825"/>
      <c r="V84" s="1002"/>
      <c r="W84" s="825"/>
      <c r="X84" s="825"/>
      <c r="Y84" s="825"/>
      <c r="Z84" s="971">
        <f t="shared" si="126"/>
        <v>221.89258939992251</v>
      </c>
      <c r="AA84" s="975">
        <v>128.85005073393103</v>
      </c>
      <c r="AB84" s="16"/>
      <c r="AC84" s="227"/>
      <c r="AD84" s="16"/>
      <c r="AE84" s="16"/>
      <c r="AF84" s="16"/>
      <c r="AG84" s="926">
        <f t="shared" si="127"/>
        <v>128.85005073393103</v>
      </c>
      <c r="AH84" s="894">
        <f t="shared" si="129"/>
        <v>350.74264013385357</v>
      </c>
      <c r="AI84" s="15">
        <f t="shared" si="70"/>
        <v>350.74264013385357</v>
      </c>
      <c r="AJ84" s="15">
        <f t="shared" si="70"/>
        <v>0</v>
      </c>
      <c r="AK84" s="15">
        <f t="shared" si="70"/>
        <v>0</v>
      </c>
      <c r="AL84" s="15">
        <f t="shared" si="70"/>
        <v>0</v>
      </c>
      <c r="AM84" s="15">
        <f t="shared" ref="AI84:AM138" si="137">X84+AE84</f>
        <v>0</v>
      </c>
      <c r="AN84" s="15"/>
      <c r="AO84" s="15">
        <f t="shared" si="67"/>
        <v>350.74264013385357</v>
      </c>
      <c r="AP84" s="15">
        <f t="shared" si="68"/>
        <v>350.74264013385357</v>
      </c>
      <c r="AQ84" s="15">
        <f t="shared" si="85"/>
        <v>350.74264013385357</v>
      </c>
      <c r="AR84" s="127">
        <f t="shared" si="115"/>
        <v>0</v>
      </c>
      <c r="AS84" s="112">
        <f t="shared" si="79"/>
        <v>1157156.0886240045</v>
      </c>
      <c r="AT84" s="112">
        <f t="shared" si="79"/>
        <v>0</v>
      </c>
      <c r="AU84" s="112">
        <f t="shared" si="79"/>
        <v>0</v>
      </c>
      <c r="AV84" s="112">
        <f t="shared" si="79"/>
        <v>0</v>
      </c>
      <c r="AW84" s="112">
        <f t="shared" si="79"/>
        <v>0</v>
      </c>
      <c r="AX84" s="112">
        <f t="shared" si="86"/>
        <v>1157156.0886240045</v>
      </c>
      <c r="AY84" s="112">
        <f t="shared" si="87"/>
        <v>1157156.0886240045</v>
      </c>
      <c r="AZ84" s="112">
        <f t="shared" si="80"/>
        <v>1162699.2253086795</v>
      </c>
      <c r="BA84" s="112">
        <f t="shared" si="80"/>
        <v>0</v>
      </c>
      <c r="BB84" s="112">
        <f t="shared" si="80"/>
        <v>0</v>
      </c>
      <c r="BC84" s="112">
        <f t="shared" si="80"/>
        <v>0</v>
      </c>
      <c r="BD84" s="112">
        <f t="shared" si="80"/>
        <v>0</v>
      </c>
      <c r="BE84" s="112">
        <f t="shared" si="88"/>
        <v>1162699.2253086795</v>
      </c>
      <c r="BF84" s="112">
        <f t="shared" si="89"/>
        <v>1162699.2253086795</v>
      </c>
      <c r="BG84" s="169">
        <f>(I84-J84)/1.2*U84/1000</f>
        <v>0</v>
      </c>
      <c r="BH84" s="170">
        <f>(O84-P84)/1.2*AB84/1000</f>
        <v>0</v>
      </c>
      <c r="BI84" s="169">
        <f t="shared" si="84"/>
        <v>0</v>
      </c>
      <c r="BJ84" s="169"/>
      <c r="BK84" s="169"/>
      <c r="BL84" s="112">
        <f t="shared" si="93"/>
        <v>732059.15524464846</v>
      </c>
      <c r="BM84" s="112">
        <f t="shared" si="93"/>
        <v>0</v>
      </c>
      <c r="BN84" s="112">
        <f t="shared" si="93"/>
        <v>0</v>
      </c>
      <c r="BO84" s="112">
        <f t="shared" si="93"/>
        <v>0</v>
      </c>
      <c r="BP84" s="112">
        <f t="shared" si="93"/>
        <v>0</v>
      </c>
      <c r="BQ84" s="112">
        <f t="shared" si="130"/>
        <v>732059.15524464846</v>
      </c>
      <c r="BR84" s="112">
        <f t="shared" si="131"/>
        <v>732059.15524464846</v>
      </c>
      <c r="BS84" s="112">
        <f t="shared" si="94"/>
        <v>427133.27958115487</v>
      </c>
      <c r="BT84" s="112">
        <f t="shared" si="94"/>
        <v>0</v>
      </c>
      <c r="BU84" s="112">
        <f t="shared" si="94"/>
        <v>0</v>
      </c>
      <c r="BV84" s="112">
        <f t="shared" si="132"/>
        <v>0</v>
      </c>
      <c r="BW84" s="112">
        <f t="shared" si="97"/>
        <v>0</v>
      </c>
      <c r="BX84" s="112">
        <f t="shared" si="133"/>
        <v>427133.27958115487</v>
      </c>
      <c r="BY84" s="112">
        <f t="shared" si="134"/>
        <v>427133.27958115487</v>
      </c>
      <c r="BZ84" s="113">
        <f t="shared" si="95"/>
        <v>0</v>
      </c>
      <c r="CA84" s="113">
        <f t="shared" si="95"/>
        <v>0</v>
      </c>
      <c r="CB84" s="113">
        <f t="shared" si="135"/>
        <v>0</v>
      </c>
      <c r="CC84" s="119" t="e">
        <f t="shared" si="96"/>
        <v>#DIV/0!</v>
      </c>
      <c r="CD84" s="119" t="e">
        <f t="shared" si="96"/>
        <v>#DIV/0!</v>
      </c>
      <c r="CE84" s="119" t="e">
        <f t="shared" si="116"/>
        <v>#DIV/0!</v>
      </c>
      <c r="CF84" s="113" t="e">
        <f t="shared" si="98"/>
        <v>#DIV/0!</v>
      </c>
      <c r="CG84" s="619">
        <f t="shared" si="99"/>
        <v>0</v>
      </c>
      <c r="CH84" s="132" t="e">
        <f t="shared" si="117"/>
        <v>#DIV/0!</v>
      </c>
      <c r="CI84" s="625"/>
      <c r="CJ84" s="208">
        <f t="shared" si="118"/>
        <v>735.56594572752454</v>
      </c>
      <c r="CK84" s="208">
        <f t="shared" si="100"/>
        <v>427.13327958115485</v>
      </c>
      <c r="CL84" s="208">
        <f t="shared" si="128"/>
        <v>1162.6992253086794</v>
      </c>
      <c r="CM84" s="18">
        <f t="shared" si="119"/>
        <v>1162.6992253086796</v>
      </c>
      <c r="CN84" s="18">
        <f t="shared" si="120"/>
        <v>0</v>
      </c>
      <c r="CO84" s="112">
        <f t="shared" si="101"/>
        <v>1159192.4348258034</v>
      </c>
      <c r="CP84" s="112">
        <f t="shared" si="102"/>
        <v>1157156.0886240045</v>
      </c>
      <c r="CQ84" s="112">
        <f t="shared" si="103"/>
        <v>1157156.0886240045</v>
      </c>
      <c r="CR84" s="112">
        <f t="shared" si="104"/>
        <v>732059.15524464846</v>
      </c>
      <c r="CS84" s="112">
        <f t="shared" si="105"/>
        <v>1162699.2253086795</v>
      </c>
      <c r="CT84" s="112">
        <f t="shared" si="106"/>
        <v>1162699.2253086795</v>
      </c>
      <c r="CU84" s="112">
        <f t="shared" si="107"/>
        <v>427133.27958115487</v>
      </c>
      <c r="CV84" s="112">
        <f t="shared" si="121"/>
        <v>2319855.3139326843</v>
      </c>
      <c r="CW84" s="843">
        <f t="shared" si="122"/>
        <v>6614.1240000000007</v>
      </c>
      <c r="CX84" s="112">
        <f t="shared" si="108"/>
        <v>0</v>
      </c>
      <c r="CY84" s="112">
        <f t="shared" si="109"/>
        <v>0</v>
      </c>
      <c r="CZ84" s="112"/>
      <c r="DA84" s="112">
        <f t="shared" si="110"/>
        <v>1157156.0886240045</v>
      </c>
      <c r="DB84" s="112">
        <f t="shared" si="111"/>
        <v>1162699.2253086795</v>
      </c>
      <c r="DC84" s="625"/>
      <c r="DD84" s="128" t="e">
        <f t="shared" si="123"/>
        <v>#DIV/0!</v>
      </c>
      <c r="DE84" s="625"/>
      <c r="DF84" s="625"/>
      <c r="DG84" s="625"/>
      <c r="DH84" s="797">
        <v>361.86500000000001</v>
      </c>
      <c r="DI84" s="797">
        <v>0</v>
      </c>
      <c r="DJ84" s="797">
        <f t="shared" si="124"/>
        <v>361.86500000000001</v>
      </c>
      <c r="DK84" s="625"/>
      <c r="DL84" s="618">
        <f t="shared" si="112"/>
        <v>0</v>
      </c>
      <c r="DM84" s="618">
        <f t="shared" si="113"/>
        <v>0</v>
      </c>
      <c r="DN84" s="618">
        <f t="shared" si="114"/>
        <v>0</v>
      </c>
      <c r="DO84" s="123"/>
    </row>
    <row r="85" spans="1:191" customFormat="1" ht="100.5" customHeight="1">
      <c r="A85" s="20">
        <f t="shared" si="125"/>
        <v>72</v>
      </c>
      <c r="B85" s="1248"/>
      <c r="C85" s="1285" t="s">
        <v>114</v>
      </c>
      <c r="D85" s="967" t="s">
        <v>141</v>
      </c>
      <c r="E85" s="617">
        <v>4632024035</v>
      </c>
      <c r="F85" s="1280" t="s">
        <v>8</v>
      </c>
      <c r="G85" s="1245" t="s">
        <v>956</v>
      </c>
      <c r="H85" s="866">
        <v>3299.1600000000003</v>
      </c>
      <c r="I85" s="825">
        <v>3299.1600000000003</v>
      </c>
      <c r="J85" s="756">
        <v>2896.52</v>
      </c>
      <c r="K85" s="756"/>
      <c r="L85" s="872">
        <v>3299.1600000000003</v>
      </c>
      <c r="M85" s="867"/>
      <c r="N85" s="1207">
        <f>2762.47*1.2</f>
        <v>3314.9639999999995</v>
      </c>
      <c r="O85" s="1208">
        <f t="shared" si="136"/>
        <v>3314.9639999999995</v>
      </c>
      <c r="P85" s="964">
        <v>2950.21</v>
      </c>
      <c r="Q85" s="964"/>
      <c r="R85" s="1208">
        <f>O85</f>
        <v>3314.9639999999995</v>
      </c>
      <c r="S85" s="910"/>
      <c r="T85" s="933"/>
      <c r="U85" s="981">
        <v>144.22645144437126</v>
      </c>
      <c r="V85" s="671"/>
      <c r="W85" s="622"/>
      <c r="X85" s="622"/>
      <c r="Y85" s="622"/>
      <c r="Z85" s="939">
        <f t="shared" si="126"/>
        <v>144.22645144437126</v>
      </c>
      <c r="AA85" s="976"/>
      <c r="AB85" s="622">
        <v>108.16983858327843</v>
      </c>
      <c r="AC85" s="227"/>
      <c r="AD85" s="16"/>
      <c r="AE85" s="16"/>
      <c r="AF85" s="16"/>
      <c r="AG85" s="926">
        <f t="shared" si="127"/>
        <v>108.16983858327843</v>
      </c>
      <c r="AH85" s="894">
        <f t="shared" si="129"/>
        <v>252.39629002764968</v>
      </c>
      <c r="AI85" s="15">
        <f t="shared" si="137"/>
        <v>0</v>
      </c>
      <c r="AJ85" s="15">
        <f t="shared" si="137"/>
        <v>252.39629002764968</v>
      </c>
      <c r="AK85" s="15">
        <f t="shared" si="137"/>
        <v>0</v>
      </c>
      <c r="AL85" s="15">
        <f t="shared" si="137"/>
        <v>0</v>
      </c>
      <c r="AM85" s="15">
        <f t="shared" si="137"/>
        <v>0</v>
      </c>
      <c r="AN85" s="15"/>
      <c r="AO85" s="15">
        <f t="shared" si="67"/>
        <v>252.39629002764968</v>
      </c>
      <c r="AP85" s="15">
        <f t="shared" si="68"/>
        <v>252.39629002764968</v>
      </c>
      <c r="AQ85" s="15">
        <f t="shared" si="85"/>
        <v>252.39629002764968</v>
      </c>
      <c r="AR85" s="127">
        <f t="shared" si="115"/>
        <v>0</v>
      </c>
      <c r="AS85" s="112">
        <f t="shared" si="79"/>
        <v>0</v>
      </c>
      <c r="AT85" s="112">
        <f t="shared" si="79"/>
        <v>731070.90199088783</v>
      </c>
      <c r="AU85" s="112">
        <f t="shared" si="79"/>
        <v>0</v>
      </c>
      <c r="AV85" s="112">
        <f t="shared" si="79"/>
        <v>0</v>
      </c>
      <c r="AW85" s="112">
        <f t="shared" si="79"/>
        <v>0</v>
      </c>
      <c r="AX85" s="112">
        <f t="shared" si="86"/>
        <v>731070.90199088783</v>
      </c>
      <c r="AY85" s="112">
        <f t="shared" si="87"/>
        <v>731070.90199088783</v>
      </c>
      <c r="AZ85" s="112">
        <f t="shared" si="80"/>
        <v>0</v>
      </c>
      <c r="BA85" s="112">
        <f t="shared" si="80"/>
        <v>744622.05880247243</v>
      </c>
      <c r="BB85" s="112">
        <f t="shared" si="80"/>
        <v>0</v>
      </c>
      <c r="BC85" s="112">
        <f t="shared" si="80"/>
        <v>0</v>
      </c>
      <c r="BD85" s="112">
        <f t="shared" si="80"/>
        <v>0</v>
      </c>
      <c r="BE85" s="112">
        <f t="shared" si="88"/>
        <v>744622.05880247243</v>
      </c>
      <c r="BF85" s="112">
        <f t="shared" si="89"/>
        <v>744622.05880247243</v>
      </c>
      <c r="BG85" s="623">
        <f>(O85-P85)/1.2*U85/1000</f>
        <v>43.839312558450104</v>
      </c>
      <c r="BH85" s="624">
        <f>(O85-P85)/1.2*AB85/1000</f>
        <v>32.879484418837571</v>
      </c>
      <c r="BI85" s="623">
        <f>BG85+BH85</f>
        <v>76.718796977287667</v>
      </c>
      <c r="BJ85" s="623"/>
      <c r="BK85" s="623"/>
      <c r="BL85" s="112">
        <f t="shared" si="93"/>
        <v>0</v>
      </c>
      <c r="BM85" s="112">
        <f t="shared" si="93"/>
        <v>417754.80113765027</v>
      </c>
      <c r="BN85" s="112">
        <f t="shared" si="93"/>
        <v>0</v>
      </c>
      <c r="BO85" s="112">
        <f t="shared" si="93"/>
        <v>0</v>
      </c>
      <c r="BP85" s="112">
        <f t="shared" si="93"/>
        <v>0</v>
      </c>
      <c r="BQ85" s="112">
        <f t="shared" si="130"/>
        <v>417754.80113765027</v>
      </c>
      <c r="BR85" s="112">
        <f t="shared" si="131"/>
        <v>417754.80113765027</v>
      </c>
      <c r="BS85" s="112">
        <f t="shared" si="94"/>
        <v>0</v>
      </c>
      <c r="BT85" s="112">
        <f t="shared" si="94"/>
        <v>319123.73948677385</v>
      </c>
      <c r="BU85" s="112">
        <f t="shared" si="94"/>
        <v>0</v>
      </c>
      <c r="BV85" s="112">
        <f t="shared" si="132"/>
        <v>0</v>
      </c>
      <c r="BW85" s="112">
        <f t="shared" si="97"/>
        <v>0</v>
      </c>
      <c r="BX85" s="112">
        <f t="shared" si="133"/>
        <v>319123.73948677385</v>
      </c>
      <c r="BY85" s="112">
        <f t="shared" si="134"/>
        <v>319123.73948677385</v>
      </c>
      <c r="BZ85" s="113">
        <f t="shared" si="95"/>
        <v>736878.54062442412</v>
      </c>
      <c r="CA85" s="113">
        <f t="shared" si="95"/>
        <v>0</v>
      </c>
      <c r="CB85" s="113">
        <f t="shared" si="135"/>
        <v>736878.54062442412</v>
      </c>
      <c r="CC85" s="119">
        <f t="shared" si="96"/>
        <v>2919.53</v>
      </c>
      <c r="CD85" s="119" t="e">
        <f t="shared" si="96"/>
        <v>#DIV/0!</v>
      </c>
      <c r="CE85" s="119">
        <f t="shared" si="116"/>
        <v>2919.53</v>
      </c>
      <c r="CF85" s="119">
        <f t="shared" si="98"/>
        <v>2919.53</v>
      </c>
      <c r="CG85" s="619">
        <f t="shared" si="99"/>
        <v>834405.26033659093</v>
      </c>
      <c r="CH85" s="132">
        <f t="shared" si="117"/>
        <v>3305.9331428571431</v>
      </c>
      <c r="CI85" s="625"/>
      <c r="CJ85" s="208">
        <f t="shared" si="118"/>
        <v>478.10549438583871</v>
      </c>
      <c r="CK85" s="208">
        <f t="shared" si="100"/>
        <v>358.57912078937892</v>
      </c>
      <c r="CL85" s="208">
        <f t="shared" si="128"/>
        <v>836.68461517521769</v>
      </c>
      <c r="CM85" s="18">
        <f t="shared" si="119"/>
        <v>836.68461517521757</v>
      </c>
      <c r="CN85" s="18">
        <f t="shared" si="120"/>
        <v>0</v>
      </c>
      <c r="CO85" s="112">
        <f t="shared" si="101"/>
        <v>834405.26033659093</v>
      </c>
      <c r="CP85" s="112">
        <f t="shared" si="102"/>
        <v>731070.90199088783</v>
      </c>
      <c r="CQ85" s="112">
        <f t="shared" si="103"/>
        <v>731070.90199088783</v>
      </c>
      <c r="CR85" s="112">
        <f t="shared" si="104"/>
        <v>417754.80113765027</v>
      </c>
      <c r="CS85" s="112">
        <f t="shared" si="105"/>
        <v>744622.05880247243</v>
      </c>
      <c r="CT85" s="112">
        <f t="shared" si="106"/>
        <v>744622.05880247243</v>
      </c>
      <c r="CU85" s="112">
        <f t="shared" si="107"/>
        <v>319123.73948677385</v>
      </c>
      <c r="CV85" s="112">
        <f t="shared" si="121"/>
        <v>1475692.9607933601</v>
      </c>
      <c r="CW85" s="843">
        <f t="shared" si="122"/>
        <v>5846.73</v>
      </c>
      <c r="CX85" s="112">
        <f t="shared" si="108"/>
        <v>731070.90199088783</v>
      </c>
      <c r="CY85" s="112">
        <f t="shared" si="109"/>
        <v>744622.05880247243</v>
      </c>
      <c r="CZ85" s="112"/>
      <c r="DA85" s="112">
        <f t="shared" si="110"/>
        <v>832695.74420762085</v>
      </c>
      <c r="DB85" s="112">
        <f t="shared" si="111"/>
        <v>836684.61517521762</v>
      </c>
      <c r="DC85" s="625"/>
      <c r="DD85" s="128">
        <f t="shared" si="123"/>
        <v>114.44643917528619</v>
      </c>
      <c r="DE85" s="625"/>
      <c r="DF85" s="625"/>
      <c r="DG85" s="625"/>
      <c r="DH85" s="797">
        <v>260.39999999999998</v>
      </c>
      <c r="DI85" s="797">
        <v>260.39999999999998</v>
      </c>
      <c r="DJ85" s="797">
        <f t="shared" si="124"/>
        <v>0</v>
      </c>
      <c r="DK85" s="625"/>
      <c r="DL85" s="618">
        <f t="shared" si="112"/>
        <v>0</v>
      </c>
      <c r="DM85" s="618">
        <f t="shared" si="113"/>
        <v>0</v>
      </c>
      <c r="DN85" s="618">
        <f t="shared" si="114"/>
        <v>0</v>
      </c>
      <c r="DO85" s="123"/>
    </row>
    <row r="86" spans="1:191" customFormat="1" ht="100.5" customHeight="1">
      <c r="A86" s="695">
        <f t="shared" si="125"/>
        <v>73</v>
      </c>
      <c r="B86" s="1281" t="s">
        <v>30</v>
      </c>
      <c r="C86" s="1296" t="s">
        <v>58</v>
      </c>
      <c r="D86" s="696" t="s">
        <v>187</v>
      </c>
      <c r="E86" s="706">
        <v>4620014875</v>
      </c>
      <c r="F86" s="696" t="s">
        <v>8</v>
      </c>
      <c r="G86" s="1253" t="s">
        <v>941</v>
      </c>
      <c r="H86" s="870">
        <v>2640.47</v>
      </c>
      <c r="I86" s="827">
        <v>2640.47</v>
      </c>
      <c r="J86" s="827">
        <v>2197.35</v>
      </c>
      <c r="K86" s="827">
        <v>1933.59</v>
      </c>
      <c r="L86" s="827">
        <v>2640.47</v>
      </c>
      <c r="M86" s="878">
        <v>0</v>
      </c>
      <c r="N86" s="857">
        <v>3140.41</v>
      </c>
      <c r="O86" s="697">
        <f t="shared" si="136"/>
        <v>3140.41</v>
      </c>
      <c r="P86" s="697">
        <v>2439.0591660000005</v>
      </c>
      <c r="Q86" s="697">
        <v>2146.2878970000002</v>
      </c>
      <c r="R86" s="697">
        <f>O86</f>
        <v>3140.41</v>
      </c>
      <c r="S86" s="916">
        <v>0</v>
      </c>
      <c r="T86" s="1195">
        <v>7557.3</v>
      </c>
      <c r="U86" s="716">
        <v>11066.73</v>
      </c>
      <c r="V86" s="714">
        <v>345.45</v>
      </c>
      <c r="W86" s="714">
        <v>707.17</v>
      </c>
      <c r="X86" s="716">
        <v>0</v>
      </c>
      <c r="Y86" s="716">
        <v>0</v>
      </c>
      <c r="Z86" s="936">
        <f>SUM(T86:W86)</f>
        <v>19676.649999999998</v>
      </c>
      <c r="AA86" s="1053">
        <v>5389.19</v>
      </c>
      <c r="AB86" s="716">
        <v>7597.99</v>
      </c>
      <c r="AC86" s="714">
        <v>203.92</v>
      </c>
      <c r="AD86" s="714">
        <v>301.64</v>
      </c>
      <c r="AE86" s="716">
        <v>0</v>
      </c>
      <c r="AF86" s="716">
        <v>0</v>
      </c>
      <c r="AG86" s="936">
        <f>SUM(AA86:AD86)</f>
        <v>13492.74</v>
      </c>
      <c r="AH86" s="954">
        <f>Z86+AG86</f>
        <v>33169.39</v>
      </c>
      <c r="AI86" s="163">
        <f>T86+AA86</f>
        <v>12946.49</v>
      </c>
      <c r="AJ86" s="163">
        <f t="shared" si="137"/>
        <v>18664.72</v>
      </c>
      <c r="AK86" s="163">
        <f t="shared" si="137"/>
        <v>549.37</v>
      </c>
      <c r="AL86" s="163">
        <f t="shared" si="137"/>
        <v>1008.81</v>
      </c>
      <c r="AM86" s="163">
        <f t="shared" si="137"/>
        <v>0</v>
      </c>
      <c r="AN86" s="163">
        <v>0</v>
      </c>
      <c r="AO86" s="163">
        <f>SUM(AI86:AN86)</f>
        <v>33169.39</v>
      </c>
      <c r="AP86" s="163">
        <f>SUM(AI86:AM86)</f>
        <v>33169.39</v>
      </c>
      <c r="AQ86" s="163">
        <f>SUM(AI86:AL86)</f>
        <v>33169.39</v>
      </c>
      <c r="AR86" s="164">
        <f t="shared" si="115"/>
        <v>0</v>
      </c>
      <c r="AS86" s="163">
        <f t="shared" si="79"/>
        <v>34184818.450299993</v>
      </c>
      <c r="AT86" s="163">
        <f t="shared" si="79"/>
        <v>41012922.491999999</v>
      </c>
      <c r="AU86" s="163">
        <f t="shared" si="79"/>
        <v>1062256.3382999999</v>
      </c>
      <c r="AV86" s="163">
        <f t="shared" si="79"/>
        <v>2663732.5406999998</v>
      </c>
      <c r="AW86" s="163">
        <f t="shared" si="79"/>
        <v>0</v>
      </c>
      <c r="AX86" s="163">
        <f t="shared" si="86"/>
        <v>78923729.8213</v>
      </c>
      <c r="AY86" s="163">
        <f t="shared" si="87"/>
        <v>78923729.8213</v>
      </c>
      <c r="AZ86" s="163">
        <f t="shared" si="80"/>
        <v>40657286.660899997</v>
      </c>
      <c r="BA86" s="163">
        <f t="shared" si="80"/>
        <v>45524356.396823533</v>
      </c>
      <c r="BB86" s="163">
        <f t="shared" si="80"/>
        <v>1179106.1819748902</v>
      </c>
      <c r="BC86" s="163">
        <f t="shared" si="80"/>
        <v>3168077.0120999995</v>
      </c>
      <c r="BD86" s="163">
        <f t="shared" si="80"/>
        <v>0</v>
      </c>
      <c r="BE86" s="163">
        <f t="shared" si="88"/>
        <v>90528826.251798406</v>
      </c>
      <c r="BF86" s="163">
        <f t="shared" si="89"/>
        <v>90528826.251798406</v>
      </c>
      <c r="BG86" s="164"/>
      <c r="BH86" s="1196"/>
      <c r="BI86" s="1196">
        <v>13636.726000000001</v>
      </c>
      <c r="BJ86" s="1197">
        <v>104165.6</v>
      </c>
      <c r="BK86" s="1197">
        <v>106493.58</v>
      </c>
      <c r="BL86" s="18">
        <f>I86*T86</f>
        <v>19954823.930999998</v>
      </c>
      <c r="BM86" s="18">
        <f t="shared" si="93"/>
        <v>24317479.165499996</v>
      </c>
      <c r="BN86" s="18">
        <f t="shared" si="93"/>
        <v>667958.6655</v>
      </c>
      <c r="BO86" s="18">
        <f t="shared" si="93"/>
        <v>1867261.1698999999</v>
      </c>
      <c r="BP86" s="18">
        <f t="shared" si="93"/>
        <v>0</v>
      </c>
      <c r="BQ86" s="18">
        <f t="shared" si="130"/>
        <v>46807522.931899995</v>
      </c>
      <c r="BR86" s="18">
        <f t="shared" si="131"/>
        <v>46807522.931899995</v>
      </c>
      <c r="BS86" s="18">
        <f t="shared" si="94"/>
        <v>16924266.1679</v>
      </c>
      <c r="BT86" s="18">
        <f t="shared" si="94"/>
        <v>18531947.152676344</v>
      </c>
      <c r="BU86" s="18">
        <f t="shared" si="94"/>
        <v>437671.02795624</v>
      </c>
      <c r="BV86" s="18">
        <f t="shared" si="132"/>
        <v>2220803.7396999998</v>
      </c>
      <c r="BW86" s="18">
        <f t="shared" si="97"/>
        <v>0</v>
      </c>
      <c r="BX86" s="18">
        <f t="shared" si="133"/>
        <v>38114688.088232577</v>
      </c>
      <c r="BY86" s="18">
        <f t="shared" si="134"/>
        <v>38114688.088232577</v>
      </c>
      <c r="BZ86" s="161">
        <f t="shared" si="95"/>
        <v>42849426.318176344</v>
      </c>
      <c r="CA86" s="161">
        <f t="shared" si="95"/>
        <v>1105629.69345624</v>
      </c>
      <c r="CB86" s="161">
        <f t="shared" si="135"/>
        <v>43955056.011632584</v>
      </c>
      <c r="CC86" s="162">
        <f t="shared" si="96"/>
        <v>2295.7443946748917</v>
      </c>
      <c r="CD86" s="162">
        <f t="shared" si="96"/>
        <v>2012.5410806127745</v>
      </c>
      <c r="CE86" s="162">
        <f t="shared" si="116"/>
        <v>2287.6470346309707</v>
      </c>
      <c r="CF86" s="162">
        <f t="shared" si="98"/>
        <v>2287.6470346309711</v>
      </c>
      <c r="CG86" s="651">
        <f t="shared" si="99"/>
        <v>54634715.107699998</v>
      </c>
      <c r="CH86" s="652">
        <f t="shared" si="117"/>
        <v>2843.4713852022132</v>
      </c>
      <c r="CJ86" s="208">
        <f t="shared" si="118"/>
        <v>61792.748426499995</v>
      </c>
      <c r="CK86" s="208">
        <f t="shared" si="100"/>
        <v>42372.735623399996</v>
      </c>
      <c r="CL86" s="18">
        <f t="shared" si="128"/>
        <v>104165.4840499</v>
      </c>
      <c r="CM86" s="18">
        <f t="shared" si="119"/>
        <v>104165.4840499</v>
      </c>
      <c r="CN86" s="18">
        <f t="shared" si="120"/>
        <v>0</v>
      </c>
      <c r="CO86" s="18">
        <f t="shared" si="101"/>
        <v>94328339.648899987</v>
      </c>
      <c r="CP86" s="18">
        <f t="shared" si="102"/>
        <v>78923729.8213</v>
      </c>
      <c r="CQ86" s="18">
        <f t="shared" si="103"/>
        <v>79068631.652499989</v>
      </c>
      <c r="CR86" s="18">
        <f t="shared" si="104"/>
        <v>46807522.931899995</v>
      </c>
      <c r="CS86" s="18">
        <f t="shared" si="105"/>
        <v>90528826.251798406</v>
      </c>
      <c r="CT86" s="18">
        <f t="shared" si="106"/>
        <v>90689666.00384894</v>
      </c>
      <c r="CU86" s="18">
        <f t="shared" si="107"/>
        <v>36841157.620932579</v>
      </c>
      <c r="CV86" s="18">
        <f t="shared" si="121"/>
        <v>169452556.07309842</v>
      </c>
      <c r="CW86" s="843">
        <f t="shared" si="122"/>
        <v>5108.702815249193</v>
      </c>
      <c r="CX86" s="18">
        <f t="shared" si="108"/>
        <v>42075178.830299996</v>
      </c>
      <c r="CY86" s="18">
        <f t="shared" si="109"/>
        <v>46703462.578798421</v>
      </c>
      <c r="CZ86" s="18"/>
      <c r="DA86" s="18">
        <f t="shared" si="110"/>
        <v>87582779.213300005</v>
      </c>
      <c r="DB86" s="18">
        <f t="shared" si="111"/>
        <v>104165484.04990001</v>
      </c>
      <c r="DD86" s="653">
        <f t="shared" si="123"/>
        <v>142.91806039092543</v>
      </c>
      <c r="DH86" s="18">
        <v>31206.009999999995</v>
      </c>
      <c r="DI86" s="18">
        <v>17533.340000000004</v>
      </c>
      <c r="DJ86" s="18">
        <f t="shared" si="124"/>
        <v>13672.669999999991</v>
      </c>
      <c r="DL86" s="701">
        <f t="shared" si="112"/>
        <v>0</v>
      </c>
      <c r="DM86" s="701">
        <f t="shared" si="113"/>
        <v>0</v>
      </c>
      <c r="DN86" s="701">
        <f t="shared" si="114"/>
        <v>0</v>
      </c>
    </row>
    <row r="87" spans="1:191" customFormat="1" ht="100.5" customHeight="1">
      <c r="A87" s="695">
        <f t="shared" si="125"/>
        <v>74</v>
      </c>
      <c r="B87" s="1281"/>
      <c r="C87" s="1278" t="s">
        <v>260</v>
      </c>
      <c r="D87" s="1295" t="s">
        <v>31</v>
      </c>
      <c r="E87" s="706">
        <v>4620001192</v>
      </c>
      <c r="F87" s="696" t="s">
        <v>8</v>
      </c>
      <c r="G87" s="1253" t="s">
        <v>953</v>
      </c>
      <c r="H87" s="870">
        <v>1708.49</v>
      </c>
      <c r="I87" s="827">
        <v>1708.49</v>
      </c>
      <c r="J87" s="827">
        <v>1708.49</v>
      </c>
      <c r="K87" s="827">
        <v>1708.49</v>
      </c>
      <c r="L87" s="827">
        <v>1708.49</v>
      </c>
      <c r="M87" s="871">
        <v>0</v>
      </c>
      <c r="N87" s="854">
        <f>1708.49*1.2</f>
        <v>2050.1880000000001</v>
      </c>
      <c r="O87" s="714">
        <f t="shared" si="136"/>
        <v>2050.1880000000001</v>
      </c>
      <c r="P87" s="716">
        <f>1580.35*1.2</f>
        <v>1896.4199999999998</v>
      </c>
      <c r="Q87" s="716">
        <f>P87</f>
        <v>1896.4199999999998</v>
      </c>
      <c r="R87" s="714">
        <f>O87</f>
        <v>2050.1880000000001</v>
      </c>
      <c r="S87" s="912"/>
      <c r="T87" s="940">
        <v>842.41200000000003</v>
      </c>
      <c r="U87" s="226">
        <v>4582.95</v>
      </c>
      <c r="V87" s="1080">
        <v>944.02</v>
      </c>
      <c r="W87" s="18">
        <v>828.10199999999998</v>
      </c>
      <c r="X87" s="18"/>
      <c r="Y87" s="747">
        <v>7197.4859999999999</v>
      </c>
      <c r="Z87" s="934">
        <f t="shared" si="126"/>
        <v>7197.4839999999995</v>
      </c>
      <c r="AA87" s="902">
        <v>561.60799999999995</v>
      </c>
      <c r="AB87" s="226">
        <v>3055.3</v>
      </c>
      <c r="AC87" s="747">
        <v>629.34799999999996</v>
      </c>
      <c r="AD87" s="18">
        <v>552.06799999999998</v>
      </c>
      <c r="AE87" s="18"/>
      <c r="AF87" s="747">
        <v>4798.3239999999996</v>
      </c>
      <c r="AG87" s="934">
        <f t="shared" si="127"/>
        <v>4798.3240000000005</v>
      </c>
      <c r="AH87" s="953">
        <f t="shared" si="129"/>
        <v>11995.808000000001</v>
      </c>
      <c r="AI87" s="18">
        <f t="shared" si="137"/>
        <v>1404.02</v>
      </c>
      <c r="AJ87" s="18">
        <f t="shared" si="137"/>
        <v>7638.25</v>
      </c>
      <c r="AK87" s="18">
        <f t="shared" si="137"/>
        <v>1573.3679999999999</v>
      </c>
      <c r="AL87" s="18">
        <f t="shared" si="137"/>
        <v>1380.17</v>
      </c>
      <c r="AM87" s="18">
        <f t="shared" si="137"/>
        <v>0</v>
      </c>
      <c r="AN87" s="18"/>
      <c r="AO87" s="18">
        <f t="shared" si="67"/>
        <v>11995.808000000001</v>
      </c>
      <c r="AP87" s="18">
        <f t="shared" si="68"/>
        <v>11995.808000000001</v>
      </c>
      <c r="AQ87" s="18">
        <f t="shared" si="85"/>
        <v>11995.808000000001</v>
      </c>
      <c r="AR87" s="99">
        <f t="shared" si="115"/>
        <v>0</v>
      </c>
      <c r="AS87" s="18">
        <f t="shared" si="79"/>
        <v>2398754.1297999998</v>
      </c>
      <c r="AT87" s="18">
        <f t="shared" si="79"/>
        <v>13049873.7425</v>
      </c>
      <c r="AU87" s="18">
        <f t="shared" si="79"/>
        <v>2688083.4943200001</v>
      </c>
      <c r="AV87" s="18">
        <f t="shared" si="79"/>
        <v>2358006.6433000001</v>
      </c>
      <c r="AW87" s="18">
        <f t="shared" si="79"/>
        <v>0</v>
      </c>
      <c r="AX87" s="18">
        <f t="shared" si="86"/>
        <v>20494718.009920001</v>
      </c>
      <c r="AY87" s="18">
        <f t="shared" si="87"/>
        <v>20494718.009920001</v>
      </c>
      <c r="AZ87" s="18">
        <f t="shared" si="80"/>
        <v>2878504.9557600003</v>
      </c>
      <c r="BA87" s="18">
        <f t="shared" si="80"/>
        <v>14485330.064999999</v>
      </c>
      <c r="BB87" s="18">
        <f t="shared" si="80"/>
        <v>2983766.5425599995</v>
      </c>
      <c r="BC87" s="18">
        <f t="shared" si="80"/>
        <v>2829607.9719600002</v>
      </c>
      <c r="BD87" s="18">
        <f t="shared" si="80"/>
        <v>0</v>
      </c>
      <c r="BE87" s="18">
        <f t="shared" si="88"/>
        <v>23177209.53528</v>
      </c>
      <c r="BF87" s="18">
        <f t="shared" si="89"/>
        <v>23177209.53528</v>
      </c>
      <c r="BG87" s="18"/>
      <c r="BH87" s="18"/>
      <c r="BI87" s="18">
        <v>1180.3769868000009</v>
      </c>
      <c r="BJ87" s="18">
        <v>44658.997722183689</v>
      </c>
      <c r="BK87" s="18">
        <v>57700.309710000001</v>
      </c>
      <c r="BL87" s="18">
        <f t="shared" si="93"/>
        <v>1439252.4778800001</v>
      </c>
      <c r="BM87" s="18">
        <f>J87*U87</f>
        <v>7829924.2455000002</v>
      </c>
      <c r="BN87" s="18">
        <f>K87*V87</f>
        <v>1612848.7298000001</v>
      </c>
      <c r="BO87" s="18">
        <f>L87*W87</f>
        <v>1414803.9859799999</v>
      </c>
      <c r="BP87" s="18">
        <f t="shared" si="93"/>
        <v>0</v>
      </c>
      <c r="BQ87" s="18">
        <f>BL87+BM87+BN87+BO87+BP87</f>
        <v>12296829.439160001</v>
      </c>
      <c r="BR87" s="18">
        <f>BQ87-BP87</f>
        <v>12296829.439160001</v>
      </c>
      <c r="BS87" s="18">
        <f t="shared" si="94"/>
        <v>1151401.9823040001</v>
      </c>
      <c r="BT87" s="18">
        <f t="shared" si="94"/>
        <v>5794132.0259999996</v>
      </c>
      <c r="BU87" s="18">
        <f t="shared" si="94"/>
        <v>1193508.1341599999</v>
      </c>
      <c r="BV87" s="18">
        <f t="shared" si="132"/>
        <v>1697764.783176</v>
      </c>
      <c r="BW87" s="18">
        <f t="shared" si="97"/>
        <v>0</v>
      </c>
      <c r="BX87" s="18">
        <f t="shared" si="133"/>
        <v>9836806.92564</v>
      </c>
      <c r="BY87" s="18">
        <f t="shared" si="134"/>
        <v>9836806.92564</v>
      </c>
      <c r="BZ87" s="161">
        <f t="shared" si="95"/>
        <v>13624056.271499999</v>
      </c>
      <c r="CA87" s="161">
        <f t="shared" si="95"/>
        <v>2806356.8639599998</v>
      </c>
      <c r="CB87" s="161">
        <f t="shared" si="135"/>
        <v>16430413.135459999</v>
      </c>
      <c r="CC87" s="162">
        <f t="shared" si="96"/>
        <v>1783.6619999999998</v>
      </c>
      <c r="CD87" s="162">
        <f t="shared" si="96"/>
        <v>1783.6620955555215</v>
      </c>
      <c r="CE87" s="162">
        <f t="shared" si="116"/>
        <v>1783.6620163211282</v>
      </c>
      <c r="CF87" s="162">
        <f t="shared" si="98"/>
        <v>1783.6620163211282</v>
      </c>
      <c r="CG87" s="651">
        <f t="shared" si="99"/>
        <v>16996994.089124002</v>
      </c>
      <c r="CH87" s="652">
        <f t="shared" si="117"/>
        <v>1845.1692296753947</v>
      </c>
      <c r="CJ87" s="208">
        <f t="shared" si="118"/>
        <v>14756.195326992</v>
      </c>
      <c r="CK87" s="208">
        <f t="shared" si="100"/>
        <v>9837.4662849120014</v>
      </c>
      <c r="CL87" s="18">
        <f t="shared" si="128"/>
        <v>24593.661611904001</v>
      </c>
      <c r="CM87" s="18">
        <f t="shared" si="119"/>
        <v>24593.661611904005</v>
      </c>
      <c r="CN87" s="18">
        <f t="shared" si="120"/>
        <v>0</v>
      </c>
      <c r="CO87" s="18">
        <f t="shared" si="101"/>
        <v>22134295.724072002</v>
      </c>
      <c r="CP87" s="18">
        <f t="shared" si="102"/>
        <v>20494718.009920001</v>
      </c>
      <c r="CQ87" s="18">
        <f t="shared" si="103"/>
        <v>20494718.009920001</v>
      </c>
      <c r="CR87" s="18">
        <f t="shared" si="104"/>
        <v>12296829.439160001</v>
      </c>
      <c r="CS87" s="18">
        <f t="shared" si="105"/>
        <v>23177209.53528</v>
      </c>
      <c r="CT87" s="18">
        <f t="shared" si="106"/>
        <v>23177209.535279997</v>
      </c>
      <c r="CU87" s="18">
        <f t="shared" si="107"/>
        <v>9270885.3312480003</v>
      </c>
      <c r="CV87" s="18">
        <f t="shared" si="121"/>
        <v>43671927.545200005</v>
      </c>
      <c r="CW87" s="843">
        <f t="shared" si="122"/>
        <v>3640.5990780445973</v>
      </c>
      <c r="CX87" s="18">
        <f t="shared" si="108"/>
        <v>15737957.236819999</v>
      </c>
      <c r="CY87" s="18">
        <f t="shared" si="109"/>
        <v>17469096.607559998</v>
      </c>
      <c r="CZ87" s="18"/>
      <c r="DA87" s="18">
        <f t="shared" si="110"/>
        <v>20494718.009920001</v>
      </c>
      <c r="DB87" s="18">
        <f t="shared" si="111"/>
        <v>24593661.611903999</v>
      </c>
      <c r="DD87" s="653">
        <f t="shared" si="123"/>
        <v>120</v>
      </c>
      <c r="DH87" s="18">
        <v>12777.46</v>
      </c>
      <c r="DI87" s="18">
        <v>10875.91</v>
      </c>
      <c r="DJ87" s="18">
        <f t="shared" si="124"/>
        <v>1901.5499999999993</v>
      </c>
      <c r="DL87" s="701">
        <f t="shared" si="112"/>
        <v>0</v>
      </c>
      <c r="DM87" s="701">
        <f t="shared" si="113"/>
        <v>0</v>
      </c>
      <c r="DN87" s="701">
        <f t="shared" si="114"/>
        <v>0</v>
      </c>
    </row>
    <row r="88" spans="1:191" customFormat="1" ht="100.5" customHeight="1">
      <c r="A88" s="20">
        <f t="shared" si="125"/>
        <v>75</v>
      </c>
      <c r="B88" s="1291"/>
      <c r="C88" s="1281"/>
      <c r="D88" s="967" t="s">
        <v>141</v>
      </c>
      <c r="E88" s="617">
        <v>4632024035</v>
      </c>
      <c r="F88" s="672" t="s">
        <v>8</v>
      </c>
      <c r="G88" s="1245" t="s">
        <v>956</v>
      </c>
      <c r="H88" s="866">
        <v>3299.1600000000003</v>
      </c>
      <c r="I88" s="825">
        <v>3299.1600000000003</v>
      </c>
      <c r="J88" s="756">
        <v>2896.52</v>
      </c>
      <c r="K88" s="756"/>
      <c r="L88" s="872">
        <v>3299.1600000000003</v>
      </c>
      <c r="M88" s="882"/>
      <c r="N88" s="1207">
        <f>2762.47*1.2</f>
        <v>3314.9639999999995</v>
      </c>
      <c r="O88" s="1208">
        <f>N88</f>
        <v>3314.9639999999995</v>
      </c>
      <c r="P88" s="964">
        <v>2950.21</v>
      </c>
      <c r="Q88" s="964"/>
      <c r="R88" s="1208">
        <f>O88</f>
        <v>3314.9639999999995</v>
      </c>
      <c r="S88" s="919"/>
      <c r="T88" s="973">
        <v>869.27453436404528</v>
      </c>
      <c r="U88" s="825">
        <v>61.703332654224958</v>
      </c>
      <c r="V88" s="227"/>
      <c r="W88" s="16"/>
      <c r="X88" s="16"/>
      <c r="Y88" s="16"/>
      <c r="Z88" s="930">
        <f t="shared" si="126"/>
        <v>930.97786701827022</v>
      </c>
      <c r="AA88" s="975">
        <v>554.55942917768687</v>
      </c>
      <c r="AB88" s="825">
        <v>46.292038447467547</v>
      </c>
      <c r="AC88" s="227"/>
      <c r="AD88" s="16"/>
      <c r="AE88" s="16"/>
      <c r="AF88" s="16"/>
      <c r="AG88" s="930">
        <f t="shared" si="127"/>
        <v>600.85146762515444</v>
      </c>
      <c r="AH88" s="898">
        <f t="shared" si="129"/>
        <v>1531.8293346434248</v>
      </c>
      <c r="AI88" s="16">
        <f t="shared" si="137"/>
        <v>1423.8339635417321</v>
      </c>
      <c r="AJ88" s="16">
        <f t="shared" si="137"/>
        <v>107.99537110169251</v>
      </c>
      <c r="AK88" s="16">
        <f t="shared" si="137"/>
        <v>0</v>
      </c>
      <c r="AL88" s="16">
        <f t="shared" si="137"/>
        <v>0</v>
      </c>
      <c r="AM88" s="16">
        <f t="shared" si="137"/>
        <v>0</v>
      </c>
      <c r="AN88" s="16"/>
      <c r="AO88" s="16">
        <f t="shared" si="67"/>
        <v>1531.8293346434248</v>
      </c>
      <c r="AP88" s="16">
        <f t="shared" si="68"/>
        <v>1531.8293346434248</v>
      </c>
      <c r="AQ88" s="16">
        <f t="shared" si="85"/>
        <v>1531.8293346434248</v>
      </c>
      <c r="AR88" s="127">
        <f t="shared" si="115"/>
        <v>0</v>
      </c>
      <c r="AS88" s="112">
        <f>I88*AI88</f>
        <v>4697456.059158341</v>
      </c>
      <c r="AT88" s="112">
        <f>J88*AJ88</f>
        <v>312810.75230347441</v>
      </c>
      <c r="AU88" s="112">
        <f>K88*AK88</f>
        <v>0</v>
      </c>
      <c r="AV88" s="112">
        <f>L88*AL88</f>
        <v>0</v>
      </c>
      <c r="AW88" s="112">
        <f>M88*AM88</f>
        <v>0</v>
      </c>
      <c r="AX88" s="112">
        <f t="shared" si="86"/>
        <v>5010266.8114618156</v>
      </c>
      <c r="AY88" s="112">
        <f t="shared" si="87"/>
        <v>5010266.8114618156</v>
      </c>
      <c r="AZ88" s="112">
        <f>O88*AI88</f>
        <v>4719958.3311181534</v>
      </c>
      <c r="BA88" s="112">
        <f>P88*AJ88</f>
        <v>318609.02377792425</v>
      </c>
      <c r="BB88" s="112">
        <f>Q88*AK88</f>
        <v>0</v>
      </c>
      <c r="BC88" s="112">
        <f>R88*AL88</f>
        <v>0</v>
      </c>
      <c r="BD88" s="112">
        <f>S88*AM88</f>
        <v>0</v>
      </c>
      <c r="BE88" s="112">
        <f t="shared" si="88"/>
        <v>5038567.3548960779</v>
      </c>
      <c r="BF88" s="112">
        <f t="shared" si="89"/>
        <v>5038567.3548960779</v>
      </c>
      <c r="BG88" s="623">
        <f>(O88-P88)/1.2*U88/1000</f>
        <v>18.755447832465951</v>
      </c>
      <c r="BH88" s="673">
        <f>(O88-P88)/1.2*AB88/1000</f>
        <v>14.071005159889628</v>
      </c>
      <c r="BI88" s="632">
        <f t="shared" si="84"/>
        <v>32.826452992355577</v>
      </c>
      <c r="BJ88" s="674"/>
      <c r="BK88" s="674"/>
      <c r="BL88" s="126">
        <f t="shared" si="93"/>
        <v>2867875.7727924837</v>
      </c>
      <c r="BM88" s="126">
        <f t="shared" si="93"/>
        <v>178724.93709961566</v>
      </c>
      <c r="BN88" s="126">
        <f t="shared" si="93"/>
        <v>0</v>
      </c>
      <c r="BO88" s="126">
        <f t="shared" si="93"/>
        <v>0</v>
      </c>
      <c r="BP88" s="126">
        <f t="shared" si="93"/>
        <v>0</v>
      </c>
      <c r="BQ88" s="126">
        <f t="shared" si="130"/>
        <v>3046600.7098920993</v>
      </c>
      <c r="BR88" s="126">
        <f t="shared" si="131"/>
        <v>3046600.7098920993</v>
      </c>
      <c r="BS88" s="126">
        <f t="shared" si="94"/>
        <v>1838344.5435845812</v>
      </c>
      <c r="BT88" s="126">
        <f t="shared" si="94"/>
        <v>136571.23474810325</v>
      </c>
      <c r="BU88" s="126">
        <f t="shared" si="94"/>
        <v>0</v>
      </c>
      <c r="BV88" s="126">
        <f t="shared" si="132"/>
        <v>0</v>
      </c>
      <c r="BW88" s="126">
        <f t="shared" si="97"/>
        <v>0</v>
      </c>
      <c r="BX88" s="126">
        <f t="shared" si="133"/>
        <v>1974915.7783326844</v>
      </c>
      <c r="BY88" s="126">
        <f t="shared" si="134"/>
        <v>1974915.7783326844</v>
      </c>
      <c r="BZ88" s="675">
        <f t="shared" si="95"/>
        <v>315296.17184771888</v>
      </c>
      <c r="CA88" s="675">
        <f t="shared" si="95"/>
        <v>0</v>
      </c>
      <c r="CB88" s="675">
        <f t="shared" si="135"/>
        <v>315296.17184771888</v>
      </c>
      <c r="CC88" s="676">
        <f t="shared" si="96"/>
        <v>2919.5341303177165</v>
      </c>
      <c r="CD88" s="676" t="e">
        <f t="shared" si="96"/>
        <v>#DIV/0!</v>
      </c>
      <c r="CE88" s="676">
        <f t="shared" si="116"/>
        <v>2919.5341303177165</v>
      </c>
      <c r="CF88" s="676">
        <f t="shared" si="98"/>
        <v>2919.5341303177165</v>
      </c>
      <c r="CG88" s="677">
        <f t="shared" si="99"/>
        <v>357025.60789948364</v>
      </c>
      <c r="CH88" s="678">
        <f t="shared" si="117"/>
        <v>3305.9343586429727</v>
      </c>
      <c r="CI88" s="625"/>
      <c r="CJ88" s="208">
        <f t="shared" si="118"/>
        <v>3086.1581139623527</v>
      </c>
      <c r="CK88" s="208">
        <f t="shared" si="100"/>
        <v>1991.8009845245522</v>
      </c>
      <c r="CL88" s="208">
        <f>CJ88+CK88</f>
        <v>5077.9590984869046</v>
      </c>
      <c r="CM88" s="18">
        <f t="shared" si="119"/>
        <v>5077.9590984869046</v>
      </c>
      <c r="CN88" s="18">
        <f t="shared" si="120"/>
        <v>0</v>
      </c>
      <c r="CO88" s="126">
        <f t="shared" si="101"/>
        <v>5063245.9242765494</v>
      </c>
      <c r="CP88" s="126">
        <f t="shared" si="102"/>
        <v>5010266.8114618156</v>
      </c>
      <c r="CQ88" s="126">
        <f t="shared" si="103"/>
        <v>5010266.8114618156</v>
      </c>
      <c r="CR88" s="126">
        <f t="shared" si="104"/>
        <v>3046600.7098920993</v>
      </c>
      <c r="CS88" s="126">
        <f t="shared" si="105"/>
        <v>5038567.3548960779</v>
      </c>
      <c r="CT88" s="126">
        <f t="shared" si="106"/>
        <v>5038567.3548960779</v>
      </c>
      <c r="CU88" s="126">
        <f t="shared" si="107"/>
        <v>1974915.7783326844</v>
      </c>
      <c r="CV88" s="126">
        <f t="shared" si="121"/>
        <v>10048834.166357893</v>
      </c>
      <c r="CW88" s="843">
        <f t="shared" si="122"/>
        <v>6560.0220201404063</v>
      </c>
      <c r="CX88" s="126">
        <f t="shared" si="108"/>
        <v>312810.75230347441</v>
      </c>
      <c r="CY88" s="126">
        <f t="shared" si="109"/>
        <v>318609.02377792425</v>
      </c>
      <c r="CZ88" s="126"/>
      <c r="DA88" s="126">
        <f t="shared" si="110"/>
        <v>5053750.067682201</v>
      </c>
      <c r="DB88" s="126">
        <f t="shared" si="111"/>
        <v>5077959.0984869041</v>
      </c>
      <c r="DC88" s="625"/>
      <c r="DD88" s="680">
        <f t="shared" si="123"/>
        <v>114.44643917528619</v>
      </c>
      <c r="DE88" s="625"/>
      <c r="DF88" s="625"/>
      <c r="DG88" s="625"/>
      <c r="DH88" s="797">
        <v>1580.405</v>
      </c>
      <c r="DI88" s="797">
        <v>111.42</v>
      </c>
      <c r="DJ88" s="797">
        <f t="shared" si="124"/>
        <v>1468.9849999999999</v>
      </c>
      <c r="DK88" s="625"/>
      <c r="DL88" s="618">
        <f t="shared" si="112"/>
        <v>0</v>
      </c>
      <c r="DM88" s="618">
        <f t="shared" si="113"/>
        <v>0</v>
      </c>
      <c r="DN88" s="618">
        <f t="shared" si="114"/>
        <v>0</v>
      </c>
      <c r="DO88" s="152"/>
    </row>
    <row r="89" spans="1:191" customFormat="1" ht="100.5" customHeight="1">
      <c r="A89" s="1071"/>
      <c r="B89" s="1291"/>
      <c r="C89" s="1279"/>
      <c r="D89" s="696" t="s">
        <v>187</v>
      </c>
      <c r="E89" s="1167">
        <v>4620014875</v>
      </c>
      <c r="F89" s="1168" t="s">
        <v>8</v>
      </c>
      <c r="G89" s="1169" t="s">
        <v>941</v>
      </c>
      <c r="H89" s="1170">
        <f>H87</f>
        <v>1708.49</v>
      </c>
      <c r="I89" s="1171">
        <f>I87</f>
        <v>1708.49</v>
      </c>
      <c r="J89" s="1172">
        <f>J87</f>
        <v>1708.49</v>
      </c>
      <c r="K89" s="1172">
        <f>K87</f>
        <v>1708.49</v>
      </c>
      <c r="L89" s="1171">
        <v>0</v>
      </c>
      <c r="M89" s="1173">
        <v>0</v>
      </c>
      <c r="N89" s="1201">
        <v>2051.0100000000002</v>
      </c>
      <c r="O89" s="1202">
        <f t="shared" si="136"/>
        <v>2051.0100000000002</v>
      </c>
      <c r="P89" s="1203">
        <v>1896.4239000000002</v>
      </c>
      <c r="Q89" s="1203">
        <v>1896.4239000000002</v>
      </c>
      <c r="R89" s="1202">
        <v>0</v>
      </c>
      <c r="S89" s="1174">
        <v>0</v>
      </c>
      <c r="T89" s="1175">
        <v>104.03</v>
      </c>
      <c r="U89" s="1176">
        <v>858.13</v>
      </c>
      <c r="V89" s="1177">
        <v>137.61000000000001</v>
      </c>
      <c r="W89" s="1177">
        <v>0</v>
      </c>
      <c r="X89" s="1177">
        <v>0</v>
      </c>
      <c r="Y89" s="1177">
        <v>0</v>
      </c>
      <c r="Z89" s="1178">
        <f t="shared" si="126"/>
        <v>1099.77</v>
      </c>
      <c r="AA89" s="1179">
        <v>91.58</v>
      </c>
      <c r="AB89" s="1176">
        <v>643.59</v>
      </c>
      <c r="AC89" s="1177">
        <v>140.09</v>
      </c>
      <c r="AD89" s="1177">
        <v>0</v>
      </c>
      <c r="AE89" s="1177">
        <v>0</v>
      </c>
      <c r="AF89" s="1177">
        <v>0</v>
      </c>
      <c r="AG89" s="1178">
        <f t="shared" si="127"/>
        <v>875.2600000000001</v>
      </c>
      <c r="AH89" s="1180">
        <f t="shared" si="129"/>
        <v>1975.0300000000002</v>
      </c>
      <c r="AI89" s="1177">
        <f t="shared" si="137"/>
        <v>195.61</v>
      </c>
      <c r="AJ89" s="1181">
        <f t="shared" si="137"/>
        <v>1501.72</v>
      </c>
      <c r="AK89" s="1181">
        <f t="shared" si="137"/>
        <v>277.70000000000005</v>
      </c>
      <c r="AL89" s="1177">
        <f t="shared" si="137"/>
        <v>0</v>
      </c>
      <c r="AM89" s="1177">
        <f t="shared" si="137"/>
        <v>0</v>
      </c>
      <c r="AN89" s="1177"/>
      <c r="AO89" s="1177">
        <f>SUM(AI89:AN89)</f>
        <v>1975.03</v>
      </c>
      <c r="AP89" s="1177">
        <f>SUM(AI89:AM89)</f>
        <v>1975.03</v>
      </c>
      <c r="AQ89" s="1177">
        <f>SUM(AI89:AL89)</f>
        <v>1975.03</v>
      </c>
      <c r="AR89" s="1182"/>
      <c r="AS89" s="1183"/>
      <c r="AT89" s="1183"/>
      <c r="AU89" s="1183"/>
      <c r="AV89" s="1183"/>
      <c r="AW89" s="1183"/>
      <c r="AX89" s="1183"/>
      <c r="AY89" s="1183"/>
      <c r="AZ89" s="1183"/>
      <c r="BA89" s="1183"/>
      <c r="BB89" s="1183"/>
      <c r="BC89" s="1183"/>
      <c r="BD89" s="1183"/>
      <c r="BE89" s="1183"/>
      <c r="BF89" s="1183"/>
      <c r="BG89" s="1184"/>
      <c r="BH89" s="1185"/>
      <c r="BI89" s="1181">
        <v>275.07900000000001</v>
      </c>
      <c r="BJ89" s="1181">
        <v>4197.46</v>
      </c>
      <c r="BK89" s="1181">
        <v>15349.55</v>
      </c>
      <c r="BL89" s="1177"/>
      <c r="BM89" s="1177"/>
      <c r="BN89" s="1177"/>
      <c r="BO89" s="1177"/>
      <c r="BP89" s="1177"/>
      <c r="BQ89" s="1177"/>
      <c r="BR89" s="1177"/>
      <c r="BS89" s="1177"/>
      <c r="BT89" s="1177"/>
      <c r="BU89" s="1177"/>
      <c r="BV89" s="1177"/>
      <c r="BW89" s="1177"/>
      <c r="BX89" s="1177"/>
      <c r="BY89" s="1177"/>
      <c r="BZ89" s="1186"/>
      <c r="CA89" s="1186"/>
      <c r="CB89" s="1186"/>
      <c r="CC89" s="1187"/>
      <c r="CD89" s="1187"/>
      <c r="CE89" s="1187"/>
      <c r="CF89" s="1187"/>
      <c r="CG89" s="1188"/>
      <c r="CH89" s="1189"/>
      <c r="CI89" s="1190"/>
      <c r="CJ89" s="1231">
        <f t="shared" si="118"/>
        <v>2255.6392677000003</v>
      </c>
      <c r="CK89" s="1231">
        <f t="shared" si="100"/>
        <v>1795.1670126000006</v>
      </c>
      <c r="CL89" s="1231">
        <f>CJ89+CK89</f>
        <v>4050.8062803000012</v>
      </c>
      <c r="CM89" s="18">
        <f t="shared" si="119"/>
        <v>4050.8062803000007</v>
      </c>
      <c r="CN89" s="18">
        <f t="shared" si="120"/>
        <v>0</v>
      </c>
      <c r="CO89" s="1177"/>
      <c r="CP89" s="1177"/>
      <c r="CQ89" s="1177"/>
      <c r="CR89" s="1177"/>
      <c r="CS89" s="1177"/>
      <c r="CT89" s="1177"/>
      <c r="CU89" s="1177"/>
      <c r="CV89" s="1177"/>
      <c r="CW89" s="1191"/>
      <c r="CX89" s="1177"/>
      <c r="CY89" s="1177"/>
      <c r="CZ89" s="1177"/>
      <c r="DA89" s="1177"/>
      <c r="DB89" s="1177"/>
      <c r="DC89" s="1190"/>
      <c r="DD89" s="1192"/>
      <c r="DE89" s="1190"/>
      <c r="DF89" s="1190"/>
      <c r="DG89" s="1190"/>
      <c r="DH89" s="1183"/>
      <c r="DI89" s="1183"/>
      <c r="DJ89" s="1183"/>
      <c r="DK89" s="1190"/>
      <c r="DL89" s="1193"/>
      <c r="DM89" s="1193"/>
      <c r="DN89" s="1193"/>
      <c r="DO89" s="1194"/>
      <c r="DP89" s="1194"/>
      <c r="DQ89" s="1194"/>
      <c r="DR89" s="1194"/>
      <c r="DS89" s="1194"/>
      <c r="DT89" s="1194"/>
      <c r="DU89" s="1194"/>
      <c r="DV89" s="1194"/>
      <c r="DW89" s="1194"/>
      <c r="DX89" s="1194"/>
      <c r="DY89" s="1194"/>
      <c r="DZ89" s="1194"/>
      <c r="EA89" s="1194"/>
      <c r="EB89" s="1194"/>
      <c r="EC89" s="1194"/>
      <c r="ED89" s="1194"/>
      <c r="EE89" s="1194"/>
      <c r="EF89" s="1194"/>
      <c r="EG89" s="1194"/>
      <c r="EH89" s="1194"/>
      <c r="EI89" s="1194"/>
      <c r="EJ89" s="1194"/>
      <c r="EK89" s="1194"/>
      <c r="EL89" s="1194"/>
      <c r="EM89" s="1194"/>
      <c r="EN89" s="1194"/>
      <c r="EO89" s="1194"/>
      <c r="EP89" s="1194"/>
      <c r="EQ89" s="1194"/>
      <c r="ER89" s="1194"/>
      <c r="ES89" s="1194"/>
      <c r="ET89" s="1194"/>
      <c r="EU89" s="1194"/>
      <c r="EV89" s="1194"/>
      <c r="EW89" s="1194"/>
      <c r="EX89" s="1194"/>
      <c r="EY89" s="1194"/>
      <c r="EZ89" s="1194"/>
      <c r="FA89" s="1194"/>
      <c r="FB89" s="1194"/>
      <c r="FC89" s="1194"/>
      <c r="FD89" s="1194"/>
      <c r="FE89" s="1194"/>
      <c r="FF89" s="1194"/>
      <c r="FG89" s="1194"/>
      <c r="FH89" s="1194"/>
      <c r="FI89" s="1194"/>
      <c r="FJ89" s="1194"/>
      <c r="FK89" s="1194"/>
      <c r="FL89" s="1194"/>
      <c r="FM89" s="1194"/>
      <c r="FN89" s="1194"/>
      <c r="FO89" s="1194"/>
      <c r="FP89" s="1194"/>
      <c r="FQ89" s="1194"/>
      <c r="FR89" s="1194"/>
      <c r="FS89" s="1194"/>
      <c r="FT89" s="1194"/>
      <c r="FU89" s="1194"/>
      <c r="FV89" s="1194"/>
      <c r="FW89" s="1194"/>
      <c r="FX89" s="1194"/>
      <c r="FY89" s="1194"/>
      <c r="FZ89" s="1194"/>
      <c r="GA89" s="1194"/>
      <c r="GB89" s="1194"/>
      <c r="GC89" s="1194"/>
      <c r="GD89" s="1194"/>
      <c r="GE89" s="1194"/>
      <c r="GF89" s="1194"/>
      <c r="GG89" s="1194"/>
      <c r="GH89" s="1194"/>
      <c r="GI89" s="1194"/>
    </row>
    <row r="90" spans="1:191" customFormat="1" ht="100.5" customHeight="1">
      <c r="A90" s="695">
        <f>A88+1</f>
        <v>76</v>
      </c>
      <c r="B90" s="1281"/>
      <c r="C90" s="713" t="s">
        <v>59</v>
      </c>
      <c r="D90" s="696" t="s">
        <v>187</v>
      </c>
      <c r="E90" s="706">
        <v>4620014875</v>
      </c>
      <c r="F90" s="696" t="s">
        <v>8</v>
      </c>
      <c r="G90" s="1253" t="s">
        <v>941</v>
      </c>
      <c r="H90" s="870">
        <v>4033.01</v>
      </c>
      <c r="I90" s="827">
        <v>4033.01</v>
      </c>
      <c r="J90" s="827">
        <v>3367.75</v>
      </c>
      <c r="K90" s="827">
        <v>0</v>
      </c>
      <c r="L90" s="827">
        <v>4033.01</v>
      </c>
      <c r="M90" s="878">
        <v>0</v>
      </c>
      <c r="N90" s="857">
        <v>4670.43</v>
      </c>
      <c r="O90" s="697">
        <f t="shared" si="136"/>
        <v>4670.43</v>
      </c>
      <c r="P90" s="697">
        <v>3738.2056635000004</v>
      </c>
      <c r="Q90" s="697">
        <v>0</v>
      </c>
      <c r="R90" s="697">
        <f>O90</f>
        <v>4670.43</v>
      </c>
      <c r="S90" s="916">
        <v>0</v>
      </c>
      <c r="T90" s="1199">
        <v>291.10000000000002</v>
      </c>
      <c r="U90" s="1054">
        <v>138.75700000000001</v>
      </c>
      <c r="V90" s="163">
        <v>0</v>
      </c>
      <c r="W90" s="738">
        <v>3.3639999999999999</v>
      </c>
      <c r="X90" s="163">
        <v>0</v>
      </c>
      <c r="Y90" s="163">
        <v>0</v>
      </c>
      <c r="Z90" s="936">
        <f>SUM(T90:W90)</f>
        <v>433.221</v>
      </c>
      <c r="AA90" s="954">
        <v>191.80799999999999</v>
      </c>
      <c r="AB90" s="1054">
        <v>114.339</v>
      </c>
      <c r="AC90" s="163">
        <v>0</v>
      </c>
      <c r="AD90" s="163">
        <v>2.5230000000000001</v>
      </c>
      <c r="AE90" s="163">
        <v>0</v>
      </c>
      <c r="AF90" s="163">
        <v>0</v>
      </c>
      <c r="AG90" s="936">
        <f>SUM(AA90:AD90)</f>
        <v>308.67</v>
      </c>
      <c r="AH90" s="954">
        <f>Z90+AG90</f>
        <v>741.89100000000008</v>
      </c>
      <c r="AI90" s="164">
        <f>T90+AA90</f>
        <v>482.90800000000002</v>
      </c>
      <c r="AJ90" s="1054">
        <f t="shared" si="137"/>
        <v>253.096</v>
      </c>
      <c r="AK90" s="163">
        <f t="shared" si="137"/>
        <v>0</v>
      </c>
      <c r="AL90" s="163">
        <f t="shared" si="137"/>
        <v>5.8870000000000005</v>
      </c>
      <c r="AM90" s="163">
        <f t="shared" si="137"/>
        <v>0</v>
      </c>
      <c r="AN90" s="163">
        <v>0</v>
      </c>
      <c r="AO90" s="164">
        <f>SUM(AI90:AN90)</f>
        <v>741.89100000000008</v>
      </c>
      <c r="AP90" s="164">
        <f>SUM(AI90:AM90)</f>
        <v>741.89100000000008</v>
      </c>
      <c r="AQ90" s="163">
        <f t="shared" si="85"/>
        <v>741.89100000000008</v>
      </c>
      <c r="AR90" s="164">
        <f t="shared" si="115"/>
        <v>0</v>
      </c>
      <c r="AS90" s="163"/>
      <c r="AT90" s="163">
        <f t="shared" ref="AT90:AW123" si="138">J90*AJ90</f>
        <v>852364.054</v>
      </c>
      <c r="AU90" s="163">
        <f t="shared" si="138"/>
        <v>0</v>
      </c>
      <c r="AV90" s="163"/>
      <c r="AW90" s="163"/>
      <c r="AX90" s="163"/>
      <c r="AY90" s="163"/>
      <c r="AZ90" s="163">
        <f t="shared" ref="AZ90:BD105" si="139">O90*AI90</f>
        <v>2255388.0104400003</v>
      </c>
      <c r="BA90" s="163">
        <f t="shared" si="139"/>
        <v>946124.90060919605</v>
      </c>
      <c r="BB90" s="163">
        <f t="shared" si="139"/>
        <v>0</v>
      </c>
      <c r="BC90" s="163"/>
      <c r="BD90" s="163"/>
      <c r="BE90" s="163"/>
      <c r="BF90" s="163"/>
      <c r="BG90" s="1045"/>
      <c r="BH90" s="1200"/>
      <c r="BI90" s="164">
        <v>235.947</v>
      </c>
      <c r="BJ90" s="738">
        <v>3464.95</v>
      </c>
      <c r="BK90" s="738">
        <v>5586.77</v>
      </c>
      <c r="BL90" s="18">
        <f>I90*T90</f>
        <v>1174009.2110000001</v>
      </c>
      <c r="BM90" s="18">
        <f>J90*U90</f>
        <v>467298.88675000001</v>
      </c>
      <c r="BN90" s="18">
        <f t="shared" si="93"/>
        <v>0</v>
      </c>
      <c r="BO90" s="18">
        <f>L90*W90</f>
        <v>13567.04564</v>
      </c>
      <c r="BP90" s="18">
        <f t="shared" si="93"/>
        <v>0</v>
      </c>
      <c r="BQ90" s="18">
        <f>BL90+BM90+BN90+BO90+BP90</f>
        <v>1654875.1433900001</v>
      </c>
      <c r="BR90" s="18">
        <f>BQ90-BP90</f>
        <v>1654875.1433900001</v>
      </c>
      <c r="BS90" s="18">
        <f>O90*AA90</f>
        <v>895825.83744000003</v>
      </c>
      <c r="BT90" s="18">
        <f>P90*AB90</f>
        <v>427422.69735892653</v>
      </c>
      <c r="BU90" s="18">
        <f t="shared" si="94"/>
        <v>0</v>
      </c>
      <c r="BV90" s="18">
        <f>R90*W90</f>
        <v>15711.326520000001</v>
      </c>
      <c r="BW90" s="18">
        <f t="shared" si="97"/>
        <v>0</v>
      </c>
      <c r="BX90" s="18">
        <f>BS90+BT90+BU90+BV90+BW90</f>
        <v>1338959.8613189266</v>
      </c>
      <c r="BY90" s="18">
        <f>BX90-BW90</f>
        <v>1338959.8613189266</v>
      </c>
      <c r="BZ90" s="161">
        <f t="shared" si="95"/>
        <v>894721.58410892659</v>
      </c>
      <c r="CA90" s="161">
        <f t="shared" si="95"/>
        <v>0</v>
      </c>
      <c r="CB90" s="161">
        <f t="shared" si="135"/>
        <v>894721.58410892659</v>
      </c>
      <c r="CC90" s="162">
        <f t="shared" si="96"/>
        <v>3535.1075643586883</v>
      </c>
      <c r="CD90" s="162" t="e">
        <f t="shared" si="96"/>
        <v>#DIV/0!</v>
      </c>
      <c r="CE90" s="162">
        <f t="shared" si="116"/>
        <v>3535.1075643586883</v>
      </c>
      <c r="CF90" s="162">
        <f t="shared" si="98"/>
        <v>3535.1075643586883</v>
      </c>
      <c r="CG90" s="651">
        <f t="shared" si="99"/>
        <v>1093620.6643400001</v>
      </c>
      <c r="CH90" s="652">
        <f t="shared" si="117"/>
        <v>4320.9717432910838</v>
      </c>
      <c r="CI90" s="681"/>
      <c r="CJ90" s="208">
        <f t="shared" si="118"/>
        <v>2023.3283550300002</v>
      </c>
      <c r="CK90" s="208">
        <f t="shared" si="100"/>
        <v>1441.6216281000002</v>
      </c>
      <c r="CL90" s="18">
        <f t="shared" si="128"/>
        <v>3464.9499831300004</v>
      </c>
      <c r="CM90" s="18">
        <f t="shared" si="119"/>
        <v>3464.9499831300004</v>
      </c>
      <c r="CN90" s="18">
        <f t="shared" si="120"/>
        <v>0</v>
      </c>
      <c r="CO90" s="18">
        <f t="shared" si="101"/>
        <v>3188806.2533100005</v>
      </c>
      <c r="CP90" s="18">
        <f t="shared" si="102"/>
        <v>2823679.1769500002</v>
      </c>
      <c r="CQ90" s="18">
        <f t="shared" si="103"/>
        <v>2823679.1769500002</v>
      </c>
      <c r="CR90" s="18">
        <f t="shared" si="104"/>
        <v>1654875.1433900001</v>
      </c>
      <c r="CS90" s="18">
        <f t="shared" si="105"/>
        <v>3229007.7324591964</v>
      </c>
      <c r="CT90" s="18">
        <f t="shared" si="106"/>
        <v>3229007.7324591964</v>
      </c>
      <c r="CU90" s="18">
        <f t="shared" si="107"/>
        <v>1335032.0296889266</v>
      </c>
      <c r="CV90" s="18">
        <f t="shared" si="121"/>
        <v>6052686.909409197</v>
      </c>
      <c r="CW90" s="843">
        <f t="shared" si="122"/>
        <v>8158.458465474303</v>
      </c>
      <c r="CX90" s="18">
        <f t="shared" si="108"/>
        <v>852364.054</v>
      </c>
      <c r="CY90" s="18">
        <f t="shared" si="109"/>
        <v>946124.90060919605</v>
      </c>
      <c r="CZ90" s="18"/>
      <c r="DA90" s="18">
        <f t="shared" si="110"/>
        <v>2992053.8219100004</v>
      </c>
      <c r="DB90" s="18">
        <f t="shared" si="111"/>
        <v>3464949.9831300001</v>
      </c>
      <c r="DC90" s="681"/>
      <c r="DD90" s="653">
        <f t="shared" si="123"/>
        <v>138.68101848415114</v>
      </c>
      <c r="DE90" s="681"/>
      <c r="DF90" s="681"/>
      <c r="DG90" s="681"/>
      <c r="DH90" s="18">
        <v>849.95</v>
      </c>
      <c r="DI90" s="18">
        <v>343</v>
      </c>
      <c r="DJ90" s="18">
        <f t="shared" si="124"/>
        <v>506.95000000000005</v>
      </c>
      <c r="DK90" s="681"/>
      <c r="DL90" s="701">
        <f t="shared" si="112"/>
        <v>0</v>
      </c>
      <c r="DM90" s="701">
        <f t="shared" si="113"/>
        <v>0</v>
      </c>
      <c r="DN90" s="701">
        <f t="shared" si="114"/>
        <v>0</v>
      </c>
    </row>
    <row r="91" spans="1:191" customFormat="1" ht="100.5" customHeight="1">
      <c r="A91" s="20">
        <f t="shared" si="125"/>
        <v>77</v>
      </c>
      <c r="B91" s="1279"/>
      <c r="C91" s="1285" t="s">
        <v>182</v>
      </c>
      <c r="D91" s="967" t="s">
        <v>141</v>
      </c>
      <c r="E91" s="617">
        <v>4632024035</v>
      </c>
      <c r="F91" s="1280" t="s">
        <v>8</v>
      </c>
      <c r="G91" s="1245" t="s">
        <v>956</v>
      </c>
      <c r="H91" s="866">
        <v>3299.1600000000003</v>
      </c>
      <c r="I91" s="825">
        <v>3299.1600000000003</v>
      </c>
      <c r="J91" s="756"/>
      <c r="K91" s="756"/>
      <c r="L91" s="872">
        <v>3299.1600000000003</v>
      </c>
      <c r="M91" s="867"/>
      <c r="N91" s="1207">
        <f>2762.47*1.2</f>
        <v>3314.9639999999995</v>
      </c>
      <c r="O91" s="1208">
        <f>N91</f>
        <v>3314.9639999999995</v>
      </c>
      <c r="P91" s="963"/>
      <c r="Q91" s="963"/>
      <c r="R91" s="1208">
        <f>O91</f>
        <v>3314.9639999999995</v>
      </c>
      <c r="S91" s="910"/>
      <c r="T91" s="973">
        <v>185.87959340922617</v>
      </c>
      <c r="U91" s="825"/>
      <c r="V91" s="1002"/>
      <c r="W91" s="825"/>
      <c r="X91" s="825"/>
      <c r="Y91" s="825"/>
      <c r="Z91" s="971">
        <f t="shared" si="126"/>
        <v>185.87959340922617</v>
      </c>
      <c r="AA91" s="975">
        <v>107.93721527449721</v>
      </c>
      <c r="AB91" s="16"/>
      <c r="AC91" s="227"/>
      <c r="AD91" s="16"/>
      <c r="AE91" s="16"/>
      <c r="AF91" s="16"/>
      <c r="AG91" s="926">
        <f t="shared" si="127"/>
        <v>107.93721527449721</v>
      </c>
      <c r="AH91" s="894">
        <f t="shared" si="129"/>
        <v>293.81680868372337</v>
      </c>
      <c r="AI91" s="15">
        <f t="shared" si="137"/>
        <v>293.81680868372337</v>
      </c>
      <c r="AJ91" s="15">
        <f t="shared" si="137"/>
        <v>0</v>
      </c>
      <c r="AK91" s="15">
        <f t="shared" si="137"/>
        <v>0</v>
      </c>
      <c r="AL91" s="15">
        <f t="shared" si="137"/>
        <v>0</v>
      </c>
      <c r="AM91" s="15">
        <f t="shared" si="137"/>
        <v>0</v>
      </c>
      <c r="AN91" s="15"/>
      <c r="AO91" s="15">
        <f t="shared" si="67"/>
        <v>293.81680868372337</v>
      </c>
      <c r="AP91" s="15">
        <f t="shared" si="68"/>
        <v>293.81680868372337</v>
      </c>
      <c r="AQ91" s="15">
        <f t="shared" si="85"/>
        <v>293.81680868372337</v>
      </c>
      <c r="AR91" s="127">
        <f t="shared" si="115"/>
        <v>0</v>
      </c>
      <c r="AS91" s="112">
        <f t="shared" ref="AS91:AS100" si="140">I91*AI91</f>
        <v>969348.66253699292</v>
      </c>
      <c r="AT91" s="112">
        <f t="shared" si="138"/>
        <v>0</v>
      </c>
      <c r="AU91" s="112">
        <f t="shared" si="138"/>
        <v>0</v>
      </c>
      <c r="AV91" s="112">
        <f t="shared" si="138"/>
        <v>0</v>
      </c>
      <c r="AW91" s="112">
        <f t="shared" si="138"/>
        <v>0</v>
      </c>
      <c r="AX91" s="112">
        <f t="shared" si="86"/>
        <v>969348.66253699292</v>
      </c>
      <c r="AY91" s="112">
        <f t="shared" si="87"/>
        <v>969348.66253699292</v>
      </c>
      <c r="AZ91" s="112">
        <f t="shared" si="139"/>
        <v>973992.14338143019</v>
      </c>
      <c r="BA91" s="112">
        <f t="shared" si="139"/>
        <v>0</v>
      </c>
      <c r="BB91" s="112">
        <f t="shared" si="139"/>
        <v>0</v>
      </c>
      <c r="BC91" s="112">
        <f t="shared" si="139"/>
        <v>0</v>
      </c>
      <c r="BD91" s="112">
        <f t="shared" si="139"/>
        <v>0</v>
      </c>
      <c r="BE91" s="112">
        <f t="shared" si="88"/>
        <v>973992.14338143019</v>
      </c>
      <c r="BF91" s="112">
        <f t="shared" si="89"/>
        <v>973992.14338143019</v>
      </c>
      <c r="BG91" s="169">
        <f>(I91-J91)/1.2*U91/1000</f>
        <v>0</v>
      </c>
      <c r="BH91" s="170">
        <f>(O91-P91)/1.2*AB91/1000</f>
        <v>0</v>
      </c>
      <c r="BI91" s="169">
        <f t="shared" si="84"/>
        <v>0</v>
      </c>
      <c r="BJ91" s="169"/>
      <c r="BK91" s="169"/>
      <c r="BL91" s="112">
        <f t="shared" si="93"/>
        <v>613246.5193919827</v>
      </c>
      <c r="BM91" s="112">
        <f t="shared" si="93"/>
        <v>0</v>
      </c>
      <c r="BN91" s="112">
        <f t="shared" si="93"/>
        <v>0</v>
      </c>
      <c r="BO91" s="112">
        <f t="shared" si="93"/>
        <v>0</v>
      </c>
      <c r="BP91" s="112">
        <f t="shared" si="93"/>
        <v>0</v>
      </c>
      <c r="BQ91" s="112">
        <f t="shared" si="130"/>
        <v>613246.5193919827</v>
      </c>
      <c r="BR91" s="112">
        <f t="shared" si="131"/>
        <v>613246.5193919827</v>
      </c>
      <c r="BS91" s="112">
        <f t="shared" si="94"/>
        <v>357807.98289520829</v>
      </c>
      <c r="BT91" s="112">
        <f t="shared" si="94"/>
        <v>0</v>
      </c>
      <c r="BU91" s="112">
        <f t="shared" si="94"/>
        <v>0</v>
      </c>
      <c r="BV91" s="112">
        <f t="shared" si="132"/>
        <v>0</v>
      </c>
      <c r="BW91" s="112">
        <f t="shared" si="97"/>
        <v>0</v>
      </c>
      <c r="BX91" s="112">
        <f t="shared" si="133"/>
        <v>357807.98289520829</v>
      </c>
      <c r="BY91" s="112">
        <f t="shared" si="134"/>
        <v>357807.98289520829</v>
      </c>
      <c r="BZ91" s="113">
        <f t="shared" si="95"/>
        <v>0</v>
      </c>
      <c r="CA91" s="113">
        <f t="shared" si="95"/>
        <v>0</v>
      </c>
      <c r="CB91" s="113">
        <f t="shared" si="135"/>
        <v>0</v>
      </c>
      <c r="CC91" s="119" t="e">
        <f t="shared" si="96"/>
        <v>#DIV/0!</v>
      </c>
      <c r="CD91" s="119" t="e">
        <f t="shared" si="96"/>
        <v>#DIV/0!</v>
      </c>
      <c r="CE91" s="119" t="e">
        <f t="shared" si="116"/>
        <v>#DIV/0!</v>
      </c>
      <c r="CF91" s="113" t="e">
        <f t="shared" si="98"/>
        <v>#DIV/0!</v>
      </c>
      <c r="CG91" s="619">
        <f t="shared" si="99"/>
        <v>0</v>
      </c>
      <c r="CH91" s="132" t="e">
        <f t="shared" si="117"/>
        <v>#DIV/0!</v>
      </c>
      <c r="CI91" s="625"/>
      <c r="CJ91" s="208">
        <f t="shared" si="118"/>
        <v>616.18416048622191</v>
      </c>
      <c r="CK91" s="208">
        <f t="shared" si="100"/>
        <v>357.80798289520828</v>
      </c>
      <c r="CL91" s="208">
        <f>CJ91+CK91</f>
        <v>973.9921433814302</v>
      </c>
      <c r="CM91" s="18">
        <f t="shared" si="119"/>
        <v>973.9921433814302</v>
      </c>
      <c r="CN91" s="18">
        <f t="shared" si="120"/>
        <v>0</v>
      </c>
      <c r="CO91" s="112">
        <f t="shared" si="101"/>
        <v>971054.50228719099</v>
      </c>
      <c r="CP91" s="112">
        <f t="shared" si="102"/>
        <v>969348.66253699292</v>
      </c>
      <c r="CQ91" s="112">
        <f t="shared" si="103"/>
        <v>969348.66253699292</v>
      </c>
      <c r="CR91" s="112">
        <f t="shared" si="104"/>
        <v>613246.5193919827</v>
      </c>
      <c r="CS91" s="112">
        <f t="shared" si="105"/>
        <v>973992.14338143019</v>
      </c>
      <c r="CT91" s="112">
        <f t="shared" si="106"/>
        <v>973992.14338143019</v>
      </c>
      <c r="CU91" s="112">
        <f t="shared" si="107"/>
        <v>357807.98289520829</v>
      </c>
      <c r="CV91" s="112">
        <f t="shared" si="121"/>
        <v>1943340.805918423</v>
      </c>
      <c r="CW91" s="843">
        <f t="shared" si="122"/>
        <v>6614.1239999999998</v>
      </c>
      <c r="CX91" s="112">
        <f t="shared" si="108"/>
        <v>0</v>
      </c>
      <c r="CY91" s="112">
        <f t="shared" si="109"/>
        <v>0</v>
      </c>
      <c r="CZ91" s="112"/>
      <c r="DA91" s="112">
        <f t="shared" si="110"/>
        <v>969348.66253699292</v>
      </c>
      <c r="DB91" s="112">
        <f t="shared" si="111"/>
        <v>973992.14338143019</v>
      </c>
      <c r="DC91" s="625"/>
      <c r="DD91" s="128" t="e">
        <f t="shared" si="123"/>
        <v>#DIV/0!</v>
      </c>
      <c r="DE91" s="625"/>
      <c r="DF91" s="625"/>
      <c r="DG91" s="625"/>
      <c r="DH91" s="797">
        <v>303.13400000000001</v>
      </c>
      <c r="DI91" s="797">
        <v>0</v>
      </c>
      <c r="DJ91" s="797">
        <f t="shared" si="124"/>
        <v>303.13400000000001</v>
      </c>
      <c r="DK91" s="625"/>
      <c r="DL91" s="618">
        <f t="shared" si="112"/>
        <v>0</v>
      </c>
      <c r="DM91" s="618">
        <f t="shared" si="113"/>
        <v>0</v>
      </c>
      <c r="DN91" s="618">
        <f t="shared" si="114"/>
        <v>0</v>
      </c>
      <c r="DO91" s="123"/>
    </row>
    <row r="92" spans="1:191" customFormat="1" ht="100.5" customHeight="1">
      <c r="A92" s="695">
        <f t="shared" si="125"/>
        <v>78</v>
      </c>
      <c r="B92" s="1278" t="s">
        <v>32</v>
      </c>
      <c r="C92" s="1278" t="s">
        <v>65</v>
      </c>
      <c r="D92" s="696" t="s">
        <v>33</v>
      </c>
      <c r="E92" s="696">
        <v>4621009099</v>
      </c>
      <c r="F92" s="696" t="s">
        <v>8</v>
      </c>
      <c r="G92" s="1253" t="s">
        <v>937</v>
      </c>
      <c r="H92" s="870">
        <v>2841.96</v>
      </c>
      <c r="I92" s="827">
        <v>0</v>
      </c>
      <c r="J92" s="827">
        <v>2841.96</v>
      </c>
      <c r="K92" s="827">
        <v>0</v>
      </c>
      <c r="L92" s="827">
        <v>0</v>
      </c>
      <c r="M92" s="877">
        <v>0</v>
      </c>
      <c r="N92" s="859">
        <v>4362.93</v>
      </c>
      <c r="O92" s="698">
        <v>0</v>
      </c>
      <c r="P92" s="698">
        <v>3097.74</v>
      </c>
      <c r="Q92" s="698">
        <v>0</v>
      </c>
      <c r="R92" s="698">
        <v>0</v>
      </c>
      <c r="S92" s="915">
        <v>0</v>
      </c>
      <c r="T92" s="940">
        <v>0</v>
      </c>
      <c r="U92" s="18">
        <v>32.64</v>
      </c>
      <c r="V92" s="18">
        <v>0</v>
      </c>
      <c r="W92" s="18">
        <v>0</v>
      </c>
      <c r="X92" s="18">
        <v>0</v>
      </c>
      <c r="Y92" s="18">
        <v>0</v>
      </c>
      <c r="Z92" s="934">
        <f t="shared" si="126"/>
        <v>32.64</v>
      </c>
      <c r="AA92" s="902">
        <v>0</v>
      </c>
      <c r="AB92" s="18">
        <v>24.48</v>
      </c>
      <c r="AC92" s="18">
        <v>0</v>
      </c>
      <c r="AD92" s="18">
        <v>0</v>
      </c>
      <c r="AE92" s="18">
        <v>0</v>
      </c>
      <c r="AF92" s="18">
        <v>0</v>
      </c>
      <c r="AG92" s="934">
        <f t="shared" si="127"/>
        <v>24.48</v>
      </c>
      <c r="AH92" s="953">
        <f t="shared" si="129"/>
        <v>57.120000000000005</v>
      </c>
      <c r="AI92" s="18">
        <f t="shared" si="137"/>
        <v>0</v>
      </c>
      <c r="AJ92" s="834">
        <f t="shared" si="137"/>
        <v>57.120000000000005</v>
      </c>
      <c r="AK92" s="18">
        <f t="shared" si="137"/>
        <v>0</v>
      </c>
      <c r="AL92" s="18">
        <f t="shared" si="137"/>
        <v>0</v>
      </c>
      <c r="AM92" s="18">
        <f t="shared" si="137"/>
        <v>0</v>
      </c>
      <c r="AN92" s="18"/>
      <c r="AO92" s="18">
        <f t="shared" ref="AO92:AO139" si="141">SUM(AI92:AN92)</f>
        <v>57.120000000000005</v>
      </c>
      <c r="AP92" s="18">
        <f t="shared" ref="AP92:AP140" si="142">SUM(AI92:AM92)</f>
        <v>57.120000000000005</v>
      </c>
      <c r="AQ92" s="18">
        <f t="shared" si="85"/>
        <v>57.120000000000005</v>
      </c>
      <c r="AR92" s="99">
        <f t="shared" si="115"/>
        <v>0</v>
      </c>
      <c r="AS92" s="18">
        <f t="shared" si="140"/>
        <v>0</v>
      </c>
      <c r="AT92" s="18">
        <f t="shared" si="138"/>
        <v>162332.75520000001</v>
      </c>
      <c r="AU92" s="18">
        <f t="shared" si="138"/>
        <v>0</v>
      </c>
      <c r="AV92" s="18">
        <f t="shared" si="138"/>
        <v>0</v>
      </c>
      <c r="AW92" s="18">
        <f t="shared" si="138"/>
        <v>0</v>
      </c>
      <c r="AX92" s="18">
        <f t="shared" si="86"/>
        <v>162332.75520000001</v>
      </c>
      <c r="AY92" s="18">
        <f t="shared" si="87"/>
        <v>162332.75520000001</v>
      </c>
      <c r="AZ92" s="18">
        <f t="shared" si="139"/>
        <v>0</v>
      </c>
      <c r="BA92" s="18">
        <f t="shared" si="139"/>
        <v>176942.9088</v>
      </c>
      <c r="BB92" s="18">
        <f t="shared" si="139"/>
        <v>0</v>
      </c>
      <c r="BC92" s="18">
        <f t="shared" si="139"/>
        <v>0</v>
      </c>
      <c r="BD92" s="18">
        <f t="shared" si="139"/>
        <v>0</v>
      </c>
      <c r="BE92" s="18">
        <f t="shared" si="88"/>
        <v>176942.9088</v>
      </c>
      <c r="BF92" s="18">
        <f t="shared" si="89"/>
        <v>176942.9088</v>
      </c>
      <c r="BG92" s="18">
        <v>41.292999999999999</v>
      </c>
      <c r="BH92" s="18">
        <v>30.97</v>
      </c>
      <c r="BI92" s="18">
        <f t="shared" si="84"/>
        <v>72.263000000000005</v>
      </c>
      <c r="BJ92" s="18">
        <v>249.19</v>
      </c>
      <c r="BK92" s="18">
        <v>306.66000000000003</v>
      </c>
      <c r="BL92" s="18">
        <f t="shared" si="93"/>
        <v>0</v>
      </c>
      <c r="BM92" s="18">
        <f t="shared" si="93"/>
        <v>92761.574399999998</v>
      </c>
      <c r="BN92" s="18">
        <f t="shared" si="93"/>
        <v>0</v>
      </c>
      <c r="BO92" s="18">
        <f t="shared" si="93"/>
        <v>0</v>
      </c>
      <c r="BP92" s="18">
        <f t="shared" si="93"/>
        <v>0</v>
      </c>
      <c r="BQ92" s="18">
        <f t="shared" si="130"/>
        <v>92761.574399999998</v>
      </c>
      <c r="BR92" s="18">
        <f t="shared" si="131"/>
        <v>92761.574399999998</v>
      </c>
      <c r="BS92" s="18">
        <f t="shared" si="94"/>
        <v>0</v>
      </c>
      <c r="BT92" s="18">
        <f t="shared" si="94"/>
        <v>75832.675199999998</v>
      </c>
      <c r="BU92" s="18">
        <f t="shared" si="94"/>
        <v>0</v>
      </c>
      <c r="BV92" s="18">
        <f t="shared" si="132"/>
        <v>0</v>
      </c>
      <c r="BW92" s="18">
        <f t="shared" si="97"/>
        <v>0</v>
      </c>
      <c r="BX92" s="18">
        <f t="shared" si="133"/>
        <v>75832.675199999998</v>
      </c>
      <c r="BY92" s="18">
        <f t="shared" si="134"/>
        <v>75832.675199999998</v>
      </c>
      <c r="BZ92" s="161">
        <f t="shared" si="95"/>
        <v>168594.24959999998</v>
      </c>
      <c r="CA92" s="161">
        <f t="shared" si="95"/>
        <v>0</v>
      </c>
      <c r="CB92" s="161">
        <f t="shared" si="135"/>
        <v>168594.24959999998</v>
      </c>
      <c r="CC92" s="162">
        <f t="shared" si="96"/>
        <v>2951.5799999999995</v>
      </c>
      <c r="CD92" s="162" t="e">
        <f t="shared" si="96"/>
        <v>#DIV/0!</v>
      </c>
      <c r="CE92" s="162">
        <f t="shared" si="116"/>
        <v>2951.5799999999995</v>
      </c>
      <c r="CF92" s="162">
        <f t="shared" si="98"/>
        <v>2951.5799999999995</v>
      </c>
      <c r="CG92" s="651">
        <f t="shared" si="99"/>
        <v>0</v>
      </c>
      <c r="CH92" s="652">
        <f t="shared" si="117"/>
        <v>0</v>
      </c>
      <c r="CJ92" s="208">
        <f t="shared" si="118"/>
        <v>142.40603520000002</v>
      </c>
      <c r="CK92" s="208">
        <f t="shared" si="100"/>
        <v>106.8045264</v>
      </c>
      <c r="CL92" s="18">
        <f t="shared" si="128"/>
        <v>249.21056160000001</v>
      </c>
      <c r="CM92" s="18">
        <f t="shared" si="119"/>
        <v>249.21056160000003</v>
      </c>
      <c r="CN92" s="18">
        <f t="shared" si="120"/>
        <v>0</v>
      </c>
      <c r="CO92" s="18">
        <f t="shared" si="101"/>
        <v>199566.10080000001</v>
      </c>
      <c r="CP92" s="18">
        <f t="shared" si="102"/>
        <v>162332.75520000001</v>
      </c>
      <c r="CQ92" s="18">
        <f t="shared" si="103"/>
        <v>162332.75520000001</v>
      </c>
      <c r="CR92" s="18">
        <f t="shared" si="104"/>
        <v>92761.574399999998</v>
      </c>
      <c r="CS92" s="18">
        <f t="shared" si="105"/>
        <v>176942.9088</v>
      </c>
      <c r="CT92" s="18">
        <f t="shared" si="106"/>
        <v>176942.9088</v>
      </c>
      <c r="CU92" s="18">
        <f t="shared" si="107"/>
        <v>75832.675199999998</v>
      </c>
      <c r="CV92" s="18">
        <f t="shared" si="121"/>
        <v>339275.66399999999</v>
      </c>
      <c r="CW92" s="843">
        <f t="shared" si="122"/>
        <v>5939.6999999999989</v>
      </c>
      <c r="CX92" s="18">
        <f t="shared" si="108"/>
        <v>162332.75520000001</v>
      </c>
      <c r="CY92" s="18">
        <f t="shared" si="109"/>
        <v>176942.9088</v>
      </c>
      <c r="CZ92" s="18"/>
      <c r="DA92" s="18">
        <f t="shared" si="110"/>
        <v>162332.75520000001</v>
      </c>
      <c r="DB92" s="18">
        <f t="shared" si="111"/>
        <v>249210.56160000004</v>
      </c>
      <c r="DD92" s="653">
        <f t="shared" si="123"/>
        <v>153.5183464932652</v>
      </c>
      <c r="DH92" s="18">
        <v>57.120000000000005</v>
      </c>
      <c r="DI92" s="18">
        <v>57.120000000000005</v>
      </c>
      <c r="DJ92" s="18">
        <f t="shared" si="124"/>
        <v>0</v>
      </c>
      <c r="DL92" s="701">
        <f t="shared" si="112"/>
        <v>0</v>
      </c>
      <c r="DM92" s="701">
        <f t="shared" si="113"/>
        <v>0</v>
      </c>
      <c r="DN92" s="701">
        <f t="shared" si="114"/>
        <v>0</v>
      </c>
    </row>
    <row r="93" spans="1:191" customFormat="1" ht="100.5" customHeight="1">
      <c r="A93" s="20">
        <f t="shared" si="125"/>
        <v>79</v>
      </c>
      <c r="B93" s="1281"/>
      <c r="C93" s="1285"/>
      <c r="D93" s="967" t="s">
        <v>141</v>
      </c>
      <c r="E93" s="617">
        <v>4632024035</v>
      </c>
      <c r="F93" s="1280" t="s">
        <v>8</v>
      </c>
      <c r="G93" s="1245" t="s">
        <v>956</v>
      </c>
      <c r="H93" s="866">
        <v>3299.1600000000003</v>
      </c>
      <c r="I93" s="825">
        <v>3299.1600000000003</v>
      </c>
      <c r="J93" s="756">
        <v>2896.52</v>
      </c>
      <c r="K93" s="756"/>
      <c r="L93" s="872">
        <v>3299.1600000000003</v>
      </c>
      <c r="M93" s="867"/>
      <c r="N93" s="1207">
        <f>2762.47*1.2</f>
        <v>3314.9639999999995</v>
      </c>
      <c r="O93" s="1208">
        <f>N93</f>
        <v>3314.9639999999995</v>
      </c>
      <c r="P93" s="964">
        <v>2950.21</v>
      </c>
      <c r="Q93" s="964"/>
      <c r="R93" s="1208">
        <f>O93</f>
        <v>3314.9639999999995</v>
      </c>
      <c r="S93" s="910"/>
      <c r="T93" s="1014">
        <v>1940.5988898889727</v>
      </c>
      <c r="U93" s="981">
        <v>311.5213810095492</v>
      </c>
      <c r="V93" s="671"/>
      <c r="W93" s="622"/>
      <c r="X93" s="622"/>
      <c r="Y93" s="622"/>
      <c r="Z93" s="939">
        <f t="shared" si="126"/>
        <v>2252.120270898522</v>
      </c>
      <c r="AA93" s="980">
        <v>1172.3138879771582</v>
      </c>
      <c r="AB93" s="981">
        <v>233.59257256783249</v>
      </c>
      <c r="AC93" s="227"/>
      <c r="AD93" s="16"/>
      <c r="AE93" s="16"/>
      <c r="AF93" s="16"/>
      <c r="AG93" s="926">
        <f t="shared" si="127"/>
        <v>1405.9064605449908</v>
      </c>
      <c r="AH93" s="894">
        <f t="shared" si="129"/>
        <v>3658.0267314435127</v>
      </c>
      <c r="AI93" s="15">
        <f t="shared" si="137"/>
        <v>3112.9127778661309</v>
      </c>
      <c r="AJ93" s="15">
        <f t="shared" si="137"/>
        <v>545.11395357738172</v>
      </c>
      <c r="AK93" s="15">
        <f t="shared" si="137"/>
        <v>0</v>
      </c>
      <c r="AL93" s="15">
        <f t="shared" si="137"/>
        <v>0</v>
      </c>
      <c r="AM93" s="15">
        <f t="shared" si="137"/>
        <v>0</v>
      </c>
      <c r="AN93" s="15"/>
      <c r="AO93" s="15">
        <f t="shared" si="141"/>
        <v>3658.0267314435127</v>
      </c>
      <c r="AP93" s="15">
        <f t="shared" si="142"/>
        <v>3658.0267314435127</v>
      </c>
      <c r="AQ93" s="15">
        <f t="shared" si="85"/>
        <v>3658.0267314435127</v>
      </c>
      <c r="AR93" s="127">
        <f t="shared" si="115"/>
        <v>0</v>
      </c>
      <c r="AS93" s="112">
        <f t="shared" si="140"/>
        <v>10269997.320224825</v>
      </c>
      <c r="AT93" s="112">
        <f t="shared" si="138"/>
        <v>1578933.4688159577</v>
      </c>
      <c r="AU93" s="112">
        <f t="shared" si="138"/>
        <v>0</v>
      </c>
      <c r="AV93" s="112">
        <f t="shared" si="138"/>
        <v>0</v>
      </c>
      <c r="AW93" s="112">
        <f t="shared" si="138"/>
        <v>0</v>
      </c>
      <c r="AX93" s="112">
        <f t="shared" si="86"/>
        <v>11848930.789040783</v>
      </c>
      <c r="AY93" s="112">
        <f t="shared" si="87"/>
        <v>11848930.789040783</v>
      </c>
      <c r="AZ93" s="112">
        <f t="shared" si="139"/>
        <v>10319193.793766219</v>
      </c>
      <c r="BA93" s="112">
        <f t="shared" si="139"/>
        <v>1608200.6369835273</v>
      </c>
      <c r="BB93" s="112">
        <f t="shared" si="139"/>
        <v>0</v>
      </c>
      <c r="BC93" s="112">
        <f t="shared" si="139"/>
        <v>0</v>
      </c>
      <c r="BD93" s="112">
        <f t="shared" si="139"/>
        <v>0</v>
      </c>
      <c r="BE93" s="112">
        <f t="shared" si="88"/>
        <v>11927394.430749746</v>
      </c>
      <c r="BF93" s="112">
        <f t="shared" si="89"/>
        <v>11927394.430749746</v>
      </c>
      <c r="BG93" s="623">
        <f>(O93-P93)/1.2*U93/1000</f>
        <v>94.690558173964121</v>
      </c>
      <c r="BH93" s="624">
        <f>(O93-P93)/1.2*AB93/1000</f>
        <v>71.003187678672546</v>
      </c>
      <c r="BI93" s="623">
        <f t="shared" si="84"/>
        <v>165.69374585263665</v>
      </c>
      <c r="BJ93" s="169"/>
      <c r="BK93" s="169"/>
      <c r="BL93" s="112">
        <f t="shared" si="93"/>
        <v>6402346.2335661035</v>
      </c>
      <c r="BM93" s="112">
        <f t="shared" si="93"/>
        <v>902327.91052177944</v>
      </c>
      <c r="BN93" s="112">
        <f t="shared" si="93"/>
        <v>0</v>
      </c>
      <c r="BO93" s="112">
        <f t="shared" si="93"/>
        <v>0</v>
      </c>
      <c r="BP93" s="112">
        <f t="shared" si="93"/>
        <v>0</v>
      </c>
      <c r="BQ93" s="112">
        <f t="shared" si="130"/>
        <v>7304674.1440878827</v>
      </c>
      <c r="BR93" s="112">
        <f t="shared" si="131"/>
        <v>7304674.1440878827</v>
      </c>
      <c r="BS93" s="112">
        <f t="shared" si="94"/>
        <v>3886178.3353443118</v>
      </c>
      <c r="BT93" s="112">
        <f t="shared" si="94"/>
        <v>689147.14351534506</v>
      </c>
      <c r="BU93" s="112">
        <f t="shared" si="94"/>
        <v>0</v>
      </c>
      <c r="BV93" s="112">
        <f t="shared" si="132"/>
        <v>0</v>
      </c>
      <c r="BW93" s="112">
        <f t="shared" si="97"/>
        <v>0</v>
      </c>
      <c r="BX93" s="112">
        <f t="shared" si="133"/>
        <v>4575325.4788596565</v>
      </c>
      <c r="BY93" s="112">
        <f t="shared" si="134"/>
        <v>4575325.4788596565</v>
      </c>
      <c r="BZ93" s="113">
        <f t="shared" si="95"/>
        <v>1591475.0540371244</v>
      </c>
      <c r="CA93" s="113">
        <f t="shared" si="95"/>
        <v>0</v>
      </c>
      <c r="CB93" s="113">
        <f t="shared" si="135"/>
        <v>1591475.0540371244</v>
      </c>
      <c r="CC93" s="119">
        <f t="shared" si="96"/>
        <v>2919.5272724039824</v>
      </c>
      <c r="CD93" s="119" t="e">
        <f t="shared" si="96"/>
        <v>#DIV/0!</v>
      </c>
      <c r="CE93" s="119">
        <f t="shared" si="116"/>
        <v>2919.5272724039824</v>
      </c>
      <c r="CF93" s="119">
        <f t="shared" si="98"/>
        <v>2919.5272724039824</v>
      </c>
      <c r="CG93" s="619">
        <f t="shared" si="99"/>
        <v>1802109.8481012166</v>
      </c>
      <c r="CH93" s="132">
        <f t="shared" si="117"/>
        <v>3305.9323399715504</v>
      </c>
      <c r="CI93" s="625"/>
      <c r="CJ93" s="208">
        <f t="shared" si="118"/>
        <v>7465.6976216988469</v>
      </c>
      <c r="CK93" s="208">
        <f t="shared" si="100"/>
        <v>4660.5293040740635</v>
      </c>
      <c r="CL93" s="208">
        <f t="shared" si="128"/>
        <v>12126.226925772909</v>
      </c>
      <c r="CM93" s="18">
        <f t="shared" si="119"/>
        <v>12126.226925772911</v>
      </c>
      <c r="CN93" s="18">
        <f t="shared" si="120"/>
        <v>0</v>
      </c>
      <c r="CO93" s="112">
        <f t="shared" si="101"/>
        <v>12090634.417011634</v>
      </c>
      <c r="CP93" s="112">
        <f t="shared" si="102"/>
        <v>11848930.789040783</v>
      </c>
      <c r="CQ93" s="112">
        <f t="shared" si="103"/>
        <v>11848930.789040783</v>
      </c>
      <c r="CR93" s="112">
        <f t="shared" si="104"/>
        <v>7304674.1440878827</v>
      </c>
      <c r="CS93" s="112">
        <f t="shared" si="105"/>
        <v>11927394.430749746</v>
      </c>
      <c r="CT93" s="112">
        <f t="shared" si="106"/>
        <v>11927394.430749746</v>
      </c>
      <c r="CU93" s="112">
        <f t="shared" si="107"/>
        <v>4575325.4788596565</v>
      </c>
      <c r="CV93" s="112">
        <f t="shared" si="121"/>
        <v>23776325.219790529</v>
      </c>
      <c r="CW93" s="843">
        <f t="shared" si="122"/>
        <v>6499.7680348847616</v>
      </c>
      <c r="CX93" s="112">
        <f t="shared" si="108"/>
        <v>1578933.4688159577</v>
      </c>
      <c r="CY93" s="112">
        <f t="shared" si="109"/>
        <v>1608200.6369835273</v>
      </c>
      <c r="CZ93" s="112"/>
      <c r="DA93" s="112">
        <f t="shared" si="110"/>
        <v>12068415.471309179</v>
      </c>
      <c r="DB93" s="112">
        <f t="shared" si="111"/>
        <v>12126226.925772911</v>
      </c>
      <c r="DC93" s="625"/>
      <c r="DD93" s="128">
        <f t="shared" si="123"/>
        <v>114.44643917528619</v>
      </c>
      <c r="DE93" s="625"/>
      <c r="DF93" s="625"/>
      <c r="DG93" s="625"/>
      <c r="DH93" s="797">
        <v>3774.0260000000003</v>
      </c>
      <c r="DI93" s="797">
        <v>562.40000000000009</v>
      </c>
      <c r="DJ93" s="797">
        <f t="shared" si="124"/>
        <v>3211.6260000000002</v>
      </c>
      <c r="DK93" s="625"/>
      <c r="DL93" s="618">
        <f t="shared" si="112"/>
        <v>0</v>
      </c>
      <c r="DM93" s="618">
        <f t="shared" si="113"/>
        <v>0</v>
      </c>
      <c r="DN93" s="618">
        <f t="shared" si="114"/>
        <v>0</v>
      </c>
      <c r="DO93" s="123"/>
    </row>
    <row r="94" spans="1:191" customFormat="1" ht="100.5" customHeight="1">
      <c r="A94" s="20">
        <f t="shared" si="125"/>
        <v>80</v>
      </c>
      <c r="B94" s="1281"/>
      <c r="C94" s="1285" t="s">
        <v>115</v>
      </c>
      <c r="D94" s="967" t="s">
        <v>142</v>
      </c>
      <c r="E94" s="617">
        <v>4632024035</v>
      </c>
      <c r="F94" s="1280" t="s">
        <v>8</v>
      </c>
      <c r="G94" s="1245" t="s">
        <v>956</v>
      </c>
      <c r="H94" s="866">
        <v>3299.1600000000003</v>
      </c>
      <c r="I94" s="825">
        <v>3299.1600000000003</v>
      </c>
      <c r="J94" s="756"/>
      <c r="K94" s="756"/>
      <c r="L94" s="872">
        <v>3299.1600000000003</v>
      </c>
      <c r="M94" s="867"/>
      <c r="N94" s="1207">
        <f>2762.47*1.2</f>
        <v>3314.9639999999995</v>
      </c>
      <c r="O94" s="1208">
        <f>N94</f>
        <v>3314.9639999999995</v>
      </c>
      <c r="P94" s="963"/>
      <c r="Q94" s="963"/>
      <c r="R94" s="1208">
        <f>O94</f>
        <v>3314.9639999999995</v>
      </c>
      <c r="S94" s="910"/>
      <c r="T94" s="1014">
        <v>243.96563361190277</v>
      </c>
      <c r="U94" s="981"/>
      <c r="V94" s="1009"/>
      <c r="W94" s="981"/>
      <c r="X94" s="981"/>
      <c r="Y94" s="981"/>
      <c r="Z94" s="882">
        <f t="shared" si="126"/>
        <v>243.96563361190277</v>
      </c>
      <c r="AA94" s="980">
        <v>141.66759504777758</v>
      </c>
      <c r="AB94" s="16"/>
      <c r="AC94" s="227"/>
      <c r="AD94" s="16"/>
      <c r="AE94" s="16"/>
      <c r="AF94" s="16"/>
      <c r="AG94" s="926">
        <f t="shared" si="127"/>
        <v>141.66759504777758</v>
      </c>
      <c r="AH94" s="894">
        <f t="shared" si="129"/>
        <v>385.63322865968036</v>
      </c>
      <c r="AI94" s="15">
        <f t="shared" si="137"/>
        <v>385.63322865968036</v>
      </c>
      <c r="AJ94" s="15">
        <f t="shared" si="137"/>
        <v>0</v>
      </c>
      <c r="AK94" s="15">
        <f t="shared" si="137"/>
        <v>0</v>
      </c>
      <c r="AL94" s="15">
        <f t="shared" si="137"/>
        <v>0</v>
      </c>
      <c r="AM94" s="15">
        <f t="shared" si="137"/>
        <v>0</v>
      </c>
      <c r="AN94" s="15"/>
      <c r="AO94" s="15">
        <f t="shared" si="141"/>
        <v>385.63322865968036</v>
      </c>
      <c r="AP94" s="15">
        <f t="shared" si="142"/>
        <v>385.63322865968036</v>
      </c>
      <c r="AQ94" s="15">
        <f t="shared" si="85"/>
        <v>385.63322865968036</v>
      </c>
      <c r="AR94" s="127">
        <f t="shared" si="115"/>
        <v>0</v>
      </c>
      <c r="AS94" s="112">
        <f t="shared" si="140"/>
        <v>1272265.7226648713</v>
      </c>
      <c r="AT94" s="112">
        <f t="shared" si="138"/>
        <v>0</v>
      </c>
      <c r="AU94" s="112">
        <f t="shared" si="138"/>
        <v>0</v>
      </c>
      <c r="AV94" s="112">
        <f t="shared" si="138"/>
        <v>0</v>
      </c>
      <c r="AW94" s="112">
        <f t="shared" si="138"/>
        <v>0</v>
      </c>
      <c r="AX94" s="112">
        <f t="shared" si="86"/>
        <v>1272265.7226648713</v>
      </c>
      <c r="AY94" s="112">
        <f t="shared" si="87"/>
        <v>1272265.7226648713</v>
      </c>
      <c r="AZ94" s="112">
        <f t="shared" si="139"/>
        <v>1278360.2702106084</v>
      </c>
      <c r="BA94" s="112">
        <f t="shared" si="139"/>
        <v>0</v>
      </c>
      <c r="BB94" s="112">
        <f t="shared" si="139"/>
        <v>0</v>
      </c>
      <c r="BC94" s="112">
        <f t="shared" si="139"/>
        <v>0</v>
      </c>
      <c r="BD94" s="112">
        <f t="shared" si="139"/>
        <v>0</v>
      </c>
      <c r="BE94" s="112">
        <f t="shared" si="88"/>
        <v>1278360.2702106084</v>
      </c>
      <c r="BF94" s="112">
        <f t="shared" si="89"/>
        <v>1278360.2702106084</v>
      </c>
      <c r="BG94" s="126"/>
      <c r="BH94" s="126"/>
      <c r="BI94" s="112">
        <f t="shared" si="84"/>
        <v>0</v>
      </c>
      <c r="BJ94" s="112"/>
      <c r="BK94" s="112"/>
      <c r="BL94" s="112">
        <f t="shared" si="93"/>
        <v>804881.65978704521</v>
      </c>
      <c r="BM94" s="112">
        <f t="shared" si="93"/>
        <v>0</v>
      </c>
      <c r="BN94" s="112">
        <f t="shared" si="93"/>
        <v>0</v>
      </c>
      <c r="BO94" s="112">
        <f t="shared" si="93"/>
        <v>0</v>
      </c>
      <c r="BP94" s="112">
        <f t="shared" si="93"/>
        <v>0</v>
      </c>
      <c r="BQ94" s="112">
        <f t="shared" si="130"/>
        <v>804881.65978704521</v>
      </c>
      <c r="BR94" s="112">
        <f t="shared" si="131"/>
        <v>804881.65978704521</v>
      </c>
      <c r="BS94" s="112">
        <f t="shared" si="94"/>
        <v>469622.97754996089</v>
      </c>
      <c r="BT94" s="112">
        <f t="shared" si="94"/>
        <v>0</v>
      </c>
      <c r="BU94" s="112">
        <f t="shared" si="94"/>
        <v>0</v>
      </c>
      <c r="BV94" s="112">
        <f t="shared" si="132"/>
        <v>0</v>
      </c>
      <c r="BW94" s="112">
        <f t="shared" si="97"/>
        <v>0</v>
      </c>
      <c r="BX94" s="112">
        <f t="shared" si="133"/>
        <v>469622.97754996089</v>
      </c>
      <c r="BY94" s="112">
        <f t="shared" si="134"/>
        <v>469622.97754996089</v>
      </c>
      <c r="BZ94" s="113">
        <f t="shared" si="95"/>
        <v>0</v>
      </c>
      <c r="CA94" s="113">
        <f t="shared" si="95"/>
        <v>0</v>
      </c>
      <c r="CB94" s="113">
        <f t="shared" si="135"/>
        <v>0</v>
      </c>
      <c r="CC94" s="119" t="e">
        <f t="shared" si="96"/>
        <v>#DIV/0!</v>
      </c>
      <c r="CD94" s="119" t="e">
        <f t="shared" si="96"/>
        <v>#DIV/0!</v>
      </c>
      <c r="CE94" s="119" t="e">
        <f t="shared" si="116"/>
        <v>#DIV/0!</v>
      </c>
      <c r="CF94" s="113" t="e">
        <f t="shared" si="98"/>
        <v>#DIV/0!</v>
      </c>
      <c r="CG94" s="619">
        <f t="shared" si="99"/>
        <v>0</v>
      </c>
      <c r="CH94" s="132" t="e">
        <f t="shared" si="117"/>
        <v>#DIV/0!</v>
      </c>
      <c r="CI94" s="625"/>
      <c r="CJ94" s="208">
        <f t="shared" si="118"/>
        <v>808.73729266064754</v>
      </c>
      <c r="CK94" s="208">
        <f t="shared" si="100"/>
        <v>469.62297754996092</v>
      </c>
      <c r="CL94" s="208">
        <f t="shared" si="128"/>
        <v>1278.3602702106084</v>
      </c>
      <c r="CM94" s="18">
        <f t="shared" si="119"/>
        <v>1278.3602702106084</v>
      </c>
      <c r="CN94" s="18">
        <f t="shared" si="120"/>
        <v>0</v>
      </c>
      <c r="CO94" s="112">
        <f t="shared" si="101"/>
        <v>1274504.6373370062</v>
      </c>
      <c r="CP94" s="112">
        <f t="shared" si="102"/>
        <v>1272265.7226648713</v>
      </c>
      <c r="CQ94" s="112">
        <f t="shared" si="103"/>
        <v>1272265.7226648713</v>
      </c>
      <c r="CR94" s="112">
        <f t="shared" si="104"/>
        <v>804881.65978704521</v>
      </c>
      <c r="CS94" s="112">
        <f t="shared" si="105"/>
        <v>1278360.2702106084</v>
      </c>
      <c r="CT94" s="112">
        <f t="shared" si="106"/>
        <v>1278360.2702106084</v>
      </c>
      <c r="CU94" s="112">
        <f t="shared" si="107"/>
        <v>469622.97754996089</v>
      </c>
      <c r="CV94" s="112">
        <f t="shared" si="121"/>
        <v>2550625.9928754796</v>
      </c>
      <c r="CW94" s="843">
        <f t="shared" si="122"/>
        <v>6614.1239999999998</v>
      </c>
      <c r="CX94" s="112">
        <f t="shared" si="108"/>
        <v>0</v>
      </c>
      <c r="CY94" s="112">
        <f t="shared" si="109"/>
        <v>0</v>
      </c>
      <c r="CZ94" s="112"/>
      <c r="DA94" s="112">
        <f t="shared" si="110"/>
        <v>1272265.7226648713</v>
      </c>
      <c r="DB94" s="112">
        <f t="shared" si="111"/>
        <v>1278360.2702106084</v>
      </c>
      <c r="DC94" s="625"/>
      <c r="DD94" s="128" t="e">
        <f t="shared" si="123"/>
        <v>#DIV/0!</v>
      </c>
      <c r="DE94" s="625"/>
      <c r="DF94" s="625"/>
      <c r="DG94" s="625"/>
      <c r="DH94" s="797">
        <v>397.86199999999997</v>
      </c>
      <c r="DI94" s="797">
        <v>0</v>
      </c>
      <c r="DJ94" s="797">
        <f t="shared" si="124"/>
        <v>397.86199999999997</v>
      </c>
      <c r="DK94" s="625"/>
      <c r="DL94" s="618">
        <f t="shared" si="112"/>
        <v>0</v>
      </c>
      <c r="DM94" s="618">
        <f t="shared" si="113"/>
        <v>0</v>
      </c>
      <c r="DN94" s="618">
        <f t="shared" si="114"/>
        <v>0</v>
      </c>
      <c r="DO94" s="123"/>
    </row>
    <row r="95" spans="1:191" customFormat="1" ht="100.5" customHeight="1">
      <c r="A95" s="20">
        <f t="shared" si="125"/>
        <v>81</v>
      </c>
      <c r="B95" s="1281"/>
      <c r="C95" s="1285" t="s">
        <v>116</v>
      </c>
      <c r="D95" s="967" t="s">
        <v>141</v>
      </c>
      <c r="E95" s="617">
        <v>4632024035</v>
      </c>
      <c r="F95" s="1280" t="s">
        <v>8</v>
      </c>
      <c r="G95" s="1245" t="s">
        <v>956</v>
      </c>
      <c r="H95" s="866">
        <v>3299.1600000000003</v>
      </c>
      <c r="I95" s="825">
        <v>3299.1600000000003</v>
      </c>
      <c r="J95" s="756"/>
      <c r="K95" s="756"/>
      <c r="L95" s="872">
        <v>3299.1600000000003</v>
      </c>
      <c r="M95" s="867"/>
      <c r="N95" s="1207">
        <f>2762.47*1.2</f>
        <v>3314.9639999999995</v>
      </c>
      <c r="O95" s="1208">
        <f>N95</f>
        <v>3314.9639999999995</v>
      </c>
      <c r="P95" s="963"/>
      <c r="Q95" s="963"/>
      <c r="R95" s="1208">
        <f>O95</f>
        <v>3314.9639999999995</v>
      </c>
      <c r="S95" s="910"/>
      <c r="T95" s="973">
        <v>1041.3847664209948</v>
      </c>
      <c r="U95" s="825"/>
      <c r="V95" s="1002"/>
      <c r="W95" s="825"/>
      <c r="X95" s="825"/>
      <c r="Y95" s="825"/>
      <c r="Z95" s="971">
        <f t="shared" si="126"/>
        <v>1041.3847664209948</v>
      </c>
      <c r="AA95" s="975">
        <v>634.74371445079498</v>
      </c>
      <c r="AB95" s="16"/>
      <c r="AC95" s="227"/>
      <c r="AD95" s="16"/>
      <c r="AE95" s="16"/>
      <c r="AF95" s="16"/>
      <c r="AG95" s="926">
        <f t="shared" si="127"/>
        <v>634.74371445079498</v>
      </c>
      <c r="AH95" s="894">
        <f t="shared" si="129"/>
        <v>1676.1284808717896</v>
      </c>
      <c r="AI95" s="15">
        <f t="shared" si="137"/>
        <v>1676.1284808717896</v>
      </c>
      <c r="AJ95" s="15">
        <f t="shared" si="137"/>
        <v>0</v>
      </c>
      <c r="AK95" s="15">
        <f t="shared" si="137"/>
        <v>0</v>
      </c>
      <c r="AL95" s="15">
        <f t="shared" si="137"/>
        <v>0</v>
      </c>
      <c r="AM95" s="15">
        <f t="shared" si="137"/>
        <v>0</v>
      </c>
      <c r="AN95" s="15"/>
      <c r="AO95" s="15">
        <f t="shared" si="141"/>
        <v>1676.1284808717896</v>
      </c>
      <c r="AP95" s="15">
        <f t="shared" si="142"/>
        <v>1676.1284808717896</v>
      </c>
      <c r="AQ95" s="15">
        <f t="shared" si="85"/>
        <v>1676.1284808717896</v>
      </c>
      <c r="AR95" s="127">
        <f t="shared" si="115"/>
        <v>0</v>
      </c>
      <c r="AS95" s="112">
        <f t="shared" si="140"/>
        <v>5529816.0389529737</v>
      </c>
      <c r="AT95" s="112">
        <f t="shared" si="138"/>
        <v>0</v>
      </c>
      <c r="AU95" s="112">
        <f t="shared" si="138"/>
        <v>0</v>
      </c>
      <c r="AV95" s="112">
        <f t="shared" si="138"/>
        <v>0</v>
      </c>
      <c r="AW95" s="112">
        <f t="shared" si="138"/>
        <v>0</v>
      </c>
      <c r="AX95" s="112">
        <f t="shared" si="86"/>
        <v>5529816.0389529737</v>
      </c>
      <c r="AY95" s="112">
        <f t="shared" si="87"/>
        <v>5529816.0389529737</v>
      </c>
      <c r="AZ95" s="112">
        <f t="shared" si="139"/>
        <v>5556305.5734646702</v>
      </c>
      <c r="BA95" s="112">
        <f t="shared" si="139"/>
        <v>0</v>
      </c>
      <c r="BB95" s="112">
        <f t="shared" si="139"/>
        <v>0</v>
      </c>
      <c r="BC95" s="112">
        <f t="shared" si="139"/>
        <v>0</v>
      </c>
      <c r="BD95" s="112">
        <f t="shared" si="139"/>
        <v>0</v>
      </c>
      <c r="BE95" s="112">
        <f t="shared" si="88"/>
        <v>5556305.5734646702</v>
      </c>
      <c r="BF95" s="112">
        <f t="shared" si="89"/>
        <v>5556305.5734646702</v>
      </c>
      <c r="BG95" s="126"/>
      <c r="BH95" s="126"/>
      <c r="BI95" s="112">
        <f t="shared" si="84"/>
        <v>0</v>
      </c>
      <c r="BJ95" s="112"/>
      <c r="BK95" s="112"/>
      <c r="BL95" s="112">
        <f t="shared" si="93"/>
        <v>3435694.9659854895</v>
      </c>
      <c r="BM95" s="112">
        <f t="shared" si="93"/>
        <v>0</v>
      </c>
      <c r="BN95" s="112">
        <f t="shared" si="93"/>
        <v>0</v>
      </c>
      <c r="BO95" s="112">
        <f t="shared" si="93"/>
        <v>0</v>
      </c>
      <c r="BP95" s="112">
        <f t="shared" si="93"/>
        <v>0</v>
      </c>
      <c r="BQ95" s="112">
        <f t="shared" si="130"/>
        <v>3435694.9659854895</v>
      </c>
      <c r="BR95" s="112">
        <f t="shared" si="131"/>
        <v>3435694.9659854895</v>
      </c>
      <c r="BS95" s="112">
        <f t="shared" si="94"/>
        <v>2104152.562630665</v>
      </c>
      <c r="BT95" s="112">
        <f t="shared" si="94"/>
        <v>0</v>
      </c>
      <c r="BU95" s="112">
        <f t="shared" si="94"/>
        <v>0</v>
      </c>
      <c r="BV95" s="112">
        <f t="shared" si="132"/>
        <v>0</v>
      </c>
      <c r="BW95" s="112">
        <f t="shared" si="97"/>
        <v>0</v>
      </c>
      <c r="BX95" s="112">
        <f t="shared" si="133"/>
        <v>2104152.562630665</v>
      </c>
      <c r="BY95" s="112">
        <f t="shared" si="134"/>
        <v>2104152.562630665</v>
      </c>
      <c r="BZ95" s="113">
        <f t="shared" si="95"/>
        <v>0</v>
      </c>
      <c r="CA95" s="113">
        <f t="shared" si="95"/>
        <v>0</v>
      </c>
      <c r="CB95" s="113">
        <f t="shared" si="135"/>
        <v>0</v>
      </c>
      <c r="CC95" s="119" t="e">
        <f t="shared" si="96"/>
        <v>#DIV/0!</v>
      </c>
      <c r="CD95" s="119" t="e">
        <f t="shared" si="96"/>
        <v>#DIV/0!</v>
      </c>
      <c r="CE95" s="119" t="e">
        <f t="shared" si="116"/>
        <v>#DIV/0!</v>
      </c>
      <c r="CF95" s="113" t="e">
        <f t="shared" si="98"/>
        <v>#DIV/0!</v>
      </c>
      <c r="CG95" s="619">
        <f t="shared" si="99"/>
        <v>0</v>
      </c>
      <c r="CH95" s="132" t="e">
        <f t="shared" si="117"/>
        <v>#DIV/0!</v>
      </c>
      <c r="CI95" s="625"/>
      <c r="CJ95" s="208">
        <f t="shared" si="118"/>
        <v>3452.1530108340062</v>
      </c>
      <c r="CK95" s="208">
        <f t="shared" si="100"/>
        <v>2104.1525626306652</v>
      </c>
      <c r="CL95" s="208">
        <f t="shared" si="128"/>
        <v>5556.3055734646714</v>
      </c>
      <c r="CM95" s="18">
        <f t="shared" si="119"/>
        <v>5556.3055734646705</v>
      </c>
      <c r="CN95" s="18">
        <f t="shared" si="120"/>
        <v>0</v>
      </c>
      <c r="CO95" s="112">
        <f t="shared" si="101"/>
        <v>5539847.5286161546</v>
      </c>
      <c r="CP95" s="112">
        <f t="shared" si="102"/>
        <v>5529816.0389529737</v>
      </c>
      <c r="CQ95" s="112">
        <f t="shared" si="103"/>
        <v>5529816.0389529737</v>
      </c>
      <c r="CR95" s="112">
        <f t="shared" si="104"/>
        <v>3435694.9659854895</v>
      </c>
      <c r="CS95" s="112">
        <f t="shared" si="105"/>
        <v>5556305.5734646702</v>
      </c>
      <c r="CT95" s="112">
        <f t="shared" si="106"/>
        <v>5556305.5734646702</v>
      </c>
      <c r="CU95" s="112">
        <f t="shared" si="107"/>
        <v>2104152.562630665</v>
      </c>
      <c r="CV95" s="112">
        <f t="shared" si="121"/>
        <v>11086121.612417644</v>
      </c>
      <c r="CW95" s="843">
        <f t="shared" si="122"/>
        <v>6614.1239999999998</v>
      </c>
      <c r="CX95" s="112">
        <f t="shared" si="108"/>
        <v>0</v>
      </c>
      <c r="CY95" s="112">
        <f t="shared" si="109"/>
        <v>0</v>
      </c>
      <c r="CZ95" s="112"/>
      <c r="DA95" s="112">
        <f t="shared" si="110"/>
        <v>5529816.0389529737</v>
      </c>
      <c r="DB95" s="112">
        <f t="shared" si="111"/>
        <v>5556305.5734646702</v>
      </c>
      <c r="DC95" s="625"/>
      <c r="DD95" s="128" t="e">
        <f t="shared" si="123"/>
        <v>#DIV/0!</v>
      </c>
      <c r="DE95" s="625"/>
      <c r="DF95" s="625"/>
      <c r="DG95" s="625"/>
      <c r="DH95" s="797">
        <v>1729.2800000000002</v>
      </c>
      <c r="DI95" s="797">
        <v>0</v>
      </c>
      <c r="DJ95" s="797">
        <f t="shared" si="124"/>
        <v>1729.2800000000002</v>
      </c>
      <c r="DK95" s="625"/>
      <c r="DL95" s="618">
        <f t="shared" si="112"/>
        <v>0</v>
      </c>
      <c r="DM95" s="618">
        <f t="shared" si="113"/>
        <v>0</v>
      </c>
      <c r="DN95" s="618">
        <f t="shared" si="114"/>
        <v>0</v>
      </c>
      <c r="DO95" s="123"/>
    </row>
    <row r="96" spans="1:191" customFormat="1" ht="100.5" customHeight="1">
      <c r="A96" s="20">
        <f t="shared" si="125"/>
        <v>82</v>
      </c>
      <c r="B96" s="1279"/>
      <c r="C96" s="1285" t="s">
        <v>117</v>
      </c>
      <c r="D96" s="967" t="s">
        <v>141</v>
      </c>
      <c r="E96" s="617">
        <v>4632024035</v>
      </c>
      <c r="F96" s="1280" t="s">
        <v>8</v>
      </c>
      <c r="G96" s="1245" t="s">
        <v>956</v>
      </c>
      <c r="H96" s="866">
        <v>3299.1600000000003</v>
      </c>
      <c r="I96" s="825">
        <v>3299.1600000000003</v>
      </c>
      <c r="J96" s="756"/>
      <c r="K96" s="756"/>
      <c r="L96" s="872">
        <v>3299.1600000000003</v>
      </c>
      <c r="M96" s="867"/>
      <c r="N96" s="1207">
        <f>2762.47*1.2</f>
        <v>3314.9639999999995</v>
      </c>
      <c r="O96" s="1208">
        <f>N96</f>
        <v>3314.9639999999995</v>
      </c>
      <c r="P96" s="963"/>
      <c r="Q96" s="963"/>
      <c r="R96" s="1208">
        <f>O96</f>
        <v>3314.9639999999995</v>
      </c>
      <c r="S96" s="910"/>
      <c r="T96" s="973">
        <v>116.17401893292642</v>
      </c>
      <c r="U96" s="825"/>
      <c r="V96" s="1002"/>
      <c r="W96" s="825"/>
      <c r="X96" s="825"/>
      <c r="Y96" s="825"/>
      <c r="Z96" s="978">
        <f t="shared" si="126"/>
        <v>116.17401893292642</v>
      </c>
      <c r="AA96" s="975">
        <v>67.460759546560752</v>
      </c>
      <c r="AB96" s="16"/>
      <c r="AC96" s="227"/>
      <c r="AD96" s="16"/>
      <c r="AE96" s="16"/>
      <c r="AF96" s="16"/>
      <c r="AG96" s="926">
        <f t="shared" si="127"/>
        <v>67.460759546560752</v>
      </c>
      <c r="AH96" s="894">
        <f t="shared" si="129"/>
        <v>183.63477847948718</v>
      </c>
      <c r="AI96" s="15">
        <f t="shared" si="137"/>
        <v>183.63477847948718</v>
      </c>
      <c r="AJ96" s="15">
        <f t="shared" si="137"/>
        <v>0</v>
      </c>
      <c r="AK96" s="15">
        <f t="shared" si="137"/>
        <v>0</v>
      </c>
      <c r="AL96" s="15">
        <f t="shared" si="137"/>
        <v>0</v>
      </c>
      <c r="AM96" s="15">
        <f t="shared" si="137"/>
        <v>0</v>
      </c>
      <c r="AN96" s="15"/>
      <c r="AO96" s="15">
        <f t="shared" si="141"/>
        <v>183.63477847948718</v>
      </c>
      <c r="AP96" s="15">
        <f t="shared" si="142"/>
        <v>183.63477847948718</v>
      </c>
      <c r="AQ96" s="15">
        <f t="shared" si="85"/>
        <v>183.63477847948718</v>
      </c>
      <c r="AR96" s="127">
        <f t="shared" si="115"/>
        <v>0</v>
      </c>
      <c r="AS96" s="112">
        <f t="shared" si="140"/>
        <v>605840.51576838503</v>
      </c>
      <c r="AT96" s="112">
        <f t="shared" si="138"/>
        <v>0</v>
      </c>
      <c r="AU96" s="112">
        <f t="shared" si="138"/>
        <v>0</v>
      </c>
      <c r="AV96" s="112">
        <f t="shared" si="138"/>
        <v>0</v>
      </c>
      <c r="AW96" s="112">
        <f t="shared" si="138"/>
        <v>0</v>
      </c>
      <c r="AX96" s="112">
        <f t="shared" si="86"/>
        <v>605840.51576838503</v>
      </c>
      <c r="AY96" s="112">
        <f t="shared" si="87"/>
        <v>605840.51576838503</v>
      </c>
      <c r="AZ96" s="112">
        <f t="shared" si="139"/>
        <v>608742.6798074746</v>
      </c>
      <c r="BA96" s="112">
        <f t="shared" si="139"/>
        <v>0</v>
      </c>
      <c r="BB96" s="112">
        <f t="shared" si="139"/>
        <v>0</v>
      </c>
      <c r="BC96" s="112">
        <f t="shared" si="139"/>
        <v>0</v>
      </c>
      <c r="BD96" s="112">
        <f t="shared" si="139"/>
        <v>0</v>
      </c>
      <c r="BE96" s="112">
        <f t="shared" si="88"/>
        <v>608742.6798074746</v>
      </c>
      <c r="BF96" s="112">
        <f t="shared" si="89"/>
        <v>608742.6798074746</v>
      </c>
      <c r="BG96" s="126"/>
      <c r="BH96" s="126"/>
      <c r="BI96" s="112">
        <f t="shared" si="84"/>
        <v>0</v>
      </c>
      <c r="BJ96" s="112"/>
      <c r="BK96" s="112"/>
      <c r="BL96" s="112">
        <f t="shared" si="93"/>
        <v>383276.67630275356</v>
      </c>
      <c r="BM96" s="112">
        <f t="shared" si="93"/>
        <v>0</v>
      </c>
      <c r="BN96" s="112">
        <f t="shared" si="93"/>
        <v>0</v>
      </c>
      <c r="BO96" s="112">
        <f t="shared" si="93"/>
        <v>0</v>
      </c>
      <c r="BP96" s="112">
        <f t="shared" si="93"/>
        <v>0</v>
      </c>
      <c r="BQ96" s="112">
        <f t="shared" si="130"/>
        <v>383276.67630275356</v>
      </c>
      <c r="BR96" s="112">
        <f t="shared" si="131"/>
        <v>383276.67630275356</v>
      </c>
      <c r="BS96" s="112">
        <f t="shared" si="94"/>
        <v>223629.98930950518</v>
      </c>
      <c r="BT96" s="112">
        <f t="shared" si="94"/>
        <v>0</v>
      </c>
      <c r="BU96" s="112">
        <f t="shared" si="94"/>
        <v>0</v>
      </c>
      <c r="BV96" s="112">
        <f t="shared" si="132"/>
        <v>0</v>
      </c>
      <c r="BW96" s="112">
        <f t="shared" si="97"/>
        <v>0</v>
      </c>
      <c r="BX96" s="112">
        <f t="shared" si="133"/>
        <v>223629.98930950518</v>
      </c>
      <c r="BY96" s="112">
        <f t="shared" si="134"/>
        <v>223629.98930950518</v>
      </c>
      <c r="BZ96" s="113">
        <f t="shared" si="95"/>
        <v>0</v>
      </c>
      <c r="CA96" s="113">
        <f t="shared" si="95"/>
        <v>0</v>
      </c>
      <c r="CB96" s="113">
        <f t="shared" si="135"/>
        <v>0</v>
      </c>
      <c r="CC96" s="119" t="e">
        <f t="shared" si="96"/>
        <v>#DIV/0!</v>
      </c>
      <c r="CD96" s="119" t="e">
        <f t="shared" si="96"/>
        <v>#DIV/0!</v>
      </c>
      <c r="CE96" s="119" t="e">
        <f t="shared" si="116"/>
        <v>#DIV/0!</v>
      </c>
      <c r="CF96" s="113" t="e">
        <f t="shared" si="98"/>
        <v>#DIV/0!</v>
      </c>
      <c r="CG96" s="619">
        <f t="shared" si="99"/>
        <v>0</v>
      </c>
      <c r="CH96" s="132" t="e">
        <f t="shared" si="117"/>
        <v>#DIV/0!</v>
      </c>
      <c r="CI96" s="625"/>
      <c r="CJ96" s="208">
        <f t="shared" si="118"/>
        <v>385.11269049796937</v>
      </c>
      <c r="CK96" s="208">
        <f t="shared" si="100"/>
        <v>223.62998930950519</v>
      </c>
      <c r="CL96" s="208">
        <f t="shared" si="128"/>
        <v>608.74267980747459</v>
      </c>
      <c r="CM96" s="18">
        <f t="shared" si="119"/>
        <v>608.74267980747459</v>
      </c>
      <c r="CN96" s="18">
        <f t="shared" si="120"/>
        <v>0</v>
      </c>
      <c r="CO96" s="112">
        <f t="shared" si="101"/>
        <v>606906.66561225872</v>
      </c>
      <c r="CP96" s="112">
        <f t="shared" si="102"/>
        <v>605840.51576838503</v>
      </c>
      <c r="CQ96" s="112">
        <f t="shared" si="103"/>
        <v>605840.51576838503</v>
      </c>
      <c r="CR96" s="112">
        <f t="shared" si="104"/>
        <v>383276.67630275356</v>
      </c>
      <c r="CS96" s="112">
        <f t="shared" si="105"/>
        <v>608742.6798074746</v>
      </c>
      <c r="CT96" s="112">
        <f t="shared" si="106"/>
        <v>608742.6798074746</v>
      </c>
      <c r="CU96" s="112">
        <f t="shared" si="107"/>
        <v>223629.98930950518</v>
      </c>
      <c r="CV96" s="112">
        <f t="shared" si="121"/>
        <v>1214583.1955758596</v>
      </c>
      <c r="CW96" s="843">
        <f t="shared" si="122"/>
        <v>6614.1239999999998</v>
      </c>
      <c r="CX96" s="112">
        <f t="shared" si="108"/>
        <v>0</v>
      </c>
      <c r="CY96" s="112">
        <f t="shared" si="109"/>
        <v>0</v>
      </c>
      <c r="CZ96" s="112"/>
      <c r="DA96" s="112">
        <f t="shared" si="110"/>
        <v>605840.51576838503</v>
      </c>
      <c r="DB96" s="112">
        <f t="shared" si="111"/>
        <v>608742.6798074746</v>
      </c>
      <c r="DC96" s="625"/>
      <c r="DD96" s="128" t="e">
        <f t="shared" si="123"/>
        <v>#DIV/0!</v>
      </c>
      <c r="DE96" s="625"/>
      <c r="DF96" s="625"/>
      <c r="DG96" s="625"/>
      <c r="DH96" s="797">
        <v>189.45800000000003</v>
      </c>
      <c r="DI96" s="797">
        <v>0</v>
      </c>
      <c r="DJ96" s="797">
        <f t="shared" si="124"/>
        <v>189.45800000000003</v>
      </c>
      <c r="DK96" s="625"/>
      <c r="DL96" s="618">
        <f t="shared" si="112"/>
        <v>0</v>
      </c>
      <c r="DM96" s="618">
        <f t="shared" si="113"/>
        <v>0</v>
      </c>
      <c r="DN96" s="618">
        <f t="shared" si="114"/>
        <v>0</v>
      </c>
      <c r="DO96" s="123"/>
    </row>
    <row r="97" spans="1:119" customFormat="1" ht="100.5" customHeight="1">
      <c r="A97" s="20">
        <f t="shared" si="125"/>
        <v>83</v>
      </c>
      <c r="B97" s="1283" t="s">
        <v>169</v>
      </c>
      <c r="C97" s="1285" t="s">
        <v>118</v>
      </c>
      <c r="D97" s="967" t="s">
        <v>141</v>
      </c>
      <c r="E97" s="617">
        <v>4632024035</v>
      </c>
      <c r="F97" s="1280" t="s">
        <v>8</v>
      </c>
      <c r="G97" s="1245" t="s">
        <v>956</v>
      </c>
      <c r="H97" s="866">
        <v>3299.1600000000003</v>
      </c>
      <c r="I97" s="825">
        <v>3299.1600000000003</v>
      </c>
      <c r="J97" s="756"/>
      <c r="K97" s="756"/>
      <c r="L97" s="872">
        <v>3299.1600000000003</v>
      </c>
      <c r="M97" s="867"/>
      <c r="N97" s="1207">
        <f>2762.47*1.2</f>
        <v>3314.9639999999995</v>
      </c>
      <c r="O97" s="1208">
        <f>N97</f>
        <v>3314.9639999999995</v>
      </c>
      <c r="P97" s="963"/>
      <c r="Q97" s="963"/>
      <c r="R97" s="1208">
        <f>O97</f>
        <v>3314.9639999999995</v>
      </c>
      <c r="S97" s="910"/>
      <c r="T97" s="973">
        <v>638.95807339488192</v>
      </c>
      <c r="U97" s="825"/>
      <c r="V97" s="1002"/>
      <c r="W97" s="825"/>
      <c r="X97" s="825"/>
      <c r="Y97" s="825"/>
      <c r="Z97" s="978">
        <f t="shared" si="126"/>
        <v>638.95807339488192</v>
      </c>
      <c r="AA97" s="975">
        <v>371.03417750608412</v>
      </c>
      <c r="AB97" s="16"/>
      <c r="AC97" s="227"/>
      <c r="AD97" s="16"/>
      <c r="AE97" s="16"/>
      <c r="AF97" s="16"/>
      <c r="AG97" s="926">
        <f t="shared" si="127"/>
        <v>371.03417750608412</v>
      </c>
      <c r="AH97" s="894">
        <f t="shared" si="129"/>
        <v>1009.992250900966</v>
      </c>
      <c r="AI97" s="15">
        <f t="shared" si="137"/>
        <v>1009.992250900966</v>
      </c>
      <c r="AJ97" s="15">
        <f t="shared" si="137"/>
        <v>0</v>
      </c>
      <c r="AK97" s="15">
        <f t="shared" si="137"/>
        <v>0</v>
      </c>
      <c r="AL97" s="15">
        <f t="shared" si="137"/>
        <v>0</v>
      </c>
      <c r="AM97" s="15">
        <f t="shared" si="137"/>
        <v>0</v>
      </c>
      <c r="AN97" s="15"/>
      <c r="AO97" s="15">
        <f t="shared" si="141"/>
        <v>1009.992250900966</v>
      </c>
      <c r="AP97" s="15">
        <f t="shared" si="142"/>
        <v>1009.992250900966</v>
      </c>
      <c r="AQ97" s="15">
        <f t="shared" si="85"/>
        <v>1009.992250900966</v>
      </c>
      <c r="AR97" s="127">
        <f t="shared" si="115"/>
        <v>0</v>
      </c>
      <c r="AS97" s="112">
        <f t="shared" si="140"/>
        <v>3332126.0344824316</v>
      </c>
      <c r="AT97" s="112">
        <f t="shared" si="138"/>
        <v>0</v>
      </c>
      <c r="AU97" s="112">
        <f t="shared" si="138"/>
        <v>0</v>
      </c>
      <c r="AV97" s="112">
        <f t="shared" si="138"/>
        <v>0</v>
      </c>
      <c r="AW97" s="112">
        <f t="shared" si="138"/>
        <v>0</v>
      </c>
      <c r="AX97" s="112">
        <f t="shared" si="86"/>
        <v>3332126.0344824316</v>
      </c>
      <c r="AY97" s="112">
        <f t="shared" si="87"/>
        <v>3332126.0344824316</v>
      </c>
      <c r="AZ97" s="112">
        <f t="shared" si="139"/>
        <v>3348087.9520156696</v>
      </c>
      <c r="BA97" s="112">
        <f t="shared" si="139"/>
        <v>0</v>
      </c>
      <c r="BB97" s="112">
        <f t="shared" si="139"/>
        <v>0</v>
      </c>
      <c r="BC97" s="112">
        <f t="shared" si="139"/>
        <v>0</v>
      </c>
      <c r="BD97" s="112">
        <f t="shared" si="139"/>
        <v>0</v>
      </c>
      <c r="BE97" s="112">
        <f t="shared" si="88"/>
        <v>3348087.9520156696</v>
      </c>
      <c r="BF97" s="112">
        <f t="shared" si="89"/>
        <v>3348087.9520156696</v>
      </c>
      <c r="BG97" s="126"/>
      <c r="BH97" s="126"/>
      <c r="BI97" s="112">
        <f t="shared" si="84"/>
        <v>0</v>
      </c>
      <c r="BJ97" s="112"/>
      <c r="BK97" s="112"/>
      <c r="BL97" s="112">
        <f t="shared" si="93"/>
        <v>2108024.9174214588</v>
      </c>
      <c r="BM97" s="112">
        <f t="shared" si="93"/>
        <v>0</v>
      </c>
      <c r="BN97" s="112">
        <f t="shared" si="93"/>
        <v>0</v>
      </c>
      <c r="BO97" s="112">
        <f t="shared" si="93"/>
        <v>0</v>
      </c>
      <c r="BP97" s="112">
        <f t="shared" si="93"/>
        <v>0</v>
      </c>
      <c r="BQ97" s="112">
        <f t="shared" si="130"/>
        <v>2108024.9174214588</v>
      </c>
      <c r="BR97" s="112">
        <f t="shared" si="131"/>
        <v>2108024.9174214588</v>
      </c>
      <c r="BS97" s="112">
        <f t="shared" si="94"/>
        <v>1229964.9412022785</v>
      </c>
      <c r="BT97" s="112">
        <f t="shared" si="94"/>
        <v>0</v>
      </c>
      <c r="BU97" s="112">
        <f t="shared" si="94"/>
        <v>0</v>
      </c>
      <c r="BV97" s="112">
        <f t="shared" si="132"/>
        <v>0</v>
      </c>
      <c r="BW97" s="112">
        <f t="shared" si="97"/>
        <v>0</v>
      </c>
      <c r="BX97" s="112">
        <f t="shared" si="133"/>
        <v>1229964.9412022785</v>
      </c>
      <c r="BY97" s="112">
        <f t="shared" si="134"/>
        <v>1229964.9412022785</v>
      </c>
      <c r="BZ97" s="113">
        <f t="shared" si="95"/>
        <v>0</v>
      </c>
      <c r="CA97" s="113">
        <f t="shared" si="95"/>
        <v>0</v>
      </c>
      <c r="CB97" s="113">
        <f t="shared" si="135"/>
        <v>0</v>
      </c>
      <c r="CC97" s="119" t="e">
        <f t="shared" si="96"/>
        <v>#DIV/0!</v>
      </c>
      <c r="CD97" s="119" t="e">
        <f t="shared" si="96"/>
        <v>#DIV/0!</v>
      </c>
      <c r="CE97" s="119" t="e">
        <f t="shared" si="116"/>
        <v>#DIV/0!</v>
      </c>
      <c r="CF97" s="113" t="e">
        <f t="shared" si="98"/>
        <v>#DIV/0!</v>
      </c>
      <c r="CG97" s="619">
        <f t="shared" si="99"/>
        <v>0</v>
      </c>
      <c r="CH97" s="132" t="e">
        <f t="shared" si="117"/>
        <v>#DIV/0!</v>
      </c>
      <c r="CI97" s="625"/>
      <c r="CJ97" s="208">
        <f t="shared" si="118"/>
        <v>2118.1230108133909</v>
      </c>
      <c r="CK97" s="208">
        <f t="shared" si="100"/>
        <v>1229.9649412022784</v>
      </c>
      <c r="CL97" s="208">
        <f t="shared" si="128"/>
        <v>3348.0879520156695</v>
      </c>
      <c r="CM97" s="18">
        <f t="shared" si="119"/>
        <v>3348.0879520156695</v>
      </c>
      <c r="CN97" s="18">
        <f t="shared" si="120"/>
        <v>0</v>
      </c>
      <c r="CO97" s="112">
        <f t="shared" si="101"/>
        <v>3337989.8586237375</v>
      </c>
      <c r="CP97" s="112">
        <f t="shared" si="102"/>
        <v>3332126.0344824316</v>
      </c>
      <c r="CQ97" s="112">
        <f t="shared" si="103"/>
        <v>3332126.0344824316</v>
      </c>
      <c r="CR97" s="112">
        <f t="shared" si="104"/>
        <v>2108024.9174214588</v>
      </c>
      <c r="CS97" s="112">
        <f t="shared" si="105"/>
        <v>3348087.9520156696</v>
      </c>
      <c r="CT97" s="112">
        <f t="shared" si="106"/>
        <v>3348087.9520156696</v>
      </c>
      <c r="CU97" s="112">
        <f t="shared" si="107"/>
        <v>1229964.9412022785</v>
      </c>
      <c r="CV97" s="112">
        <f t="shared" si="121"/>
        <v>6680213.9864981007</v>
      </c>
      <c r="CW97" s="843">
        <f t="shared" si="122"/>
        <v>6614.1239999999998</v>
      </c>
      <c r="CX97" s="112">
        <f t="shared" si="108"/>
        <v>0</v>
      </c>
      <c r="CY97" s="112">
        <f t="shared" si="109"/>
        <v>0</v>
      </c>
      <c r="CZ97" s="112"/>
      <c r="DA97" s="112">
        <f t="shared" si="110"/>
        <v>3332126.0344824316</v>
      </c>
      <c r="DB97" s="112">
        <f t="shared" si="111"/>
        <v>3348087.9520156696</v>
      </c>
      <c r="DC97" s="625"/>
      <c r="DD97" s="128" t="e">
        <f t="shared" si="123"/>
        <v>#DIV/0!</v>
      </c>
      <c r="DE97" s="625"/>
      <c r="DF97" s="625"/>
      <c r="DG97" s="625"/>
      <c r="DH97" s="797">
        <v>1042.02</v>
      </c>
      <c r="DI97" s="797">
        <v>0</v>
      </c>
      <c r="DJ97" s="797">
        <f t="shared" si="124"/>
        <v>1042.02</v>
      </c>
      <c r="DK97" s="625"/>
      <c r="DL97" s="618">
        <f t="shared" si="112"/>
        <v>0</v>
      </c>
      <c r="DM97" s="618">
        <f t="shared" si="113"/>
        <v>0</v>
      </c>
      <c r="DN97" s="618">
        <f t="shared" si="114"/>
        <v>0</v>
      </c>
      <c r="DO97" s="123"/>
    </row>
    <row r="98" spans="1:119" customFormat="1" ht="100.5" customHeight="1">
      <c r="A98" s="20">
        <f t="shared" si="125"/>
        <v>84</v>
      </c>
      <c r="B98" s="1283"/>
      <c r="C98" s="1285"/>
      <c r="D98" s="1209" t="s">
        <v>140</v>
      </c>
      <c r="E98" s="696">
        <v>4622005001</v>
      </c>
      <c r="F98" s="696" t="s">
        <v>8</v>
      </c>
      <c r="G98" s="850" t="s">
        <v>938</v>
      </c>
      <c r="H98" s="874">
        <v>3596.04</v>
      </c>
      <c r="I98" s="756">
        <v>3596.04</v>
      </c>
      <c r="J98" s="756">
        <v>3407.05</v>
      </c>
      <c r="K98" s="756">
        <v>0</v>
      </c>
      <c r="L98" s="756">
        <v>0</v>
      </c>
      <c r="M98" s="867">
        <v>0</v>
      </c>
      <c r="N98" s="858">
        <v>3727.67</v>
      </c>
      <c r="O98" s="10">
        <v>3727.67</v>
      </c>
      <c r="P98" s="10">
        <v>3727.67</v>
      </c>
      <c r="Q98" s="10">
        <v>0</v>
      </c>
      <c r="R98" s="10">
        <v>0</v>
      </c>
      <c r="S98" s="910">
        <v>0</v>
      </c>
      <c r="T98" s="937">
        <v>726</v>
      </c>
      <c r="U98" s="15">
        <v>82.8</v>
      </c>
      <c r="V98" s="208">
        <v>0</v>
      </c>
      <c r="W98" s="15">
        <v>0</v>
      </c>
      <c r="X98" s="15">
        <v>0</v>
      </c>
      <c r="Y98" s="15">
        <v>0</v>
      </c>
      <c r="Z98" s="926">
        <f>SUM(T98:W98)</f>
        <v>808.8</v>
      </c>
      <c r="AA98" s="900">
        <v>484</v>
      </c>
      <c r="AB98" s="15">
        <v>55.2</v>
      </c>
      <c r="AC98" s="208">
        <v>0</v>
      </c>
      <c r="AD98" s="15">
        <v>0</v>
      </c>
      <c r="AE98" s="15">
        <v>0</v>
      </c>
      <c r="AF98" s="15">
        <v>0</v>
      </c>
      <c r="AG98" s="926">
        <f t="shared" si="127"/>
        <v>539.20000000000005</v>
      </c>
      <c r="AH98" s="894">
        <f t="shared" si="129"/>
        <v>1348</v>
      </c>
      <c r="AI98" s="15">
        <f t="shared" si="137"/>
        <v>1210</v>
      </c>
      <c r="AJ98" s="15">
        <f t="shared" si="137"/>
        <v>138</v>
      </c>
      <c r="AK98" s="15">
        <f t="shared" si="137"/>
        <v>0</v>
      </c>
      <c r="AL98" s="15">
        <f t="shared" si="137"/>
        <v>0</v>
      </c>
      <c r="AM98" s="15">
        <f t="shared" si="137"/>
        <v>0</v>
      </c>
      <c r="AN98" s="15"/>
      <c r="AO98" s="15">
        <f t="shared" si="141"/>
        <v>1348</v>
      </c>
      <c r="AP98" s="15">
        <f t="shared" si="142"/>
        <v>1348</v>
      </c>
      <c r="AQ98" s="15">
        <f t="shared" si="85"/>
        <v>1348</v>
      </c>
      <c r="AR98" s="127">
        <f t="shared" si="115"/>
        <v>0</v>
      </c>
      <c r="AS98" s="112">
        <f t="shared" si="140"/>
        <v>4351208.4000000004</v>
      </c>
      <c r="AT98" s="112">
        <f t="shared" si="138"/>
        <v>470172.9</v>
      </c>
      <c r="AU98" s="112">
        <f t="shared" si="138"/>
        <v>0</v>
      </c>
      <c r="AV98" s="112">
        <f t="shared" si="138"/>
        <v>0</v>
      </c>
      <c r="AW98" s="112">
        <f t="shared" si="138"/>
        <v>0</v>
      </c>
      <c r="AX98" s="112">
        <f t="shared" si="86"/>
        <v>4821381.3000000007</v>
      </c>
      <c r="AY98" s="112">
        <f t="shared" si="87"/>
        <v>4821381.3000000007</v>
      </c>
      <c r="AZ98" s="112">
        <f t="shared" si="139"/>
        <v>4510480.7</v>
      </c>
      <c r="BA98" s="112">
        <f t="shared" si="139"/>
        <v>514418.46</v>
      </c>
      <c r="BB98" s="112">
        <f t="shared" si="139"/>
        <v>0</v>
      </c>
      <c r="BC98" s="112">
        <f t="shared" si="139"/>
        <v>0</v>
      </c>
      <c r="BD98" s="112">
        <f t="shared" si="139"/>
        <v>0</v>
      </c>
      <c r="BE98" s="112">
        <f t="shared" si="88"/>
        <v>5024899.16</v>
      </c>
      <c r="BF98" s="112">
        <f t="shared" si="89"/>
        <v>5024899.16</v>
      </c>
      <c r="BG98" s="112">
        <v>0</v>
      </c>
      <c r="BH98" s="112">
        <v>0</v>
      </c>
      <c r="BI98" s="112">
        <f t="shared" si="84"/>
        <v>0</v>
      </c>
      <c r="BJ98" s="112">
        <v>5024.8999999999996</v>
      </c>
      <c r="BK98" s="112">
        <v>5309.17</v>
      </c>
      <c r="BL98" s="112">
        <f t="shared" si="93"/>
        <v>2610725.04</v>
      </c>
      <c r="BM98" s="112">
        <f t="shared" si="93"/>
        <v>282103.74</v>
      </c>
      <c r="BN98" s="112">
        <f t="shared" si="93"/>
        <v>0</v>
      </c>
      <c r="BO98" s="112">
        <f t="shared" si="93"/>
        <v>0</v>
      </c>
      <c r="BP98" s="112">
        <f t="shared" si="93"/>
        <v>0</v>
      </c>
      <c r="BQ98" s="112">
        <f t="shared" si="130"/>
        <v>2892828.7800000003</v>
      </c>
      <c r="BR98" s="112">
        <f t="shared" si="131"/>
        <v>2892828.7800000003</v>
      </c>
      <c r="BS98" s="112">
        <f t="shared" si="94"/>
        <v>1804192.28</v>
      </c>
      <c r="BT98" s="112">
        <f t="shared" si="94"/>
        <v>205767.38400000002</v>
      </c>
      <c r="BU98" s="112">
        <f t="shared" si="94"/>
        <v>0</v>
      </c>
      <c r="BV98" s="112">
        <f t="shared" si="132"/>
        <v>0</v>
      </c>
      <c r="BW98" s="112">
        <f t="shared" si="97"/>
        <v>0</v>
      </c>
      <c r="BX98" s="112">
        <f t="shared" si="133"/>
        <v>2009959.6640000001</v>
      </c>
      <c r="BY98" s="112">
        <f t="shared" si="134"/>
        <v>2009959.6640000001</v>
      </c>
      <c r="BZ98" s="113">
        <f t="shared" si="95"/>
        <v>487871.12400000001</v>
      </c>
      <c r="CA98" s="113">
        <f t="shared" si="95"/>
        <v>0</v>
      </c>
      <c r="CB98" s="113">
        <f t="shared" si="135"/>
        <v>487871.12400000001</v>
      </c>
      <c r="CC98" s="119">
        <f t="shared" si="96"/>
        <v>3535.2980000000002</v>
      </c>
      <c r="CD98" s="119" t="e">
        <f t="shared" si="96"/>
        <v>#DIV/0!</v>
      </c>
      <c r="CE98" s="119">
        <f t="shared" si="116"/>
        <v>3535.2980000000002</v>
      </c>
      <c r="CF98" s="113">
        <f t="shared" si="98"/>
        <v>3535.2980000000002</v>
      </c>
      <c r="CG98" s="619">
        <f t="shared" si="99"/>
        <v>503519.49599999998</v>
      </c>
      <c r="CH98" s="132">
        <f t="shared" si="117"/>
        <v>3648.692</v>
      </c>
      <c r="CI98" s="106"/>
      <c r="CJ98" s="208">
        <f t="shared" si="118"/>
        <v>3014.939496</v>
      </c>
      <c r="CK98" s="208">
        <f t="shared" si="100"/>
        <v>2009.9596640000002</v>
      </c>
      <c r="CL98" s="112">
        <f t="shared" si="128"/>
        <v>5024.8991599999999</v>
      </c>
      <c r="CM98" s="18">
        <f t="shared" si="119"/>
        <v>5024.8991599999999</v>
      </c>
      <c r="CN98" s="18">
        <f t="shared" si="120"/>
        <v>0</v>
      </c>
      <c r="CO98" s="112">
        <f t="shared" si="101"/>
        <v>4918436.8159999996</v>
      </c>
      <c r="CP98" s="112">
        <f t="shared" si="102"/>
        <v>4821381.3000000007</v>
      </c>
      <c r="CQ98" s="112">
        <f t="shared" si="103"/>
        <v>4821381.3000000007</v>
      </c>
      <c r="CR98" s="112">
        <f t="shared" si="104"/>
        <v>2892828.7800000003</v>
      </c>
      <c r="CS98" s="112">
        <f t="shared" si="105"/>
        <v>5024899.16</v>
      </c>
      <c r="CT98" s="112">
        <f t="shared" si="106"/>
        <v>5024899.16</v>
      </c>
      <c r="CU98" s="112">
        <f t="shared" si="107"/>
        <v>2009959.6640000001</v>
      </c>
      <c r="CV98" s="112">
        <f t="shared" si="121"/>
        <v>9846280.4600000009</v>
      </c>
      <c r="CW98" s="843">
        <f t="shared" si="122"/>
        <v>7304.3623590504458</v>
      </c>
      <c r="CX98" s="112">
        <f t="shared" si="108"/>
        <v>470172.9</v>
      </c>
      <c r="CY98" s="112">
        <f t="shared" si="109"/>
        <v>514418.46</v>
      </c>
      <c r="CZ98" s="112"/>
      <c r="DA98" s="112">
        <f t="shared" si="110"/>
        <v>4847461.92</v>
      </c>
      <c r="DB98" s="112">
        <f t="shared" si="111"/>
        <v>5024899.16</v>
      </c>
      <c r="DC98" s="106"/>
      <c r="DD98" s="128">
        <f t="shared" si="123"/>
        <v>109.41048707826417</v>
      </c>
      <c r="DE98" s="106"/>
      <c r="DF98" s="106"/>
      <c r="DG98" s="106"/>
      <c r="DH98" s="112">
        <v>1348</v>
      </c>
      <c r="DI98" s="797">
        <v>138</v>
      </c>
      <c r="DJ98" s="797">
        <f t="shared" si="124"/>
        <v>1210</v>
      </c>
      <c r="DK98" s="106"/>
      <c r="DL98" s="618">
        <f t="shared" si="112"/>
        <v>0</v>
      </c>
      <c r="DM98" s="618">
        <f t="shared" si="113"/>
        <v>0</v>
      </c>
      <c r="DN98" s="618">
        <f t="shared" si="114"/>
        <v>0</v>
      </c>
      <c r="DO98" s="106"/>
    </row>
    <row r="99" spans="1:119" customFormat="1" ht="100.5" customHeight="1">
      <c r="A99" s="781">
        <f t="shared" si="125"/>
        <v>85</v>
      </c>
      <c r="B99" s="782" t="s">
        <v>34</v>
      </c>
      <c r="C99" s="782" t="s">
        <v>66</v>
      </c>
      <c r="D99" s="783" t="s">
        <v>35</v>
      </c>
      <c r="E99" s="783">
        <v>4623002116</v>
      </c>
      <c r="F99" s="783" t="s">
        <v>8</v>
      </c>
      <c r="G99" s="851" t="s">
        <v>939</v>
      </c>
      <c r="H99" s="883">
        <v>3193.85</v>
      </c>
      <c r="I99" s="831">
        <v>3193.85</v>
      </c>
      <c r="J99" s="831">
        <v>3193.85</v>
      </c>
      <c r="K99" s="831"/>
      <c r="L99" s="831">
        <v>3193.85</v>
      </c>
      <c r="M99" s="884"/>
      <c r="N99" s="860">
        <v>3470.07</v>
      </c>
      <c r="O99" s="785">
        <v>3470.07</v>
      </c>
      <c r="P99" s="785">
        <v>3470.07</v>
      </c>
      <c r="Q99" s="785">
        <v>0</v>
      </c>
      <c r="R99" s="785">
        <v>3470.07</v>
      </c>
      <c r="S99" s="920">
        <v>0</v>
      </c>
      <c r="T99" s="1258">
        <f>Z99-U99-V99-W99</f>
        <v>2549.1</v>
      </c>
      <c r="U99" s="797">
        <v>24.8</v>
      </c>
      <c r="V99" s="797">
        <v>0</v>
      </c>
      <c r="W99" s="797">
        <v>30.2</v>
      </c>
      <c r="X99" s="797"/>
      <c r="Y99" s="797"/>
      <c r="Z99" s="945">
        <v>2604.1</v>
      </c>
      <c r="AA99" s="1258">
        <f>AG99-AB99-AC99-AD99</f>
        <v>1640.7</v>
      </c>
      <c r="AB99" s="797">
        <v>18.7</v>
      </c>
      <c r="AC99" s="797">
        <v>0</v>
      </c>
      <c r="AD99" s="797">
        <v>26.8</v>
      </c>
      <c r="AE99" s="797"/>
      <c r="AF99" s="797">
        <v>0</v>
      </c>
      <c r="AG99" s="945">
        <v>1686.2</v>
      </c>
      <c r="AH99" s="955">
        <f t="shared" si="129"/>
        <v>4290.3</v>
      </c>
      <c r="AI99" s="797">
        <f t="shared" si="137"/>
        <v>4189.8</v>
      </c>
      <c r="AJ99" s="797">
        <f t="shared" si="137"/>
        <v>43.5</v>
      </c>
      <c r="AK99" s="797">
        <f t="shared" si="137"/>
        <v>0</v>
      </c>
      <c r="AL99" s="797">
        <f t="shared" si="137"/>
        <v>57</v>
      </c>
      <c r="AM99" s="797">
        <f t="shared" si="137"/>
        <v>0</v>
      </c>
      <c r="AN99" s="797"/>
      <c r="AO99" s="797">
        <f t="shared" si="141"/>
        <v>4290.3</v>
      </c>
      <c r="AP99" s="797">
        <f t="shared" si="142"/>
        <v>4290.3</v>
      </c>
      <c r="AQ99" s="799">
        <f t="shared" si="85"/>
        <v>4290.3</v>
      </c>
      <c r="AR99" s="787">
        <f t="shared" si="115"/>
        <v>0</v>
      </c>
      <c r="AS99" s="786">
        <f t="shared" si="140"/>
        <v>13381592.73</v>
      </c>
      <c r="AT99" s="786">
        <f t="shared" si="138"/>
        <v>138932.47500000001</v>
      </c>
      <c r="AU99" s="786">
        <f t="shared" si="138"/>
        <v>0</v>
      </c>
      <c r="AV99" s="786">
        <f t="shared" si="138"/>
        <v>182049.44999999998</v>
      </c>
      <c r="AW99" s="786">
        <f t="shared" si="138"/>
        <v>0</v>
      </c>
      <c r="AX99" s="786">
        <f t="shared" si="86"/>
        <v>13702574.654999999</v>
      </c>
      <c r="AY99" s="786">
        <f t="shared" si="87"/>
        <v>13702574.654999999</v>
      </c>
      <c r="AZ99" s="786">
        <f t="shared" si="139"/>
        <v>14538899.286000002</v>
      </c>
      <c r="BA99" s="786">
        <f t="shared" si="139"/>
        <v>150948.04500000001</v>
      </c>
      <c r="BB99" s="786">
        <f t="shared" si="139"/>
        <v>0</v>
      </c>
      <c r="BC99" s="786">
        <f t="shared" si="139"/>
        <v>197793.99000000002</v>
      </c>
      <c r="BD99" s="786">
        <f t="shared" si="139"/>
        <v>0</v>
      </c>
      <c r="BE99" s="786">
        <f t="shared" si="88"/>
        <v>14887641.321000002</v>
      </c>
      <c r="BF99" s="786">
        <f t="shared" si="89"/>
        <v>14887641.321000002</v>
      </c>
      <c r="BG99" s="786">
        <v>0</v>
      </c>
      <c r="BH99" s="786">
        <v>0</v>
      </c>
      <c r="BI99" s="786">
        <f t="shared" si="84"/>
        <v>0</v>
      </c>
      <c r="BJ99" s="786">
        <v>29382.12</v>
      </c>
      <c r="BK99" s="786">
        <v>30422.560000000001</v>
      </c>
      <c r="BL99" s="786">
        <f t="shared" si="93"/>
        <v>8141443.0349999992</v>
      </c>
      <c r="BM99" s="786">
        <f t="shared" si="93"/>
        <v>79207.48</v>
      </c>
      <c r="BN99" s="786">
        <f t="shared" si="93"/>
        <v>0</v>
      </c>
      <c r="BO99" s="786">
        <f t="shared" si="93"/>
        <v>96454.26999999999</v>
      </c>
      <c r="BP99" s="786">
        <f t="shared" si="93"/>
        <v>0</v>
      </c>
      <c r="BQ99" s="786">
        <f t="shared" si="130"/>
        <v>8317104.7849999992</v>
      </c>
      <c r="BR99" s="786">
        <f t="shared" si="131"/>
        <v>8317104.7849999992</v>
      </c>
      <c r="BS99" s="786">
        <f t="shared" si="94"/>
        <v>5693343.8490000004</v>
      </c>
      <c r="BT99" s="786">
        <f t="shared" si="94"/>
        <v>64890.309000000001</v>
      </c>
      <c r="BU99" s="786">
        <f t="shared" si="94"/>
        <v>0</v>
      </c>
      <c r="BV99" s="786">
        <f t="shared" si="132"/>
        <v>104796.114</v>
      </c>
      <c r="BW99" s="786">
        <f t="shared" si="97"/>
        <v>0</v>
      </c>
      <c r="BX99" s="786">
        <f t="shared" si="133"/>
        <v>5863030.2720000008</v>
      </c>
      <c r="BY99" s="786">
        <f t="shared" si="134"/>
        <v>5863030.2720000008</v>
      </c>
      <c r="BZ99" s="788">
        <f t="shared" si="95"/>
        <v>144097.78899999999</v>
      </c>
      <c r="CA99" s="788">
        <f t="shared" si="95"/>
        <v>0</v>
      </c>
      <c r="CB99" s="788">
        <f t="shared" si="135"/>
        <v>144097.78899999999</v>
      </c>
      <c r="CC99" s="789">
        <f t="shared" si="96"/>
        <v>3312.5928505747124</v>
      </c>
      <c r="CD99" s="789" t="e">
        <f t="shared" si="96"/>
        <v>#DIV/0!</v>
      </c>
      <c r="CE99" s="789">
        <f t="shared" si="116"/>
        <v>3312.5928505747124</v>
      </c>
      <c r="CF99" s="789">
        <f t="shared" si="98"/>
        <v>3312.5928505747124</v>
      </c>
      <c r="CG99" s="790">
        <f t="shared" si="99"/>
        <v>144097.78899999999</v>
      </c>
      <c r="CH99" s="791">
        <f t="shared" si="117"/>
        <v>3312.5928505747124</v>
      </c>
      <c r="CJ99" s="208">
        <f t="shared" si="118"/>
        <v>9036.4092870000004</v>
      </c>
      <c r="CK99" s="208">
        <f t="shared" si="100"/>
        <v>5851.2320339999997</v>
      </c>
      <c r="CL99" s="786">
        <f t="shared" si="128"/>
        <v>14887.641320999999</v>
      </c>
      <c r="CM99" s="18">
        <f t="shared" si="119"/>
        <v>14887.641321000001</v>
      </c>
      <c r="CN99" s="18">
        <f t="shared" si="120"/>
        <v>0</v>
      </c>
      <c r="CO99" s="786">
        <f t="shared" si="101"/>
        <v>14168336.818999998</v>
      </c>
      <c r="CP99" s="786">
        <f t="shared" si="102"/>
        <v>13702574.654999999</v>
      </c>
      <c r="CQ99" s="786">
        <f t="shared" si="103"/>
        <v>13702574.654999999</v>
      </c>
      <c r="CR99" s="786">
        <f t="shared" si="104"/>
        <v>8317104.7849999992</v>
      </c>
      <c r="CS99" s="786">
        <f t="shared" si="105"/>
        <v>14887641.321000002</v>
      </c>
      <c r="CT99" s="786">
        <f t="shared" si="106"/>
        <v>14887641.321000002</v>
      </c>
      <c r="CU99" s="786">
        <f t="shared" si="107"/>
        <v>5851232.0340000009</v>
      </c>
      <c r="CV99" s="786">
        <f t="shared" si="121"/>
        <v>28590215.976000004</v>
      </c>
      <c r="CW99" s="843">
        <f t="shared" si="122"/>
        <v>6663.920000000001</v>
      </c>
      <c r="CX99" s="786">
        <f t="shared" si="108"/>
        <v>138932.47500000001</v>
      </c>
      <c r="CY99" s="786">
        <f t="shared" si="109"/>
        <v>150948.04500000001</v>
      </c>
      <c r="CZ99" s="786"/>
      <c r="DA99" s="786">
        <f t="shared" si="110"/>
        <v>13702574.654999999</v>
      </c>
      <c r="DB99" s="786">
        <f t="shared" si="111"/>
        <v>14887641.321000002</v>
      </c>
      <c r="DD99" s="794">
        <f t="shared" si="123"/>
        <v>108.64849632888208</v>
      </c>
      <c r="DH99" s="786">
        <v>4287</v>
      </c>
      <c r="DI99" s="797">
        <v>43.5</v>
      </c>
      <c r="DJ99" s="797">
        <f t="shared" si="124"/>
        <v>4243.5</v>
      </c>
      <c r="DL99" s="795">
        <f t="shared" si="112"/>
        <v>0</v>
      </c>
      <c r="DM99" s="795">
        <f t="shared" si="113"/>
        <v>0</v>
      </c>
      <c r="DN99" s="795">
        <f t="shared" si="114"/>
        <v>0</v>
      </c>
    </row>
    <row r="100" spans="1:119" customFormat="1" ht="100.5" customHeight="1">
      <c r="A100" s="781"/>
      <c r="B100" s="782" t="s">
        <v>34</v>
      </c>
      <c r="C100" s="782" t="s">
        <v>913</v>
      </c>
      <c r="D100" s="783" t="s">
        <v>35</v>
      </c>
      <c r="E100" s="783">
        <v>4623002116</v>
      </c>
      <c r="F100" s="783" t="s">
        <v>8</v>
      </c>
      <c r="G100" s="851" t="s">
        <v>939</v>
      </c>
      <c r="H100" s="885">
        <v>3193.85</v>
      </c>
      <c r="I100" s="832">
        <v>3193.85</v>
      </c>
      <c r="J100" s="832">
        <v>3193.85</v>
      </c>
      <c r="K100" s="832"/>
      <c r="L100" s="832">
        <v>3193.85</v>
      </c>
      <c r="M100" s="886"/>
      <c r="N100" s="861">
        <v>3470.07</v>
      </c>
      <c r="O100" s="796">
        <v>3470.07</v>
      </c>
      <c r="P100" s="796">
        <v>0</v>
      </c>
      <c r="Q100" s="796">
        <v>0</v>
      </c>
      <c r="R100" s="796">
        <v>0</v>
      </c>
      <c r="S100" s="921">
        <v>0</v>
      </c>
      <c r="T100" s="944">
        <v>1669.1</v>
      </c>
      <c r="U100" s="797">
        <v>0</v>
      </c>
      <c r="V100" s="797">
        <v>0</v>
      </c>
      <c r="W100" s="797">
        <v>0</v>
      </c>
      <c r="X100" s="797"/>
      <c r="Y100" s="797"/>
      <c r="Z100" s="945">
        <f t="shared" si="126"/>
        <v>1669.1</v>
      </c>
      <c r="AA100" s="905">
        <v>1232.5999999999999</v>
      </c>
      <c r="AB100" s="797">
        <v>0</v>
      </c>
      <c r="AC100" s="797">
        <v>0</v>
      </c>
      <c r="AD100" s="797">
        <v>0</v>
      </c>
      <c r="AE100" s="797">
        <v>0</v>
      </c>
      <c r="AF100" s="797"/>
      <c r="AG100" s="945">
        <f t="shared" si="127"/>
        <v>1232.5999999999999</v>
      </c>
      <c r="AH100" s="955">
        <f t="shared" si="129"/>
        <v>2901.7</v>
      </c>
      <c r="AI100" s="797">
        <f t="shared" si="137"/>
        <v>2901.7</v>
      </c>
      <c r="AJ100" s="797">
        <f t="shared" si="137"/>
        <v>0</v>
      </c>
      <c r="AK100" s="797">
        <f t="shared" si="137"/>
        <v>0</v>
      </c>
      <c r="AL100" s="797">
        <f t="shared" si="137"/>
        <v>0</v>
      </c>
      <c r="AM100" s="797">
        <f t="shared" si="137"/>
        <v>0</v>
      </c>
      <c r="AN100" s="797"/>
      <c r="AO100" s="797">
        <f>SUM(AI100:AN100)</f>
        <v>2901.7</v>
      </c>
      <c r="AP100" s="797">
        <f t="shared" si="142"/>
        <v>2901.7</v>
      </c>
      <c r="AQ100" s="799">
        <f>SUM(AI100:AL100)</f>
        <v>2901.7</v>
      </c>
      <c r="AR100" s="787"/>
      <c r="AS100" s="786">
        <f t="shared" si="140"/>
        <v>9267594.5449999999</v>
      </c>
      <c r="AT100" s="786"/>
      <c r="AU100" s="786"/>
      <c r="AV100" s="786"/>
      <c r="AW100" s="786"/>
      <c r="AX100" s="786"/>
      <c r="AY100" s="786"/>
      <c r="AZ100" s="786">
        <f t="shared" si="139"/>
        <v>10069102.118999999</v>
      </c>
      <c r="BA100" s="786"/>
      <c r="BB100" s="786"/>
      <c r="BC100" s="786"/>
      <c r="BD100" s="786"/>
      <c r="BE100" s="786"/>
      <c r="BF100" s="786"/>
      <c r="BG100" s="786"/>
      <c r="BH100" s="786"/>
      <c r="BI100" s="786"/>
      <c r="BJ100" s="786"/>
      <c r="BK100" s="786"/>
      <c r="BL100" s="786">
        <f t="shared" si="93"/>
        <v>5330855.0349999992</v>
      </c>
      <c r="BM100" s="786"/>
      <c r="BN100" s="786"/>
      <c r="BO100" s="786"/>
      <c r="BP100" s="786"/>
      <c r="BQ100" s="786"/>
      <c r="BR100" s="786"/>
      <c r="BS100" s="786">
        <f t="shared" si="94"/>
        <v>4277208.2819999997</v>
      </c>
      <c r="BT100" s="786"/>
      <c r="BU100" s="786"/>
      <c r="BV100" s="786"/>
      <c r="BW100" s="786"/>
      <c r="BX100" s="786"/>
      <c r="BY100" s="786"/>
      <c r="BZ100" s="788"/>
      <c r="CA100" s="788"/>
      <c r="CB100" s="788"/>
      <c r="CC100" s="789"/>
      <c r="CD100" s="789"/>
      <c r="CE100" s="789"/>
      <c r="CF100" s="789"/>
      <c r="CG100" s="790"/>
      <c r="CH100" s="791"/>
      <c r="CJ100" s="208">
        <f t="shared" si="118"/>
        <v>5791.8938370000005</v>
      </c>
      <c r="CK100" s="208">
        <f t="shared" si="100"/>
        <v>4277.2082819999996</v>
      </c>
      <c r="CL100" s="786">
        <f>CJ100+CK100</f>
        <v>10069.102118999999</v>
      </c>
      <c r="CM100" s="18">
        <f t="shared" si="119"/>
        <v>10069.102118999999</v>
      </c>
      <c r="CN100" s="18">
        <f t="shared" si="120"/>
        <v>0</v>
      </c>
      <c r="CO100" s="786"/>
      <c r="CP100" s="786"/>
      <c r="CQ100" s="786"/>
      <c r="CR100" s="786"/>
      <c r="CS100" s="786"/>
      <c r="CT100" s="786"/>
      <c r="CU100" s="786"/>
      <c r="CV100" s="786"/>
      <c r="CW100" s="843">
        <f t="shared" si="122"/>
        <v>0</v>
      </c>
      <c r="CX100" s="786"/>
      <c r="CY100" s="786"/>
      <c r="CZ100" s="786"/>
      <c r="DA100" s="786"/>
      <c r="DB100" s="786"/>
      <c r="DD100" s="794"/>
      <c r="DH100" s="786">
        <v>2901.7</v>
      </c>
      <c r="DI100" s="797">
        <v>0</v>
      </c>
      <c r="DJ100" s="797">
        <f t="shared" si="124"/>
        <v>2901.7</v>
      </c>
      <c r="DL100" s="795"/>
      <c r="DM100" s="795"/>
      <c r="DN100" s="795"/>
    </row>
    <row r="101" spans="1:119" customFormat="1" ht="100.5" customHeight="1">
      <c r="A101" s="781"/>
      <c r="B101" s="782" t="s">
        <v>34</v>
      </c>
      <c r="C101" s="782" t="s">
        <v>912</v>
      </c>
      <c r="D101" s="783" t="s">
        <v>35</v>
      </c>
      <c r="E101" s="783">
        <v>4623002116</v>
      </c>
      <c r="F101" s="783" t="s">
        <v>8</v>
      </c>
      <c r="G101" s="851" t="s">
        <v>939</v>
      </c>
      <c r="H101" s="885">
        <v>3193.85</v>
      </c>
      <c r="I101" s="832">
        <v>3193.85</v>
      </c>
      <c r="J101" s="832">
        <v>3193.85</v>
      </c>
      <c r="K101" s="832"/>
      <c r="L101" s="832">
        <v>3193.85</v>
      </c>
      <c r="M101" s="886"/>
      <c r="N101" s="861">
        <v>3470.07</v>
      </c>
      <c r="O101" s="796">
        <v>3470.07</v>
      </c>
      <c r="P101" s="796">
        <v>0</v>
      </c>
      <c r="Q101" s="796">
        <v>0</v>
      </c>
      <c r="R101" s="796">
        <v>0</v>
      </c>
      <c r="S101" s="921">
        <v>0</v>
      </c>
      <c r="T101" s="944">
        <v>637.6</v>
      </c>
      <c r="U101" s="797">
        <v>0</v>
      </c>
      <c r="V101" s="797">
        <v>0</v>
      </c>
      <c r="W101" s="797">
        <v>0</v>
      </c>
      <c r="X101" s="797"/>
      <c r="Y101" s="797"/>
      <c r="Z101" s="945">
        <f t="shared" si="126"/>
        <v>637.6</v>
      </c>
      <c r="AA101" s="905">
        <v>637.70000000000005</v>
      </c>
      <c r="AB101" s="797">
        <v>0</v>
      </c>
      <c r="AC101" s="797">
        <v>0</v>
      </c>
      <c r="AD101" s="797">
        <v>0</v>
      </c>
      <c r="AE101" s="797"/>
      <c r="AF101" s="797"/>
      <c r="AG101" s="945">
        <f t="shared" si="127"/>
        <v>637.70000000000005</v>
      </c>
      <c r="AH101" s="955">
        <f t="shared" si="129"/>
        <v>1275.3000000000002</v>
      </c>
      <c r="AI101" s="797">
        <f t="shared" si="137"/>
        <v>1275.3000000000002</v>
      </c>
      <c r="AJ101" s="797">
        <f t="shared" si="137"/>
        <v>0</v>
      </c>
      <c r="AK101" s="797">
        <f t="shared" si="137"/>
        <v>0</v>
      </c>
      <c r="AL101" s="797">
        <f t="shared" si="137"/>
        <v>0</v>
      </c>
      <c r="AM101" s="797">
        <f t="shared" si="137"/>
        <v>0</v>
      </c>
      <c r="AN101" s="797"/>
      <c r="AO101" s="797">
        <f>SUM(AI101:AN101)</f>
        <v>1275.3000000000002</v>
      </c>
      <c r="AP101" s="797">
        <f t="shared" si="142"/>
        <v>1275.3000000000002</v>
      </c>
      <c r="AQ101" s="799">
        <f>SUM(AI101:AL101)</f>
        <v>1275.3000000000002</v>
      </c>
      <c r="AR101" s="787"/>
      <c r="AS101" s="786"/>
      <c r="AT101" s="786"/>
      <c r="AU101" s="786"/>
      <c r="AV101" s="786"/>
      <c r="AW101" s="786"/>
      <c r="AX101" s="786"/>
      <c r="AY101" s="786"/>
      <c r="AZ101" s="786"/>
      <c r="BA101" s="786"/>
      <c r="BB101" s="786"/>
      <c r="BC101" s="786"/>
      <c r="BD101" s="786"/>
      <c r="BE101" s="786"/>
      <c r="BF101" s="786"/>
      <c r="BG101" s="786"/>
      <c r="BH101" s="786"/>
      <c r="BI101" s="786"/>
      <c r="BJ101" s="786"/>
      <c r="BK101" s="786"/>
      <c r="BL101" s="786"/>
      <c r="BM101" s="786"/>
      <c r="BN101" s="786"/>
      <c r="BO101" s="786"/>
      <c r="BP101" s="786"/>
      <c r="BQ101" s="786"/>
      <c r="BR101" s="786"/>
      <c r="BS101" s="786"/>
      <c r="BT101" s="786"/>
      <c r="BU101" s="786"/>
      <c r="BV101" s="786"/>
      <c r="BW101" s="786"/>
      <c r="BX101" s="786"/>
      <c r="BY101" s="786"/>
      <c r="BZ101" s="788"/>
      <c r="CA101" s="788"/>
      <c r="CB101" s="788"/>
      <c r="CC101" s="789"/>
      <c r="CD101" s="789"/>
      <c r="CE101" s="789"/>
      <c r="CF101" s="789"/>
      <c r="CG101" s="790"/>
      <c r="CH101" s="791"/>
      <c r="CJ101" s="208">
        <f t="shared" si="118"/>
        <v>2212.5166320000003</v>
      </c>
      <c r="CK101" s="208">
        <f t="shared" si="100"/>
        <v>2212.8636390000006</v>
      </c>
      <c r="CL101" s="786">
        <f>CJ101+CK101</f>
        <v>4425.3802710000009</v>
      </c>
      <c r="CM101" s="18">
        <f t="shared" si="119"/>
        <v>4425.3802710000009</v>
      </c>
      <c r="CN101" s="18">
        <f t="shared" si="120"/>
        <v>0</v>
      </c>
      <c r="CO101" s="786"/>
      <c r="CP101" s="786"/>
      <c r="CQ101" s="786"/>
      <c r="CR101" s="786"/>
      <c r="CS101" s="786"/>
      <c r="CT101" s="786"/>
      <c r="CU101" s="786"/>
      <c r="CV101" s="786"/>
      <c r="CW101" s="843">
        <f t="shared" si="122"/>
        <v>0</v>
      </c>
      <c r="CX101" s="786"/>
      <c r="CY101" s="786"/>
      <c r="CZ101" s="786"/>
      <c r="DA101" s="786"/>
      <c r="DB101" s="786"/>
      <c r="DD101" s="794"/>
      <c r="DH101" s="786">
        <v>1278.5999999999999</v>
      </c>
      <c r="DI101" s="797">
        <v>0</v>
      </c>
      <c r="DJ101" s="797">
        <f t="shared" si="124"/>
        <v>1278.5999999999999</v>
      </c>
      <c r="DL101" s="795"/>
      <c r="DM101" s="795"/>
      <c r="DN101" s="795"/>
    </row>
    <row r="102" spans="1:119" customFormat="1" ht="100.5" customHeight="1">
      <c r="A102" s="20">
        <f>A99+1</f>
        <v>86</v>
      </c>
      <c r="B102" s="22" t="s">
        <v>36</v>
      </c>
      <c r="C102" s="1285" t="s">
        <v>119</v>
      </c>
      <c r="D102" s="967" t="s">
        <v>146</v>
      </c>
      <c r="E102" s="617">
        <v>4632024035</v>
      </c>
      <c r="F102" s="1280" t="s">
        <v>8</v>
      </c>
      <c r="G102" s="1245" t="s">
        <v>956</v>
      </c>
      <c r="H102" s="866">
        <v>3299.1600000000003</v>
      </c>
      <c r="I102" s="825">
        <v>3299.1600000000003</v>
      </c>
      <c r="J102" s="756">
        <v>2239.86</v>
      </c>
      <c r="K102" s="756"/>
      <c r="L102" s="872">
        <v>3299.1600000000003</v>
      </c>
      <c r="M102" s="873"/>
      <c r="N102" s="1207">
        <f>2762.47*1.2</f>
        <v>3314.9639999999995</v>
      </c>
      <c r="O102" s="1208">
        <f>N102</f>
        <v>3314.9639999999995</v>
      </c>
      <c r="P102" s="964">
        <v>2484</v>
      </c>
      <c r="Q102" s="964"/>
      <c r="R102" s="1208">
        <f>O102</f>
        <v>3314.9639999999995</v>
      </c>
      <c r="S102" s="913"/>
      <c r="T102" s="985">
        <v>2218.8386602584319</v>
      </c>
      <c r="U102" s="986">
        <v>60.482060283123431</v>
      </c>
      <c r="V102" s="977"/>
      <c r="W102" s="974"/>
      <c r="X102" s="974"/>
      <c r="Y102" s="974"/>
      <c r="Z102" s="978">
        <f t="shared" si="126"/>
        <v>2279.3207205415551</v>
      </c>
      <c r="AA102" s="975">
        <v>1288.442351512115</v>
      </c>
      <c r="AB102" s="974">
        <v>45.36154521234257</v>
      </c>
      <c r="AC102" s="227"/>
      <c r="AD102" s="16"/>
      <c r="AE102" s="16"/>
      <c r="AF102" s="16"/>
      <c r="AG102" s="930">
        <f t="shared" si="127"/>
        <v>1333.8038967244577</v>
      </c>
      <c r="AH102" s="898">
        <f t="shared" si="129"/>
        <v>3613.124617266013</v>
      </c>
      <c r="AI102" s="16">
        <f t="shared" si="137"/>
        <v>3507.2810117705467</v>
      </c>
      <c r="AJ102" s="16">
        <f t="shared" si="137"/>
        <v>105.84360549546599</v>
      </c>
      <c r="AK102" s="16">
        <f t="shared" si="137"/>
        <v>0</v>
      </c>
      <c r="AL102" s="16">
        <f t="shared" si="137"/>
        <v>0</v>
      </c>
      <c r="AM102" s="16">
        <f t="shared" si="137"/>
        <v>0</v>
      </c>
      <c r="AN102" s="16"/>
      <c r="AO102" s="16">
        <f t="shared" si="141"/>
        <v>3613.1246172660126</v>
      </c>
      <c r="AP102" s="16">
        <f t="shared" si="142"/>
        <v>3613.1246172660126</v>
      </c>
      <c r="AQ102" s="16">
        <f t="shared" si="85"/>
        <v>3613.1246172660126</v>
      </c>
      <c r="AR102" s="127">
        <f t="shared" si="115"/>
        <v>0</v>
      </c>
      <c r="AS102" s="112">
        <f t="shared" ref="AS102:AS121" si="143">I102*AI102</f>
        <v>11571081.222792918</v>
      </c>
      <c r="AT102" s="112">
        <f t="shared" si="138"/>
        <v>237074.85820507447</v>
      </c>
      <c r="AU102" s="112">
        <f t="shared" si="138"/>
        <v>0</v>
      </c>
      <c r="AV102" s="112">
        <f t="shared" si="138"/>
        <v>0</v>
      </c>
      <c r="AW102" s="112">
        <f t="shared" si="138"/>
        <v>0</v>
      </c>
      <c r="AX102" s="112">
        <f t="shared" si="86"/>
        <v>11808156.080997992</v>
      </c>
      <c r="AY102" s="112">
        <f t="shared" si="87"/>
        <v>11808156.080997992</v>
      </c>
      <c r="AZ102" s="112">
        <f t="shared" si="139"/>
        <v>11626510.291902937</v>
      </c>
      <c r="BA102" s="112">
        <f t="shared" si="139"/>
        <v>262915.51605073753</v>
      </c>
      <c r="BB102" s="112">
        <f t="shared" si="139"/>
        <v>0</v>
      </c>
      <c r="BC102" s="112">
        <f t="shared" si="139"/>
        <v>0</v>
      </c>
      <c r="BD102" s="112">
        <f t="shared" si="139"/>
        <v>0</v>
      </c>
      <c r="BE102" s="112">
        <f t="shared" si="88"/>
        <v>11889425.807953674</v>
      </c>
      <c r="BF102" s="112">
        <f t="shared" si="89"/>
        <v>11889425.807953674</v>
      </c>
      <c r="BG102" s="623">
        <f>(O102-P102)/1.2*U102/1000</f>
        <v>41.882012284254458</v>
      </c>
      <c r="BH102" s="624">
        <f>(O102-P102)/1.2*AB102/1000</f>
        <v>31.41150921319084</v>
      </c>
      <c r="BI102" s="623">
        <f t="shared" si="84"/>
        <v>73.293521497445298</v>
      </c>
      <c r="BJ102" s="169"/>
      <c r="BK102" s="169"/>
      <c r="BL102" s="112">
        <f t="shared" si="93"/>
        <v>7320303.7543782089</v>
      </c>
      <c r="BM102" s="112">
        <f t="shared" si="93"/>
        <v>135471.34754575684</v>
      </c>
      <c r="BN102" s="112">
        <f t="shared" si="93"/>
        <v>0</v>
      </c>
      <c r="BO102" s="112">
        <f t="shared" si="93"/>
        <v>0</v>
      </c>
      <c r="BP102" s="112">
        <f t="shared" si="93"/>
        <v>0</v>
      </c>
      <c r="BQ102" s="112">
        <f t="shared" si="130"/>
        <v>7455775.1019239658</v>
      </c>
      <c r="BR102" s="112">
        <f t="shared" si="131"/>
        <v>7455775.1019239658</v>
      </c>
      <c r="BS102" s="112">
        <f t="shared" si="94"/>
        <v>4271140.0113380058</v>
      </c>
      <c r="BT102" s="112">
        <f t="shared" si="94"/>
        <v>112678.07830745894</v>
      </c>
      <c r="BU102" s="112">
        <f t="shared" si="94"/>
        <v>0</v>
      </c>
      <c r="BV102" s="112">
        <f t="shared" si="132"/>
        <v>0</v>
      </c>
      <c r="BW102" s="112">
        <f t="shared" si="97"/>
        <v>0</v>
      </c>
      <c r="BX102" s="112">
        <f t="shared" si="133"/>
        <v>4383818.0896454649</v>
      </c>
      <c r="BY102" s="112">
        <f t="shared" si="134"/>
        <v>4383818.0896454649</v>
      </c>
      <c r="BZ102" s="113">
        <f t="shared" si="95"/>
        <v>248149.4258532158</v>
      </c>
      <c r="CA102" s="113">
        <f t="shared" si="95"/>
        <v>0</v>
      </c>
      <c r="CB102" s="113">
        <f t="shared" si="135"/>
        <v>248149.4258532158</v>
      </c>
      <c r="CC102" s="119">
        <f t="shared" si="96"/>
        <v>2344.491428571429</v>
      </c>
      <c r="CD102" s="119" t="e">
        <f t="shared" si="96"/>
        <v>#DIV/0!</v>
      </c>
      <c r="CE102" s="119">
        <f t="shared" si="116"/>
        <v>2344.491428571429</v>
      </c>
      <c r="CF102" s="119">
        <f t="shared" si="98"/>
        <v>2344.491428571429</v>
      </c>
      <c r="CG102" s="619">
        <f t="shared" si="99"/>
        <v>349911.88336695742</v>
      </c>
      <c r="CH102" s="132">
        <f t="shared" si="117"/>
        <v>3305.9331428571427</v>
      </c>
      <c r="CI102" s="625"/>
      <c r="CJ102" s="208">
        <f t="shared" si="118"/>
        <v>7555.8661330493151</v>
      </c>
      <c r="CK102" s="208">
        <f t="shared" si="100"/>
        <v>4421.5119007012945</v>
      </c>
      <c r="CL102" s="208">
        <f t="shared" si="128"/>
        <v>11977.37803375061</v>
      </c>
      <c r="CM102" s="18">
        <f t="shared" si="119"/>
        <v>11977.37803375061</v>
      </c>
      <c r="CN102" s="18">
        <f t="shared" si="120"/>
        <v>0</v>
      </c>
      <c r="CO102" s="112">
        <f t="shared" si="101"/>
        <v>11941355.649083171</v>
      </c>
      <c r="CP102" s="112">
        <f t="shared" si="102"/>
        <v>11808156.080997992</v>
      </c>
      <c r="CQ102" s="112">
        <f t="shared" si="103"/>
        <v>11808156.080997992</v>
      </c>
      <c r="CR102" s="112">
        <f t="shared" si="104"/>
        <v>7455775.1019239658</v>
      </c>
      <c r="CS102" s="112">
        <f t="shared" si="105"/>
        <v>11889425.807953674</v>
      </c>
      <c r="CT102" s="112">
        <f t="shared" si="106"/>
        <v>11889425.807953674</v>
      </c>
      <c r="CU102" s="112">
        <f t="shared" si="107"/>
        <v>4383818.0896454649</v>
      </c>
      <c r="CV102" s="112">
        <f t="shared" si="121"/>
        <v>23697581.888951667</v>
      </c>
      <c r="CW102" s="843">
        <f t="shared" si="122"/>
        <v>6558.7502229256634</v>
      </c>
      <c r="CX102" s="112">
        <f t="shared" si="108"/>
        <v>237074.85820507447</v>
      </c>
      <c r="CY102" s="112">
        <f t="shared" si="109"/>
        <v>262915.51605073753</v>
      </c>
      <c r="CZ102" s="112"/>
      <c r="DA102" s="112">
        <f t="shared" si="110"/>
        <v>11920276.212299339</v>
      </c>
      <c r="DB102" s="112">
        <f t="shared" si="111"/>
        <v>11977378.033750609</v>
      </c>
      <c r="DC102" s="625"/>
      <c r="DD102" s="128">
        <f t="shared" si="123"/>
        <v>147.99871420535209</v>
      </c>
      <c r="DE102" s="625"/>
      <c r="DF102" s="625"/>
      <c r="DG102" s="625"/>
      <c r="DH102" s="797">
        <v>3727.7</v>
      </c>
      <c r="DI102" s="797">
        <v>109.19999999999999</v>
      </c>
      <c r="DJ102" s="797">
        <f t="shared" si="124"/>
        <v>3618.5</v>
      </c>
      <c r="DK102" s="625"/>
      <c r="DL102" s="618">
        <f t="shared" si="112"/>
        <v>0</v>
      </c>
      <c r="DM102" s="618">
        <f t="shared" si="113"/>
        <v>0</v>
      </c>
      <c r="DN102" s="618">
        <f t="shared" si="114"/>
        <v>0</v>
      </c>
      <c r="DO102" s="123"/>
    </row>
    <row r="103" spans="1:119" customFormat="1" ht="100.5" customHeight="1">
      <c r="A103" s="20">
        <f t="shared" si="125"/>
        <v>87</v>
      </c>
      <c r="B103" s="1278" t="s">
        <v>37</v>
      </c>
      <c r="C103" s="1285" t="s">
        <v>61</v>
      </c>
      <c r="D103" s="967" t="s">
        <v>146</v>
      </c>
      <c r="E103" s="617">
        <v>4632024035</v>
      </c>
      <c r="F103" s="1280" t="s">
        <v>8</v>
      </c>
      <c r="G103" s="1245" t="s">
        <v>956</v>
      </c>
      <c r="H103" s="866">
        <v>3299.1600000000003</v>
      </c>
      <c r="I103" s="825">
        <v>3299.1600000000003</v>
      </c>
      <c r="J103" s="756"/>
      <c r="K103" s="756"/>
      <c r="L103" s="872">
        <v>3299.1600000000003</v>
      </c>
      <c r="M103" s="867"/>
      <c r="N103" s="1207">
        <f>2762.47*1.2</f>
        <v>3314.9639999999995</v>
      </c>
      <c r="O103" s="1208">
        <f>N103</f>
        <v>3314.9639999999995</v>
      </c>
      <c r="P103" s="963"/>
      <c r="Q103" s="963"/>
      <c r="R103" s="1208">
        <f>O103</f>
        <v>3314.9639999999995</v>
      </c>
      <c r="S103" s="910"/>
      <c r="T103" s="973">
        <v>665.28133931105276</v>
      </c>
      <c r="U103" s="979"/>
      <c r="V103" s="1002"/>
      <c r="W103" s="825"/>
      <c r="X103" s="825"/>
      <c r="Y103" s="825"/>
      <c r="Z103" s="978">
        <f t="shared" si="126"/>
        <v>665.28133931105276</v>
      </c>
      <c r="AA103" s="975">
        <v>435.97775899887449</v>
      </c>
      <c r="AB103" s="16"/>
      <c r="AC103" s="227"/>
      <c r="AD103" s="16"/>
      <c r="AE103" s="16"/>
      <c r="AF103" s="16"/>
      <c r="AG103" s="926">
        <f t="shared" si="127"/>
        <v>435.97775899887449</v>
      </c>
      <c r="AH103" s="894">
        <f t="shared" si="129"/>
        <v>1101.2590983099271</v>
      </c>
      <c r="AI103" s="15">
        <f t="shared" si="137"/>
        <v>1101.2590983099271</v>
      </c>
      <c r="AJ103" s="15">
        <f t="shared" si="137"/>
        <v>0</v>
      </c>
      <c r="AK103" s="15">
        <f t="shared" si="137"/>
        <v>0</v>
      </c>
      <c r="AL103" s="15">
        <f t="shared" si="137"/>
        <v>0</v>
      </c>
      <c r="AM103" s="15">
        <f t="shared" si="137"/>
        <v>0</v>
      </c>
      <c r="AN103" s="15"/>
      <c r="AO103" s="15">
        <f t="shared" si="141"/>
        <v>1101.2590983099271</v>
      </c>
      <c r="AP103" s="15">
        <f t="shared" si="142"/>
        <v>1101.2590983099271</v>
      </c>
      <c r="AQ103" s="15">
        <f>SUM(AI103:AL103)</f>
        <v>1101.2590983099271</v>
      </c>
      <c r="AR103" s="127">
        <f t="shared" si="115"/>
        <v>0</v>
      </c>
      <c r="AS103" s="112">
        <f t="shared" si="143"/>
        <v>3633229.9667801796</v>
      </c>
      <c r="AT103" s="112">
        <f t="shared" si="138"/>
        <v>0</v>
      </c>
      <c r="AU103" s="112">
        <f t="shared" si="138"/>
        <v>0</v>
      </c>
      <c r="AV103" s="112">
        <f t="shared" si="138"/>
        <v>0</v>
      </c>
      <c r="AW103" s="112">
        <f t="shared" si="138"/>
        <v>0</v>
      </c>
      <c r="AX103" s="112">
        <f t="shared" si="86"/>
        <v>3633229.9667801796</v>
      </c>
      <c r="AY103" s="112">
        <f t="shared" si="87"/>
        <v>3633229.9667801796</v>
      </c>
      <c r="AZ103" s="112">
        <f t="shared" si="139"/>
        <v>3650634.265569869</v>
      </c>
      <c r="BA103" s="112">
        <f t="shared" si="139"/>
        <v>0</v>
      </c>
      <c r="BB103" s="112">
        <f t="shared" si="139"/>
        <v>0</v>
      </c>
      <c r="BC103" s="112">
        <f t="shared" si="139"/>
        <v>0</v>
      </c>
      <c r="BD103" s="112">
        <f t="shared" si="139"/>
        <v>0</v>
      </c>
      <c r="BE103" s="112">
        <f t="shared" si="88"/>
        <v>3650634.265569869</v>
      </c>
      <c r="BF103" s="112">
        <f t="shared" si="89"/>
        <v>3650634.265569869</v>
      </c>
      <c r="BG103" s="169"/>
      <c r="BH103" s="170"/>
      <c r="BI103" s="169"/>
      <c r="BJ103" s="169"/>
      <c r="BK103" s="169"/>
      <c r="BL103" s="112">
        <f t="shared" si="93"/>
        <v>2194869.5834014532</v>
      </c>
      <c r="BM103" s="112">
        <f t="shared" si="93"/>
        <v>0</v>
      </c>
      <c r="BN103" s="112">
        <f t="shared" si="93"/>
        <v>0</v>
      </c>
      <c r="BO103" s="112">
        <f t="shared" si="93"/>
        <v>0</v>
      </c>
      <c r="BP103" s="112">
        <f t="shared" si="93"/>
        <v>0</v>
      </c>
      <c r="BQ103" s="112">
        <f t="shared" si="130"/>
        <v>2194869.5834014532</v>
      </c>
      <c r="BR103" s="112">
        <f t="shared" si="131"/>
        <v>2194869.5834014532</v>
      </c>
      <c r="BS103" s="112">
        <f t="shared" si="94"/>
        <v>1445250.5758819447</v>
      </c>
      <c r="BT103" s="112">
        <f t="shared" si="94"/>
        <v>0</v>
      </c>
      <c r="BU103" s="112">
        <f t="shared" si="94"/>
        <v>0</v>
      </c>
      <c r="BV103" s="112">
        <f t="shared" si="132"/>
        <v>0</v>
      </c>
      <c r="BW103" s="112">
        <f t="shared" si="97"/>
        <v>0</v>
      </c>
      <c r="BX103" s="112">
        <f t="shared" si="133"/>
        <v>1445250.5758819447</v>
      </c>
      <c r="BY103" s="112">
        <f t="shared" si="134"/>
        <v>1445250.5758819447</v>
      </c>
      <c r="BZ103" s="113">
        <f t="shared" si="95"/>
        <v>0</v>
      </c>
      <c r="CA103" s="113">
        <f t="shared" si="95"/>
        <v>0</v>
      </c>
      <c r="CB103" s="113">
        <f t="shared" si="135"/>
        <v>0</v>
      </c>
      <c r="CC103" s="119" t="e">
        <f t="shared" si="96"/>
        <v>#DIV/0!</v>
      </c>
      <c r="CD103" s="119" t="e">
        <f t="shared" si="96"/>
        <v>#DIV/0!</v>
      </c>
      <c r="CE103" s="119" t="e">
        <f t="shared" si="116"/>
        <v>#DIV/0!</v>
      </c>
      <c r="CF103" s="113" t="e">
        <f t="shared" si="98"/>
        <v>#DIV/0!</v>
      </c>
      <c r="CG103" s="619">
        <f t="shared" si="99"/>
        <v>0</v>
      </c>
      <c r="CH103" s="132" t="e">
        <f t="shared" si="117"/>
        <v>#DIV/0!</v>
      </c>
      <c r="CI103" s="625"/>
      <c r="CJ103" s="208">
        <f t="shared" si="118"/>
        <v>2205.3836896879243</v>
      </c>
      <c r="CK103" s="208">
        <f t="shared" si="100"/>
        <v>1445.2505758819448</v>
      </c>
      <c r="CL103" s="208">
        <f t="shared" si="128"/>
        <v>3650.6342655698691</v>
      </c>
      <c r="CM103" s="18">
        <f t="shared" si="119"/>
        <v>3650.6342655698691</v>
      </c>
      <c r="CN103" s="18">
        <f t="shared" si="120"/>
        <v>0</v>
      </c>
      <c r="CO103" s="112">
        <f t="shared" si="101"/>
        <v>3640120.1592833977</v>
      </c>
      <c r="CP103" s="112">
        <f t="shared" si="102"/>
        <v>3633229.9667801796</v>
      </c>
      <c r="CQ103" s="112">
        <f t="shared" si="103"/>
        <v>3633229.9667801796</v>
      </c>
      <c r="CR103" s="112">
        <f t="shared" si="104"/>
        <v>2194869.5834014532</v>
      </c>
      <c r="CS103" s="112">
        <f t="shared" si="105"/>
        <v>3650634.265569869</v>
      </c>
      <c r="CT103" s="112">
        <f t="shared" si="106"/>
        <v>3650634.265569869</v>
      </c>
      <c r="CU103" s="112">
        <f t="shared" si="107"/>
        <v>1445250.5758819447</v>
      </c>
      <c r="CV103" s="112">
        <f t="shared" si="121"/>
        <v>7283864.2323500486</v>
      </c>
      <c r="CW103" s="843">
        <f t="shared" si="122"/>
        <v>6614.1239999999998</v>
      </c>
      <c r="CX103" s="112">
        <f t="shared" si="108"/>
        <v>0</v>
      </c>
      <c r="CY103" s="112">
        <f t="shared" si="109"/>
        <v>0</v>
      </c>
      <c r="CZ103" s="112"/>
      <c r="DA103" s="112">
        <f t="shared" si="110"/>
        <v>3633229.9667801796</v>
      </c>
      <c r="DB103" s="112">
        <f t="shared" si="111"/>
        <v>3650634.265569869</v>
      </c>
      <c r="DC103" s="625"/>
      <c r="DD103" s="128" t="e">
        <f t="shared" si="123"/>
        <v>#DIV/0!</v>
      </c>
      <c r="DE103" s="625"/>
      <c r="DF103" s="625"/>
      <c r="DG103" s="625"/>
      <c r="DH103" s="797">
        <v>1136.181</v>
      </c>
      <c r="DI103" s="797">
        <v>0</v>
      </c>
      <c r="DJ103" s="797">
        <f t="shared" si="124"/>
        <v>1136.181</v>
      </c>
      <c r="DK103" s="625"/>
      <c r="DL103" s="618">
        <f t="shared" si="112"/>
        <v>0</v>
      </c>
      <c r="DM103" s="618">
        <f t="shared" si="113"/>
        <v>0</v>
      </c>
      <c r="DN103" s="618">
        <f t="shared" si="114"/>
        <v>0</v>
      </c>
      <c r="DO103" s="123"/>
    </row>
    <row r="104" spans="1:119" customFormat="1" ht="100.5" customHeight="1">
      <c r="A104" s="6"/>
      <c r="B104" s="1281" t="s">
        <v>37</v>
      </c>
      <c r="C104" s="713" t="s">
        <v>975</v>
      </c>
      <c r="D104" s="696" t="s">
        <v>38</v>
      </c>
      <c r="E104" s="696">
        <v>4625004944</v>
      </c>
      <c r="F104" s="696" t="s">
        <v>8</v>
      </c>
      <c r="G104" s="1253" t="s">
        <v>942</v>
      </c>
      <c r="H104" s="870">
        <v>2772.37</v>
      </c>
      <c r="I104" s="827">
        <v>2772.37</v>
      </c>
      <c r="J104" s="827">
        <v>2772.37</v>
      </c>
      <c r="K104" s="827">
        <v>0</v>
      </c>
      <c r="L104" s="827">
        <v>2772.37</v>
      </c>
      <c r="M104" s="878">
        <v>0</v>
      </c>
      <c r="N104" s="857">
        <v>2951.0829318332949</v>
      </c>
      <c r="O104" s="697">
        <f>N104</f>
        <v>2951.0829318332949</v>
      </c>
      <c r="P104" s="697">
        <f>O104</f>
        <v>2951.0829318332949</v>
      </c>
      <c r="Q104" s="697">
        <v>0</v>
      </c>
      <c r="R104" s="697">
        <f>P104</f>
        <v>2951.0829318332949</v>
      </c>
      <c r="S104" s="916">
        <v>0</v>
      </c>
      <c r="T104" s="1259">
        <v>1096.92</v>
      </c>
      <c r="U104" s="714">
        <v>28.5</v>
      </c>
      <c r="V104" s="714">
        <v>0</v>
      </c>
      <c r="W104" s="714">
        <v>0</v>
      </c>
      <c r="X104" s="714">
        <v>0</v>
      </c>
      <c r="Y104" s="714">
        <v>0</v>
      </c>
      <c r="Z104" s="912">
        <f>T104+U104+V104+W104</f>
        <v>1125.42</v>
      </c>
      <c r="AA104" s="854">
        <v>686.56</v>
      </c>
      <c r="AB104" s="714">
        <v>17.850000000000001</v>
      </c>
      <c r="AC104" s="714">
        <v>0</v>
      </c>
      <c r="AD104" s="714">
        <v>0</v>
      </c>
      <c r="AE104" s="714">
        <v>0</v>
      </c>
      <c r="AF104" s="714">
        <v>0</v>
      </c>
      <c r="AG104" s="912">
        <f>AA104+AB104+AC104+AD104</f>
        <v>704.41</v>
      </c>
      <c r="AH104" s="954">
        <f t="shared" si="129"/>
        <v>1829.83</v>
      </c>
      <c r="AI104" s="163">
        <f t="shared" si="137"/>
        <v>1783.48</v>
      </c>
      <c r="AJ104" s="163">
        <f t="shared" si="137"/>
        <v>46.35</v>
      </c>
      <c r="AK104" s="163">
        <f t="shared" si="137"/>
        <v>0</v>
      </c>
      <c r="AL104" s="738">
        <f t="shared" si="137"/>
        <v>0</v>
      </c>
      <c r="AM104" s="163">
        <f t="shared" si="137"/>
        <v>0</v>
      </c>
      <c r="AN104" s="163">
        <v>0</v>
      </c>
      <c r="AO104" s="163">
        <f t="shared" si="141"/>
        <v>1829.83</v>
      </c>
      <c r="AP104" s="163">
        <f t="shared" si="142"/>
        <v>1829.83</v>
      </c>
      <c r="AQ104" s="163">
        <f t="shared" si="85"/>
        <v>1829.83</v>
      </c>
      <c r="AR104" s="164">
        <f t="shared" si="115"/>
        <v>0</v>
      </c>
      <c r="AS104" s="163">
        <f t="shared" si="143"/>
        <v>4944466.4475999996</v>
      </c>
      <c r="AT104" s="163">
        <f t="shared" si="138"/>
        <v>128499.3495</v>
      </c>
      <c r="AU104" s="163">
        <f t="shared" si="138"/>
        <v>0</v>
      </c>
      <c r="AV104" s="163">
        <f t="shared" si="138"/>
        <v>0</v>
      </c>
      <c r="AW104" s="163">
        <f t="shared" si="138"/>
        <v>0</v>
      </c>
      <c r="AX104" s="163">
        <f>SUM(AS104:AW104)</f>
        <v>5072965.7970999992</v>
      </c>
      <c r="AY104" s="163">
        <f>SUM(AS104:AV104)</f>
        <v>5072965.7970999992</v>
      </c>
      <c r="AZ104" s="163">
        <f t="shared" si="139"/>
        <v>5263197.3872660445</v>
      </c>
      <c r="BA104" s="163">
        <f t="shared" si="139"/>
        <v>136782.69389047322</v>
      </c>
      <c r="BB104" s="163">
        <f t="shared" si="139"/>
        <v>0</v>
      </c>
      <c r="BC104" s="163">
        <f t="shared" si="139"/>
        <v>0</v>
      </c>
      <c r="BD104" s="163">
        <f t="shared" si="139"/>
        <v>0</v>
      </c>
      <c r="BE104" s="163">
        <f>SUM(AZ104:BD104)</f>
        <v>5399980.0811565174</v>
      </c>
      <c r="BF104" s="163">
        <f>SUM(AZ104:BC104)</f>
        <v>5399980.0811565174</v>
      </c>
      <c r="BG104" s="163">
        <v>0</v>
      </c>
      <c r="BH104" s="163">
        <v>0</v>
      </c>
      <c r="BI104" s="163">
        <v>0</v>
      </c>
      <c r="BJ104" s="738">
        <v>32021.11</v>
      </c>
      <c r="BK104" s="163">
        <v>30586.04</v>
      </c>
      <c r="BL104" s="18">
        <f t="shared" si="93"/>
        <v>3041068.1003999999</v>
      </c>
      <c r="BM104" s="18">
        <f t="shared" si="93"/>
        <v>79012.544999999998</v>
      </c>
      <c r="BN104" s="18">
        <f t="shared" si="93"/>
        <v>0</v>
      </c>
      <c r="BO104" s="18">
        <f t="shared" si="93"/>
        <v>0</v>
      </c>
      <c r="BP104" s="18">
        <f t="shared" si="93"/>
        <v>0</v>
      </c>
      <c r="BQ104" s="18">
        <f t="shared" si="130"/>
        <v>3120080.6453999998</v>
      </c>
      <c r="BR104" s="18">
        <f t="shared" si="131"/>
        <v>3120080.6453999998</v>
      </c>
      <c r="BS104" s="18">
        <f t="shared" si="94"/>
        <v>2026095.4976794668</v>
      </c>
      <c r="BT104" s="18">
        <f t="shared" si="94"/>
        <v>52676.830333224316</v>
      </c>
      <c r="BU104" s="18">
        <f t="shared" si="94"/>
        <v>0</v>
      </c>
      <c r="BV104" s="18">
        <f t="shared" si="132"/>
        <v>0</v>
      </c>
      <c r="BW104" s="18">
        <f t="shared" si="97"/>
        <v>0</v>
      </c>
      <c r="BX104" s="18">
        <f t="shared" si="133"/>
        <v>2078772.3280126911</v>
      </c>
      <c r="BY104" s="18">
        <f t="shared" si="134"/>
        <v>2078772.3280126911</v>
      </c>
      <c r="BZ104" s="161">
        <f t="shared" si="95"/>
        <v>131689.37533322431</v>
      </c>
      <c r="CA104" s="161">
        <f t="shared" si="95"/>
        <v>0</v>
      </c>
      <c r="CB104" s="161">
        <f t="shared" si="135"/>
        <v>131689.37533322431</v>
      </c>
      <c r="CC104" s="162">
        <f t="shared" si="96"/>
        <v>2841.1947213209128</v>
      </c>
      <c r="CD104" s="162" t="e">
        <f t="shared" si="96"/>
        <v>#DIV/0!</v>
      </c>
      <c r="CE104" s="162">
        <f t="shared" si="116"/>
        <v>2841.1947213209128</v>
      </c>
      <c r="CF104" s="162">
        <f t="shared" si="98"/>
        <v>2841.1947213209128</v>
      </c>
      <c r="CG104" s="651">
        <f t="shared" si="99"/>
        <v>131689.37533322431</v>
      </c>
      <c r="CH104" s="652">
        <f t="shared" si="117"/>
        <v>2841.1947213209128</v>
      </c>
      <c r="CI104" s="13"/>
      <c r="CJ104" s="208">
        <f t="shared" si="118"/>
        <v>3321.2077531438272</v>
      </c>
      <c r="CK104" s="208">
        <f t="shared" si="100"/>
        <v>2078.7723280126911</v>
      </c>
      <c r="CL104" s="208">
        <f t="shared" si="128"/>
        <v>5399.9800811565183</v>
      </c>
      <c r="CM104" s="18">
        <f t="shared" si="119"/>
        <v>5399.9800811565174</v>
      </c>
      <c r="CN104" s="18">
        <f t="shared" si="120"/>
        <v>0</v>
      </c>
      <c r="CO104" s="18">
        <f t="shared" si="101"/>
        <v>5198852.9734126916</v>
      </c>
      <c r="CP104" s="18">
        <f t="shared" si="102"/>
        <v>5072965.7970999992</v>
      </c>
      <c r="CQ104" s="18">
        <f t="shared" si="103"/>
        <v>5072965.7970999992</v>
      </c>
      <c r="CR104" s="18">
        <f t="shared" si="104"/>
        <v>3120080.6453999998</v>
      </c>
      <c r="CS104" s="18">
        <f t="shared" si="105"/>
        <v>5399980.0811565174</v>
      </c>
      <c r="CT104" s="18">
        <f t="shared" si="106"/>
        <v>5399980.0811565174</v>
      </c>
      <c r="CU104" s="18">
        <f t="shared" si="107"/>
        <v>2078772.3280126911</v>
      </c>
      <c r="CV104" s="18">
        <f t="shared" si="121"/>
        <v>10472945.878256517</v>
      </c>
      <c r="CW104" s="1260">
        <f t="shared" si="122"/>
        <v>5723.4529318332943</v>
      </c>
      <c r="CX104" s="18">
        <f t="shared" si="108"/>
        <v>128499.3495</v>
      </c>
      <c r="CY104" s="18">
        <f t="shared" si="109"/>
        <v>136782.69389047322</v>
      </c>
      <c r="CZ104" s="18"/>
      <c r="DA104" s="18">
        <f t="shared" si="110"/>
        <v>5072965.7970999992</v>
      </c>
      <c r="DB104" s="18">
        <f t="shared" si="111"/>
        <v>5399980.0811565174</v>
      </c>
      <c r="DC104" s="13"/>
      <c r="DD104" s="653">
        <f t="shared" si="123"/>
        <v>106.4462150374335</v>
      </c>
      <c r="DE104" s="13"/>
      <c r="DF104" s="13"/>
      <c r="DG104" s="13"/>
      <c r="DH104" s="18">
        <v>10850.630000000001</v>
      </c>
      <c r="DI104" s="18">
        <v>3967.25</v>
      </c>
      <c r="DJ104" s="18">
        <f t="shared" si="124"/>
        <v>6883.380000000001</v>
      </c>
      <c r="DK104" s="625"/>
      <c r="DL104" s="701">
        <f t="shared" si="112"/>
        <v>0</v>
      </c>
      <c r="DM104" s="701">
        <f t="shared" si="113"/>
        <v>0</v>
      </c>
      <c r="DN104" s="701">
        <f t="shared" si="114"/>
        <v>0</v>
      </c>
      <c r="DO104" s="625"/>
    </row>
    <row r="105" spans="1:119" customFormat="1" ht="100.5" customHeight="1">
      <c r="A105" s="695">
        <f>A103+1</f>
        <v>88</v>
      </c>
      <c r="B105" s="1281" t="s">
        <v>37</v>
      </c>
      <c r="C105" s="713" t="s">
        <v>61</v>
      </c>
      <c r="D105" s="696" t="s">
        <v>38</v>
      </c>
      <c r="E105" s="696">
        <v>4625004944</v>
      </c>
      <c r="F105" s="696" t="s">
        <v>8</v>
      </c>
      <c r="G105" s="1253" t="s">
        <v>942</v>
      </c>
      <c r="H105" s="870">
        <v>2772.37</v>
      </c>
      <c r="I105" s="827">
        <v>2772.37</v>
      </c>
      <c r="J105" s="827">
        <v>2772.37</v>
      </c>
      <c r="K105" s="827">
        <v>0</v>
      </c>
      <c r="L105" s="827">
        <v>2772.37</v>
      </c>
      <c r="M105" s="878">
        <v>0</v>
      </c>
      <c r="N105" s="857">
        <v>2951.0829318332949</v>
      </c>
      <c r="O105" s="697">
        <f>N105</f>
        <v>2951.0829318332949</v>
      </c>
      <c r="P105" s="697">
        <f>O105</f>
        <v>2951.0829318332949</v>
      </c>
      <c r="Q105" s="697">
        <v>0</v>
      </c>
      <c r="R105" s="697">
        <f>P105</f>
        <v>2951.0829318332949</v>
      </c>
      <c r="S105" s="916">
        <v>0</v>
      </c>
      <c r="T105" s="1259">
        <v>1400.15</v>
      </c>
      <c r="U105" s="714">
        <v>2270.6</v>
      </c>
      <c r="V105" s="714">
        <v>0</v>
      </c>
      <c r="W105" s="714">
        <v>1508.7</v>
      </c>
      <c r="X105" s="714">
        <v>0</v>
      </c>
      <c r="Y105" s="714">
        <v>0</v>
      </c>
      <c r="Z105" s="912">
        <f>SUM(T105:W105)</f>
        <v>5179.45</v>
      </c>
      <c r="AA105" s="854">
        <v>1254.55</v>
      </c>
      <c r="AB105" s="714">
        <v>1650.3</v>
      </c>
      <c r="AC105" s="714">
        <v>0</v>
      </c>
      <c r="AD105" s="714">
        <v>936.5</v>
      </c>
      <c r="AE105" s="714">
        <v>0</v>
      </c>
      <c r="AF105" s="714">
        <v>0</v>
      </c>
      <c r="AG105" s="912">
        <f t="shared" si="127"/>
        <v>3841.35</v>
      </c>
      <c r="AH105" s="954">
        <f t="shared" si="129"/>
        <v>9020.7999999999993</v>
      </c>
      <c r="AI105" s="163">
        <f t="shared" si="137"/>
        <v>2654.7</v>
      </c>
      <c r="AJ105" s="163">
        <f t="shared" si="137"/>
        <v>3920.8999999999996</v>
      </c>
      <c r="AK105" s="163">
        <f t="shared" si="137"/>
        <v>0</v>
      </c>
      <c r="AL105" s="738">
        <f t="shared" si="137"/>
        <v>2445.1999999999998</v>
      </c>
      <c r="AM105" s="163">
        <f t="shared" si="137"/>
        <v>0</v>
      </c>
      <c r="AN105" s="163">
        <v>0</v>
      </c>
      <c r="AO105" s="163">
        <f t="shared" si="141"/>
        <v>9020.7999999999993</v>
      </c>
      <c r="AP105" s="163">
        <f t="shared" si="142"/>
        <v>9020.7999999999993</v>
      </c>
      <c r="AQ105" s="163">
        <f t="shared" si="85"/>
        <v>9020.7999999999993</v>
      </c>
      <c r="AR105" s="164">
        <f t="shared" si="115"/>
        <v>0</v>
      </c>
      <c r="AS105" s="163">
        <f t="shared" si="143"/>
        <v>7359810.6389999995</v>
      </c>
      <c r="AT105" s="163">
        <f t="shared" si="138"/>
        <v>10870185.532999998</v>
      </c>
      <c r="AU105" s="163">
        <f t="shared" si="138"/>
        <v>0</v>
      </c>
      <c r="AV105" s="163">
        <f t="shared" si="138"/>
        <v>6778999.1239999989</v>
      </c>
      <c r="AW105" s="163">
        <f t="shared" si="138"/>
        <v>0</v>
      </c>
      <c r="AX105" s="163">
        <f t="shared" si="86"/>
        <v>25008995.295999996</v>
      </c>
      <c r="AY105" s="163">
        <f t="shared" si="87"/>
        <v>25008995.295999996</v>
      </c>
      <c r="AZ105" s="163">
        <f t="shared" si="139"/>
        <v>7834239.8591378471</v>
      </c>
      <c r="BA105" s="163">
        <f t="shared" si="139"/>
        <v>11570901.067425165</v>
      </c>
      <c r="BB105" s="163">
        <f t="shared" si="139"/>
        <v>0</v>
      </c>
      <c r="BC105" s="163">
        <f t="shared" si="139"/>
        <v>7215987.9849187722</v>
      </c>
      <c r="BD105" s="163">
        <f t="shared" si="139"/>
        <v>0</v>
      </c>
      <c r="BE105" s="163">
        <f t="shared" si="88"/>
        <v>26621128.911481787</v>
      </c>
      <c r="BF105" s="163">
        <f t="shared" si="89"/>
        <v>26621128.911481787</v>
      </c>
      <c r="BG105" s="163">
        <v>0</v>
      </c>
      <c r="BH105" s="163">
        <v>0</v>
      </c>
      <c r="BI105" s="163">
        <v>0</v>
      </c>
      <c r="BJ105" s="738">
        <v>32021.11</v>
      </c>
      <c r="BK105" s="163">
        <v>30586.04</v>
      </c>
      <c r="BL105" s="18">
        <f t="shared" si="93"/>
        <v>3881733.8555000001</v>
      </c>
      <c r="BM105" s="18">
        <f t="shared" si="93"/>
        <v>6294943.3219999997</v>
      </c>
      <c r="BN105" s="18">
        <f t="shared" si="93"/>
        <v>0</v>
      </c>
      <c r="BO105" s="18">
        <f t="shared" si="93"/>
        <v>4182674.6189999999</v>
      </c>
      <c r="BP105" s="18">
        <f t="shared" si="93"/>
        <v>0</v>
      </c>
      <c r="BQ105" s="18">
        <f t="shared" si="130"/>
        <v>14359351.796500001</v>
      </c>
      <c r="BR105" s="18">
        <f t="shared" si="131"/>
        <v>14359351.796500001</v>
      </c>
      <c r="BS105" s="18">
        <f t="shared" si="94"/>
        <v>3702281.0921314601</v>
      </c>
      <c r="BT105" s="18">
        <f t="shared" si="94"/>
        <v>4870172.162404486</v>
      </c>
      <c r="BU105" s="18">
        <f t="shared" si="94"/>
        <v>0</v>
      </c>
      <c r="BV105" s="18">
        <f t="shared" si="132"/>
        <v>4452298.8192568924</v>
      </c>
      <c r="BW105" s="18">
        <f t="shared" si="97"/>
        <v>0</v>
      </c>
      <c r="BX105" s="18">
        <f t="shared" si="133"/>
        <v>13024752.073792839</v>
      </c>
      <c r="BY105" s="18">
        <f t="shared" si="134"/>
        <v>13024752.073792839</v>
      </c>
      <c r="BZ105" s="161">
        <f t="shared" si="95"/>
        <v>11165115.484404486</v>
      </c>
      <c r="CA105" s="161">
        <f t="shared" si="95"/>
        <v>0</v>
      </c>
      <c r="CB105" s="161">
        <f t="shared" si="135"/>
        <v>11165115.484404486</v>
      </c>
      <c r="CC105" s="162">
        <f t="shared" si="96"/>
        <v>2847.5899626117694</v>
      </c>
      <c r="CD105" s="162" t="e">
        <f t="shared" si="96"/>
        <v>#DIV/0!</v>
      </c>
      <c r="CE105" s="162">
        <f t="shared" si="116"/>
        <v>2847.5899626117694</v>
      </c>
      <c r="CF105" s="162">
        <f t="shared" si="98"/>
        <v>2847.5899626117694</v>
      </c>
      <c r="CG105" s="651">
        <f t="shared" si="99"/>
        <v>11165115.484404486</v>
      </c>
      <c r="CH105" s="652">
        <f t="shared" si="117"/>
        <v>2847.5899626117694</v>
      </c>
      <c r="CJ105" s="208">
        <f t="shared" si="118"/>
        <v>15284.986491283958</v>
      </c>
      <c r="CK105" s="208">
        <f t="shared" si="100"/>
        <v>11336.142420197828</v>
      </c>
      <c r="CL105" s="208">
        <f t="shared" si="128"/>
        <v>26621.128911481785</v>
      </c>
      <c r="CM105" s="18">
        <f t="shared" si="119"/>
        <v>26621.128911481785</v>
      </c>
      <c r="CN105" s="18">
        <f t="shared" si="120"/>
        <v>0</v>
      </c>
      <c r="CO105" s="18">
        <f t="shared" si="101"/>
        <v>25695494.216697827</v>
      </c>
      <c r="CP105" s="18">
        <f t="shared" si="102"/>
        <v>25008995.295999996</v>
      </c>
      <c r="CQ105" s="18">
        <f t="shared" si="103"/>
        <v>25008995.295999996</v>
      </c>
      <c r="CR105" s="18">
        <f t="shared" si="104"/>
        <v>14359351.796500001</v>
      </c>
      <c r="CS105" s="18">
        <f t="shared" si="105"/>
        <v>26621128.911481787</v>
      </c>
      <c r="CT105" s="18">
        <f t="shared" si="106"/>
        <v>26621128.911481787</v>
      </c>
      <c r="CU105" s="18">
        <f t="shared" si="107"/>
        <v>11336142.420197828</v>
      </c>
      <c r="CV105" s="18">
        <f t="shared" si="121"/>
        <v>51630124.207481787</v>
      </c>
      <c r="CW105" s="1260">
        <f t="shared" si="122"/>
        <v>5723.4529318332952</v>
      </c>
      <c r="CX105" s="18">
        <f t="shared" si="108"/>
        <v>10870185.532999998</v>
      </c>
      <c r="CY105" s="18">
        <f t="shared" si="109"/>
        <v>11570901.067425165</v>
      </c>
      <c r="CZ105" s="18"/>
      <c r="DA105" s="18">
        <f t="shared" si="110"/>
        <v>25008995.295999996</v>
      </c>
      <c r="DB105" s="18">
        <f t="shared" si="111"/>
        <v>26621128.911481787</v>
      </c>
      <c r="DD105" s="653">
        <f t="shared" si="123"/>
        <v>106.4462150374335</v>
      </c>
      <c r="DH105" s="18">
        <v>10850.630000000001</v>
      </c>
      <c r="DI105" s="18">
        <v>3967.25</v>
      </c>
      <c r="DJ105" s="18">
        <f t="shared" si="124"/>
        <v>6883.380000000001</v>
      </c>
      <c r="DL105" s="701">
        <f t="shared" si="112"/>
        <v>0</v>
      </c>
      <c r="DM105" s="701">
        <f t="shared" si="113"/>
        <v>0</v>
      </c>
      <c r="DN105" s="701">
        <f t="shared" si="114"/>
        <v>0</v>
      </c>
    </row>
    <row r="106" spans="1:119" customFormat="1" ht="100.5" customHeight="1">
      <c r="A106" s="1081">
        <f t="shared" si="125"/>
        <v>89</v>
      </c>
      <c r="B106" s="1281" t="s">
        <v>39</v>
      </c>
      <c r="C106" s="1082" t="s">
        <v>133</v>
      </c>
      <c r="D106" s="1082" t="s">
        <v>926</v>
      </c>
      <c r="E106" s="1082">
        <v>4626006422</v>
      </c>
      <c r="F106" s="1082" t="s">
        <v>8</v>
      </c>
      <c r="G106" s="1083" t="s">
        <v>928</v>
      </c>
      <c r="H106" s="1084">
        <v>2374.46</v>
      </c>
      <c r="I106" s="1085">
        <v>2374.46</v>
      </c>
      <c r="J106" s="1085">
        <v>2297.94</v>
      </c>
      <c r="K106" s="1085">
        <v>0</v>
      </c>
      <c r="L106" s="1085">
        <v>2374.46</v>
      </c>
      <c r="M106" s="1086">
        <v>0</v>
      </c>
      <c r="N106" s="1087">
        <v>3208.68</v>
      </c>
      <c r="O106" s="1088">
        <v>3208.68</v>
      </c>
      <c r="P106" s="1088">
        <v>2550.9496635</v>
      </c>
      <c r="Q106" s="1088">
        <v>0</v>
      </c>
      <c r="R106" s="1088">
        <v>3208.68</v>
      </c>
      <c r="S106" s="1089">
        <v>0</v>
      </c>
      <c r="T106" s="1090">
        <v>1470.7</v>
      </c>
      <c r="U106" s="1091">
        <v>641.79999999999995</v>
      </c>
      <c r="V106" s="1091">
        <v>0</v>
      </c>
      <c r="W106" s="1091">
        <v>5.5</v>
      </c>
      <c r="X106" s="1091">
        <v>0</v>
      </c>
      <c r="Y106" s="1091">
        <v>0</v>
      </c>
      <c r="Z106" s="1092">
        <f t="shared" si="126"/>
        <v>2118</v>
      </c>
      <c r="AA106" s="1093">
        <v>0</v>
      </c>
      <c r="AB106" s="1091">
        <v>0</v>
      </c>
      <c r="AC106" s="1091">
        <v>0</v>
      </c>
      <c r="AD106" s="1091">
        <v>0</v>
      </c>
      <c r="AE106" s="1091">
        <v>0</v>
      </c>
      <c r="AF106" s="1091">
        <v>0</v>
      </c>
      <c r="AG106" s="1094">
        <f t="shared" si="127"/>
        <v>0</v>
      </c>
      <c r="AH106" s="1095">
        <f t="shared" si="129"/>
        <v>2118</v>
      </c>
      <c r="AI106" s="1096">
        <f>T106+AA106</f>
        <v>1470.7</v>
      </c>
      <c r="AJ106" s="1097">
        <f t="shared" si="137"/>
        <v>641.79999999999995</v>
      </c>
      <c r="AK106" s="1097">
        <f t="shared" si="137"/>
        <v>0</v>
      </c>
      <c r="AL106" s="1091">
        <f t="shared" si="137"/>
        <v>5.5</v>
      </c>
      <c r="AM106" s="1097">
        <f t="shared" si="137"/>
        <v>0</v>
      </c>
      <c r="AN106" s="1097">
        <v>0</v>
      </c>
      <c r="AO106" s="1097">
        <f t="shared" si="141"/>
        <v>2118</v>
      </c>
      <c r="AP106" s="1097">
        <f t="shared" si="142"/>
        <v>2118</v>
      </c>
      <c r="AQ106" s="1091">
        <f t="shared" si="85"/>
        <v>2118</v>
      </c>
      <c r="AR106" s="1098">
        <f t="shared" si="115"/>
        <v>0</v>
      </c>
      <c r="AS106" s="1097">
        <f t="shared" si="143"/>
        <v>3492118.3220000002</v>
      </c>
      <c r="AT106" s="1097">
        <f t="shared" si="138"/>
        <v>1474817.892</v>
      </c>
      <c r="AU106" s="1097">
        <f t="shared" si="138"/>
        <v>0</v>
      </c>
      <c r="AV106" s="1097">
        <f t="shared" si="138"/>
        <v>13059.53</v>
      </c>
      <c r="AW106" s="1097">
        <f t="shared" si="138"/>
        <v>0</v>
      </c>
      <c r="AX106" s="1097">
        <f t="shared" si="86"/>
        <v>4979995.7439999999</v>
      </c>
      <c r="AY106" s="1097">
        <f t="shared" si="87"/>
        <v>4979995.7439999999</v>
      </c>
      <c r="AZ106" s="1097">
        <f>O106*AI106</f>
        <v>4719005.676</v>
      </c>
      <c r="BA106" s="1097">
        <f>P106*AJ106</f>
        <v>1637199.4940342999</v>
      </c>
      <c r="BB106" s="1097">
        <f t="shared" ref="BB106:BC139" si="144">Q106*AK106</f>
        <v>0</v>
      </c>
      <c r="BC106" s="1097">
        <f>R106*AL106</f>
        <v>17647.739999999998</v>
      </c>
      <c r="BD106" s="1097">
        <f t="shared" ref="BD106:BD144" si="145">S106*AM106</f>
        <v>0</v>
      </c>
      <c r="BE106" s="1097">
        <f>SUM(AZ106:BD106)</f>
        <v>6373852.9100342998</v>
      </c>
      <c r="BF106" s="1097">
        <f>SUM(AZ106:BC106)</f>
        <v>6373852.9100342998</v>
      </c>
      <c r="BG106" s="1098">
        <v>351.77610830475004</v>
      </c>
      <c r="BH106" s="1098"/>
      <c r="BI106" s="1098"/>
      <c r="BJ106" s="1096">
        <v>9503.0406000000003</v>
      </c>
      <c r="BK106" s="1097">
        <v>9653.3011999999999</v>
      </c>
      <c r="BL106" s="1097">
        <f t="shared" si="93"/>
        <v>3492118.3220000002</v>
      </c>
      <c r="BM106" s="1097">
        <f t="shared" si="93"/>
        <v>1474817.892</v>
      </c>
      <c r="BN106" s="1097">
        <f t="shared" si="93"/>
        <v>0</v>
      </c>
      <c r="BO106" s="1097">
        <f t="shared" si="93"/>
        <v>13059.53</v>
      </c>
      <c r="BP106" s="1097">
        <f t="shared" si="93"/>
        <v>0</v>
      </c>
      <c r="BQ106" s="1097">
        <f t="shared" si="130"/>
        <v>4979995.7439999999</v>
      </c>
      <c r="BR106" s="1097">
        <f t="shared" si="131"/>
        <v>4979995.7439999999</v>
      </c>
      <c r="BS106" s="1097">
        <f t="shared" si="94"/>
        <v>0</v>
      </c>
      <c r="BT106" s="1097">
        <f t="shared" si="94"/>
        <v>0</v>
      </c>
      <c r="BU106" s="1097">
        <f t="shared" si="94"/>
        <v>0</v>
      </c>
      <c r="BV106" s="1097">
        <f t="shared" si="132"/>
        <v>17647.739999999998</v>
      </c>
      <c r="BW106" s="1097">
        <f t="shared" si="97"/>
        <v>0</v>
      </c>
      <c r="BX106" s="1097">
        <f t="shared" si="133"/>
        <v>17647.739999999998</v>
      </c>
      <c r="BY106" s="1097">
        <f t="shared" si="134"/>
        <v>17647.739999999998</v>
      </c>
      <c r="BZ106" s="1099">
        <f t="shared" si="95"/>
        <v>1474817.892</v>
      </c>
      <c r="CA106" s="1099">
        <f t="shared" si="95"/>
        <v>0</v>
      </c>
      <c r="CB106" s="1099">
        <f t="shared" si="135"/>
        <v>1474817.892</v>
      </c>
      <c r="CC106" s="1100">
        <f t="shared" si="96"/>
        <v>2297.94</v>
      </c>
      <c r="CD106" s="1100" t="e">
        <f t="shared" si="96"/>
        <v>#DIV/0!</v>
      </c>
      <c r="CE106" s="1100">
        <f t="shared" si="116"/>
        <v>2297.94</v>
      </c>
      <c r="CF106" s="1100">
        <f t="shared" si="98"/>
        <v>2297.94</v>
      </c>
      <c r="CG106" s="1101">
        <f t="shared" si="99"/>
        <v>1523928.4279999998</v>
      </c>
      <c r="CH106" s="1102">
        <f t="shared" si="117"/>
        <v>2374.46</v>
      </c>
      <c r="CJ106" s="1097">
        <f t="shared" si="118"/>
        <v>6795.9842399999989</v>
      </c>
      <c r="CK106" s="1097">
        <f t="shared" si="100"/>
        <v>0</v>
      </c>
      <c r="CL106" s="1097">
        <f t="shared" si="128"/>
        <v>6795.9842399999989</v>
      </c>
      <c r="CM106" s="18">
        <f t="shared" si="119"/>
        <v>6795.9842399999989</v>
      </c>
      <c r="CN106" s="18">
        <f t="shared" si="120"/>
        <v>0</v>
      </c>
      <c r="CO106" s="1097">
        <f t="shared" si="101"/>
        <v>5029106.28</v>
      </c>
      <c r="CP106" s="1097">
        <f t="shared" si="102"/>
        <v>4979995.7439999999</v>
      </c>
      <c r="CQ106" s="1097">
        <f t="shared" si="103"/>
        <v>4979995.7439999999</v>
      </c>
      <c r="CR106" s="1097">
        <f t="shared" si="104"/>
        <v>4979995.7439999999</v>
      </c>
      <c r="CS106" s="1097">
        <f t="shared" si="105"/>
        <v>6373852.9100342998</v>
      </c>
      <c r="CT106" s="1097">
        <f t="shared" si="106"/>
        <v>6373852.9100342998</v>
      </c>
      <c r="CU106" s="1097">
        <f t="shared" si="107"/>
        <v>0</v>
      </c>
      <c r="CV106" s="1097">
        <f t="shared" si="121"/>
        <v>11353848.6540343</v>
      </c>
      <c r="CW106" s="1103">
        <f t="shared" si="122"/>
        <v>5360.6462011493386</v>
      </c>
      <c r="CX106" s="1097">
        <f t="shared" si="108"/>
        <v>1474817.892</v>
      </c>
      <c r="CY106" s="1097">
        <f t="shared" si="109"/>
        <v>1637199.4940342999</v>
      </c>
      <c r="CZ106" s="1097"/>
      <c r="DA106" s="1097">
        <f t="shared" si="110"/>
        <v>5029106.28</v>
      </c>
      <c r="DB106" s="1097">
        <f t="shared" si="111"/>
        <v>6795984.2400000002</v>
      </c>
      <c r="DD106" s="1104">
        <f t="shared" si="123"/>
        <v>139.63288858716936</v>
      </c>
      <c r="DH106" s="1097">
        <v>3554</v>
      </c>
      <c r="DI106" s="1097">
        <v>1123.1999999999998</v>
      </c>
      <c r="DJ106" s="1097">
        <f t="shared" si="124"/>
        <v>2430.8000000000002</v>
      </c>
      <c r="DL106" s="1105">
        <f t="shared" si="112"/>
        <v>0</v>
      </c>
      <c r="DM106" s="1105">
        <f t="shared" si="113"/>
        <v>0</v>
      </c>
      <c r="DN106" s="1105">
        <f t="shared" si="114"/>
        <v>0</v>
      </c>
    </row>
    <row r="107" spans="1:119" customFormat="1" ht="100.5" customHeight="1">
      <c r="A107" s="1081"/>
      <c r="B107" s="1281" t="s">
        <v>39</v>
      </c>
      <c r="C107" s="1106" t="s">
        <v>133</v>
      </c>
      <c r="D107" s="1082" t="s">
        <v>926</v>
      </c>
      <c r="E107" s="1082">
        <v>4626006422</v>
      </c>
      <c r="F107" s="1082" t="s">
        <v>8</v>
      </c>
      <c r="G107" s="1083" t="s">
        <v>983</v>
      </c>
      <c r="H107" s="1084">
        <v>3208.68</v>
      </c>
      <c r="I107" s="1085">
        <v>3208.68</v>
      </c>
      <c r="J107" s="1085">
        <v>2550.9496635</v>
      </c>
      <c r="K107" s="1085">
        <v>0</v>
      </c>
      <c r="L107" s="1085">
        <v>3208.68</v>
      </c>
      <c r="M107" s="1086">
        <v>0</v>
      </c>
      <c r="N107" s="1087">
        <v>2928.96</v>
      </c>
      <c r="O107" s="1088">
        <v>2928.36</v>
      </c>
      <c r="P107" s="1088">
        <v>2550.9499999999998</v>
      </c>
      <c r="Q107" s="1088">
        <v>0</v>
      </c>
      <c r="R107" s="1088">
        <v>2928.96</v>
      </c>
      <c r="S107" s="1089">
        <v>0</v>
      </c>
      <c r="T107" s="1090">
        <v>1470.7</v>
      </c>
      <c r="U107" s="1091">
        <v>641.79999999999995</v>
      </c>
      <c r="V107" s="1091">
        <v>0</v>
      </c>
      <c r="W107" s="1091">
        <v>5.5</v>
      </c>
      <c r="X107" s="1091">
        <v>0</v>
      </c>
      <c r="Y107" s="1091">
        <v>0</v>
      </c>
      <c r="Z107" s="1092">
        <v>2118</v>
      </c>
      <c r="AA107" s="1093">
        <v>950.75</v>
      </c>
      <c r="AB107" s="1091">
        <v>481.4</v>
      </c>
      <c r="AC107" s="1091">
        <v>0</v>
      </c>
      <c r="AD107" s="1091">
        <v>3.85</v>
      </c>
      <c r="AE107" s="1091">
        <v>0</v>
      </c>
      <c r="AF107" s="1091">
        <v>0</v>
      </c>
      <c r="AG107" s="1094">
        <v>1436</v>
      </c>
      <c r="AH107" s="1095">
        <f t="shared" si="129"/>
        <v>3554</v>
      </c>
      <c r="AI107" s="1096">
        <f>T107+AA107</f>
        <v>2421.4499999999998</v>
      </c>
      <c r="AJ107" s="1097">
        <f t="shared" si="137"/>
        <v>1123.1999999999998</v>
      </c>
      <c r="AK107" s="1097">
        <f t="shared" si="137"/>
        <v>0</v>
      </c>
      <c r="AL107" s="1091">
        <f t="shared" si="137"/>
        <v>9.35</v>
      </c>
      <c r="AM107" s="1097">
        <f t="shared" si="137"/>
        <v>0</v>
      </c>
      <c r="AN107" s="1097">
        <v>0</v>
      </c>
      <c r="AO107" s="1097">
        <f>SUM(AI107:AN107)</f>
        <v>3553.9999999999995</v>
      </c>
      <c r="AP107" s="1097">
        <f>SUM(AI107:AM107)</f>
        <v>3553.9999999999995</v>
      </c>
      <c r="AQ107" s="1091">
        <f>SUM(AI107:AL107)</f>
        <v>3553.9999999999995</v>
      </c>
      <c r="AR107" s="1098">
        <f t="shared" si="115"/>
        <v>0</v>
      </c>
      <c r="AS107" s="1097">
        <f>I107*AI107</f>
        <v>7769658.1859999988</v>
      </c>
      <c r="AT107" s="1097">
        <f t="shared" si="138"/>
        <v>2865226.6620431994</v>
      </c>
      <c r="AU107" s="1097">
        <f t="shared" si="138"/>
        <v>0</v>
      </c>
      <c r="AV107" s="1097">
        <f t="shared" si="138"/>
        <v>30001.157999999996</v>
      </c>
      <c r="AW107" s="1097">
        <f t="shared" si="138"/>
        <v>0</v>
      </c>
      <c r="AX107" s="1097">
        <f t="shared" si="86"/>
        <v>10664886.006043198</v>
      </c>
      <c r="AY107" s="1097">
        <f t="shared" si="87"/>
        <v>10664886.006043198</v>
      </c>
      <c r="AZ107" s="1097">
        <f>O107*AI107</f>
        <v>7090877.3219999997</v>
      </c>
      <c r="BA107" s="1097">
        <f>P107*AJ107</f>
        <v>2865227.0399999991</v>
      </c>
      <c r="BB107" s="1097">
        <f t="shared" si="144"/>
        <v>0</v>
      </c>
      <c r="BC107" s="1097">
        <f>R107*AL107</f>
        <v>27385.775999999998</v>
      </c>
      <c r="BD107" s="1097">
        <f t="shared" si="145"/>
        <v>0</v>
      </c>
      <c r="BE107" s="1097">
        <f>SUM(AZ107:BD107)</f>
        <v>9983490.1380000003</v>
      </c>
      <c r="BF107" s="1097">
        <f>SUM(AZ107:BC107)</f>
        <v>9983490.1380000003</v>
      </c>
      <c r="BG107" s="1098">
        <v>242.60905000671789</v>
      </c>
      <c r="BH107" s="1098">
        <v>181.95678750503845</v>
      </c>
      <c r="BI107" s="1098">
        <f>BG107+BH107</f>
        <v>424.56583751175634</v>
      </c>
      <c r="BJ107" s="1096"/>
      <c r="BK107" s="1097"/>
      <c r="BL107" s="1097"/>
      <c r="BM107" s="1097"/>
      <c r="BN107" s="1097"/>
      <c r="BO107" s="1097"/>
      <c r="BP107" s="1097"/>
      <c r="BQ107" s="1097"/>
      <c r="BR107" s="1097"/>
      <c r="BS107" s="1097"/>
      <c r="BT107" s="1097"/>
      <c r="BU107" s="1097"/>
      <c r="BV107" s="1097"/>
      <c r="BW107" s="1097"/>
      <c r="BX107" s="1097"/>
      <c r="BY107" s="1097"/>
      <c r="BZ107" s="1099"/>
      <c r="CA107" s="1099"/>
      <c r="CB107" s="1099"/>
      <c r="CC107" s="1100"/>
      <c r="CD107" s="1100"/>
      <c r="CE107" s="1100"/>
      <c r="CF107" s="1100"/>
      <c r="CG107" s="1101"/>
      <c r="CH107" s="1102"/>
      <c r="CJ107" s="1097">
        <f t="shared" si="118"/>
        <v>6203.5372800000005</v>
      </c>
      <c r="CK107" s="1097">
        <f t="shared" si="100"/>
        <v>4205.9865599999994</v>
      </c>
      <c r="CL107" s="1097">
        <f t="shared" si="128"/>
        <v>10409.52384</v>
      </c>
      <c r="CM107" s="18"/>
      <c r="CN107" s="18"/>
      <c r="CO107" s="1097"/>
      <c r="CP107" s="1097"/>
      <c r="CQ107" s="1097"/>
      <c r="CR107" s="1097"/>
      <c r="CS107" s="1097"/>
      <c r="CT107" s="1097"/>
      <c r="CU107" s="1097"/>
      <c r="CV107" s="1097"/>
      <c r="CW107" s="1103"/>
      <c r="CX107" s="1097"/>
      <c r="CY107" s="1097"/>
      <c r="CZ107" s="1097"/>
      <c r="DA107" s="1097"/>
      <c r="DB107" s="1097"/>
      <c r="DD107" s="1104"/>
      <c r="DH107" s="1097"/>
      <c r="DI107" s="1097"/>
      <c r="DJ107" s="1097"/>
      <c r="DL107" s="1105"/>
      <c r="DM107" s="1105"/>
      <c r="DN107" s="1105"/>
    </row>
    <row r="108" spans="1:119" customFormat="1" ht="100.5" customHeight="1">
      <c r="A108" s="20">
        <f>A106+1</f>
        <v>90</v>
      </c>
      <c r="B108" s="1281" t="s">
        <v>39</v>
      </c>
      <c r="C108" s="705" t="s">
        <v>64</v>
      </c>
      <c r="D108" s="696" t="s">
        <v>866</v>
      </c>
      <c r="E108" s="706">
        <v>4626006380</v>
      </c>
      <c r="F108" s="696" t="s">
        <v>8</v>
      </c>
      <c r="G108" s="1253" t="s">
        <v>965</v>
      </c>
      <c r="H108" s="874">
        <v>2784.75</v>
      </c>
      <c r="I108" s="756">
        <v>2784.75</v>
      </c>
      <c r="J108" s="756">
        <v>2701.41</v>
      </c>
      <c r="K108" s="756"/>
      <c r="L108" s="756">
        <v>2784.75</v>
      </c>
      <c r="M108" s="867"/>
      <c r="N108" s="858">
        <v>2975.83</v>
      </c>
      <c r="O108" s="10">
        <v>2975.83</v>
      </c>
      <c r="P108" s="10">
        <v>2975.83</v>
      </c>
      <c r="Q108" s="10"/>
      <c r="R108" s="10">
        <v>2975.83</v>
      </c>
      <c r="S108" s="910"/>
      <c r="T108" s="947">
        <v>1526.3383333333331</v>
      </c>
      <c r="U108" s="179">
        <v>2455.7056666666667</v>
      </c>
      <c r="V108" s="207">
        <v>0</v>
      </c>
      <c r="W108" s="179">
        <v>403.85699999999997</v>
      </c>
      <c r="X108" s="179">
        <v>0</v>
      </c>
      <c r="Y108" s="179"/>
      <c r="Z108" s="926">
        <f t="shared" si="126"/>
        <v>4385.9009999999998</v>
      </c>
      <c r="AA108" s="907">
        <v>1015.7206666666666</v>
      </c>
      <c r="AB108" s="179">
        <v>1750.3226666666667</v>
      </c>
      <c r="AC108" s="207">
        <v>0</v>
      </c>
      <c r="AD108" s="179">
        <v>282.74399999999997</v>
      </c>
      <c r="AE108" s="179">
        <v>0</v>
      </c>
      <c r="AF108" s="179">
        <v>0</v>
      </c>
      <c r="AG108" s="926">
        <f t="shared" si="127"/>
        <v>3048.7873333333332</v>
      </c>
      <c r="AH108" s="894">
        <f t="shared" si="129"/>
        <v>7434.6883333333335</v>
      </c>
      <c r="AI108" s="15">
        <f t="shared" si="137"/>
        <v>2542.0589999999997</v>
      </c>
      <c r="AJ108" s="15">
        <f t="shared" si="137"/>
        <v>4206.0283333333336</v>
      </c>
      <c r="AK108" s="15">
        <f t="shared" si="137"/>
        <v>0</v>
      </c>
      <c r="AL108" s="15">
        <f t="shared" si="137"/>
        <v>686.60099999999989</v>
      </c>
      <c r="AM108" s="15">
        <f t="shared" si="137"/>
        <v>0</v>
      </c>
      <c r="AN108" s="15"/>
      <c r="AO108" s="15">
        <f t="shared" si="141"/>
        <v>7434.6883333333326</v>
      </c>
      <c r="AP108" s="15">
        <f t="shared" si="142"/>
        <v>7434.6883333333326</v>
      </c>
      <c r="AQ108" s="179">
        <f t="shared" si="85"/>
        <v>7434.6883333333326</v>
      </c>
      <c r="AR108" s="127">
        <f t="shared" si="115"/>
        <v>0</v>
      </c>
      <c r="AS108" s="112">
        <f t="shared" si="143"/>
        <v>7078998.8002499994</v>
      </c>
      <c r="AT108" s="112">
        <f t="shared" si="138"/>
        <v>11362206.999950001</v>
      </c>
      <c r="AU108" s="112">
        <f t="shared" si="138"/>
        <v>0</v>
      </c>
      <c r="AV108" s="112">
        <f t="shared" si="138"/>
        <v>1912012.1347499997</v>
      </c>
      <c r="AW108" s="112">
        <f t="shared" si="138"/>
        <v>0</v>
      </c>
      <c r="AX108" s="112">
        <f t="shared" si="86"/>
        <v>20353217.934950002</v>
      </c>
      <c r="AY108" s="112">
        <f t="shared" si="87"/>
        <v>20353217.934950002</v>
      </c>
      <c r="AZ108" s="112">
        <f t="shared" ref="AZ108:BC141" si="146">O108*AI108</f>
        <v>7564735.4339699987</v>
      </c>
      <c r="BA108" s="112">
        <f t="shared" si="146"/>
        <v>12516425.295183334</v>
      </c>
      <c r="BB108" s="112">
        <f t="shared" si="144"/>
        <v>0</v>
      </c>
      <c r="BC108" s="112">
        <f t="shared" si="144"/>
        <v>2043207.8538299997</v>
      </c>
      <c r="BD108" s="112">
        <f t="shared" si="145"/>
        <v>0</v>
      </c>
      <c r="BE108" s="112">
        <f t="shared" si="88"/>
        <v>22124368.582983334</v>
      </c>
      <c r="BF108" s="112">
        <f t="shared" si="89"/>
        <v>22124368.582983334</v>
      </c>
      <c r="BG108" s="112">
        <v>579.27</v>
      </c>
      <c r="BH108" s="112">
        <v>140.21</v>
      </c>
      <c r="BI108" s="127">
        <f>BG108+BH108</f>
        <v>719.48</v>
      </c>
      <c r="BJ108" s="124">
        <v>22124.368392762175</v>
      </c>
      <c r="BK108" s="124">
        <v>21011.00174</v>
      </c>
      <c r="BL108" s="112">
        <f>I108*T108</f>
        <v>4250470.6737499991</v>
      </c>
      <c r="BM108" s="112">
        <f>J108*U108</f>
        <v>6633867.8449900001</v>
      </c>
      <c r="BN108" s="112">
        <f t="shared" si="93"/>
        <v>0</v>
      </c>
      <c r="BO108" s="112">
        <f>L108*W108</f>
        <v>1124640.7807499999</v>
      </c>
      <c r="BP108" s="112">
        <f t="shared" si="93"/>
        <v>0</v>
      </c>
      <c r="BQ108" s="112">
        <f>BL108+BM108+BN108+BO108+BP108</f>
        <v>12008979.299489997</v>
      </c>
      <c r="BR108" s="112">
        <f>BQ108-BP108</f>
        <v>12008979.299489997</v>
      </c>
      <c r="BS108" s="112">
        <f>O108*AA108</f>
        <v>3022612.0314866663</v>
      </c>
      <c r="BT108" s="112">
        <f>P108*AB108</f>
        <v>5208662.7011466669</v>
      </c>
      <c r="BU108" s="112">
        <f t="shared" si="94"/>
        <v>0</v>
      </c>
      <c r="BV108" s="112">
        <f>R108*W108</f>
        <v>1201809.7763099999</v>
      </c>
      <c r="BW108" s="112">
        <f t="shared" si="97"/>
        <v>0</v>
      </c>
      <c r="BX108" s="112">
        <f>BS108+BT108+BU108+BV108+BW108</f>
        <v>9433084.5089433342</v>
      </c>
      <c r="BY108" s="112">
        <f>BX108-BW108</f>
        <v>9433084.5089433342</v>
      </c>
      <c r="BZ108" s="113">
        <f>BM108+BT108</f>
        <v>11842530.546136666</v>
      </c>
      <c r="CA108" s="113">
        <f t="shared" si="95"/>
        <v>0</v>
      </c>
      <c r="CB108" s="113">
        <f t="shared" si="135"/>
        <v>11842530.546136666</v>
      </c>
      <c r="CC108" s="119">
        <f t="shared" si="96"/>
        <v>2815.608837506642</v>
      </c>
      <c r="CD108" s="119" t="e">
        <f t="shared" si="96"/>
        <v>#DIV/0!</v>
      </c>
      <c r="CE108" s="119">
        <f t="shared" si="116"/>
        <v>2815.608837506642</v>
      </c>
      <c r="CF108" s="119">
        <f t="shared" si="98"/>
        <v>2815.608837506642</v>
      </c>
      <c r="CG108" s="619">
        <f t="shared" si="99"/>
        <v>12047189.056396667</v>
      </c>
      <c r="CH108" s="132">
        <f t="shared" si="117"/>
        <v>2864.2672140178165</v>
      </c>
      <c r="CI108" s="106"/>
      <c r="CJ108" s="208">
        <f t="shared" si="118"/>
        <v>13051.695772829999</v>
      </c>
      <c r="CK108" s="208">
        <f t="shared" si="100"/>
        <v>9072.6728101533336</v>
      </c>
      <c r="CL108" s="127">
        <f>CJ108+CK108</f>
        <v>22124.368582983334</v>
      </c>
      <c r="CM108" s="18">
        <f t="shared" si="119"/>
        <v>22124.368582983334</v>
      </c>
      <c r="CN108" s="18">
        <f t="shared" si="120"/>
        <v>0</v>
      </c>
      <c r="CO108" s="112">
        <f t="shared" si="101"/>
        <v>21286310.619903333</v>
      </c>
      <c r="CP108" s="112">
        <f t="shared" si="102"/>
        <v>20353217.934950002</v>
      </c>
      <c r="CQ108" s="112">
        <f t="shared" si="103"/>
        <v>20353217.934950002</v>
      </c>
      <c r="CR108" s="112">
        <f t="shared" si="104"/>
        <v>12008979.299489997</v>
      </c>
      <c r="CS108" s="112">
        <f t="shared" si="105"/>
        <v>22124368.582983334</v>
      </c>
      <c r="CT108" s="112">
        <f t="shared" si="106"/>
        <v>22124368.582983334</v>
      </c>
      <c r="CU108" s="112">
        <f t="shared" si="107"/>
        <v>9072672.8101533335</v>
      </c>
      <c r="CV108" s="112">
        <f t="shared" si="121"/>
        <v>42477586.517933339</v>
      </c>
      <c r="CW108" s="843">
        <f t="shared" si="122"/>
        <v>5713.4320382315964</v>
      </c>
      <c r="CX108" s="112">
        <f t="shared" si="108"/>
        <v>11362206.999950001</v>
      </c>
      <c r="CY108" s="112">
        <f t="shared" si="109"/>
        <v>12516425.295183334</v>
      </c>
      <c r="CZ108" s="112"/>
      <c r="DA108" s="112">
        <f t="shared" si="110"/>
        <v>20703748.33625</v>
      </c>
      <c r="DB108" s="112">
        <f t="shared" si="111"/>
        <v>22124368.582983334</v>
      </c>
      <c r="DC108" s="106"/>
      <c r="DD108" s="128">
        <f t="shared" si="123"/>
        <v>110.15839876212792</v>
      </c>
      <c r="DE108" s="106"/>
      <c r="DF108" s="106"/>
      <c r="DG108" s="106"/>
      <c r="DH108" s="112">
        <v>7434.6869999999999</v>
      </c>
      <c r="DI108" s="797">
        <v>4206.0289999999995</v>
      </c>
      <c r="DJ108" s="797">
        <f t="shared" si="124"/>
        <v>3228.6580000000004</v>
      </c>
      <c r="DK108" s="106"/>
      <c r="DL108" s="618">
        <f t="shared" si="112"/>
        <v>0</v>
      </c>
      <c r="DM108" s="618">
        <f t="shared" si="113"/>
        <v>0</v>
      </c>
      <c r="DN108" s="618">
        <f t="shared" si="114"/>
        <v>0</v>
      </c>
      <c r="DO108" s="106"/>
    </row>
    <row r="109" spans="1:119" customFormat="1" ht="100.5" customHeight="1">
      <c r="A109" s="20">
        <f t="shared" si="125"/>
        <v>91</v>
      </c>
      <c r="B109" s="1281" t="s">
        <v>39</v>
      </c>
      <c r="C109" s="1285" t="s">
        <v>120</v>
      </c>
      <c r="D109" s="967" t="s">
        <v>141</v>
      </c>
      <c r="E109" s="617">
        <v>4632024035</v>
      </c>
      <c r="F109" s="1280" t="s">
        <v>8</v>
      </c>
      <c r="G109" s="1245" t="s">
        <v>956</v>
      </c>
      <c r="H109" s="866">
        <v>3299.1600000000003</v>
      </c>
      <c r="I109" s="825">
        <v>3299.1600000000003</v>
      </c>
      <c r="J109" s="756"/>
      <c r="K109" s="756"/>
      <c r="L109" s="872">
        <v>3299.1600000000003</v>
      </c>
      <c r="M109" s="867"/>
      <c r="N109" s="1207">
        <f t="shared" ref="N109:N121" si="147">2762.47*1.2</f>
        <v>3314.9639999999995</v>
      </c>
      <c r="O109" s="1208">
        <f t="shared" ref="O109:O121" si="148">N109</f>
        <v>3314.9639999999995</v>
      </c>
      <c r="P109" s="963"/>
      <c r="Q109" s="963"/>
      <c r="R109" s="1208">
        <f t="shared" ref="R109:R121" si="149">O109</f>
        <v>3314.9639999999995</v>
      </c>
      <c r="S109" s="910"/>
      <c r="T109" s="1016">
        <v>83.645526255015795</v>
      </c>
      <c r="U109" s="1005"/>
      <c r="V109" s="1004"/>
      <c r="W109" s="1005"/>
      <c r="X109" s="1005"/>
      <c r="Y109" s="1005"/>
      <c r="Z109" s="996">
        <f t="shared" si="126"/>
        <v>83.645526255015795</v>
      </c>
      <c r="AA109" s="1006">
        <v>48.571746873523743</v>
      </c>
      <c r="AB109" s="16"/>
      <c r="AC109" s="227"/>
      <c r="AD109" s="16"/>
      <c r="AE109" s="16"/>
      <c r="AF109" s="16"/>
      <c r="AG109" s="926">
        <f t="shared" si="127"/>
        <v>48.571746873523743</v>
      </c>
      <c r="AH109" s="894">
        <f t="shared" si="129"/>
        <v>132.21727312853955</v>
      </c>
      <c r="AI109" s="15">
        <f t="shared" si="137"/>
        <v>132.21727312853955</v>
      </c>
      <c r="AJ109" s="15">
        <f t="shared" si="137"/>
        <v>0</v>
      </c>
      <c r="AK109" s="15">
        <f t="shared" si="137"/>
        <v>0</v>
      </c>
      <c r="AL109" s="15">
        <f t="shared" si="137"/>
        <v>0</v>
      </c>
      <c r="AM109" s="15">
        <f t="shared" si="137"/>
        <v>0</v>
      </c>
      <c r="AN109" s="15"/>
      <c r="AO109" s="15">
        <f t="shared" si="141"/>
        <v>132.21727312853955</v>
      </c>
      <c r="AP109" s="15">
        <f t="shared" si="142"/>
        <v>132.21727312853955</v>
      </c>
      <c r="AQ109" s="15">
        <f t="shared" si="85"/>
        <v>132.21727312853955</v>
      </c>
      <c r="AR109" s="127">
        <f t="shared" si="115"/>
        <v>0</v>
      </c>
      <c r="AS109" s="112">
        <f t="shared" si="143"/>
        <v>436205.93881475256</v>
      </c>
      <c r="AT109" s="112">
        <f t="shared" si="138"/>
        <v>0</v>
      </c>
      <c r="AU109" s="112">
        <f t="shared" si="138"/>
        <v>0</v>
      </c>
      <c r="AV109" s="112">
        <f t="shared" si="138"/>
        <v>0</v>
      </c>
      <c r="AW109" s="112">
        <f t="shared" si="138"/>
        <v>0</v>
      </c>
      <c r="AX109" s="112">
        <f t="shared" si="86"/>
        <v>436205.93881475256</v>
      </c>
      <c r="AY109" s="112">
        <f t="shared" si="87"/>
        <v>436205.93881475256</v>
      </c>
      <c r="AZ109" s="112">
        <f t="shared" si="146"/>
        <v>438295.50059927593</v>
      </c>
      <c r="BA109" s="112">
        <f t="shared" si="146"/>
        <v>0</v>
      </c>
      <c r="BB109" s="112">
        <f t="shared" si="144"/>
        <v>0</v>
      </c>
      <c r="BC109" s="112">
        <f t="shared" si="144"/>
        <v>0</v>
      </c>
      <c r="BD109" s="112">
        <f t="shared" si="145"/>
        <v>0</v>
      </c>
      <c r="BE109" s="112">
        <f t="shared" si="88"/>
        <v>438295.50059927593</v>
      </c>
      <c r="BF109" s="112">
        <f t="shared" si="89"/>
        <v>438295.50059927593</v>
      </c>
      <c r="BG109" s="126"/>
      <c r="BH109" s="126"/>
      <c r="BI109" s="112">
        <f t="shared" si="84"/>
        <v>0</v>
      </c>
      <c r="BJ109" s="112"/>
      <c r="BK109" s="112"/>
      <c r="BL109" s="112">
        <f t="shared" si="93"/>
        <v>275959.97439949797</v>
      </c>
      <c r="BM109" s="112">
        <f t="shared" si="93"/>
        <v>0</v>
      </c>
      <c r="BN109" s="112">
        <f t="shared" si="93"/>
        <v>0</v>
      </c>
      <c r="BO109" s="112">
        <f t="shared" si="93"/>
        <v>0</v>
      </c>
      <c r="BP109" s="112">
        <f t="shared" si="93"/>
        <v>0</v>
      </c>
      <c r="BQ109" s="112">
        <f t="shared" si="130"/>
        <v>275959.97439949797</v>
      </c>
      <c r="BR109" s="112">
        <f t="shared" si="131"/>
        <v>275959.97439949797</v>
      </c>
      <c r="BS109" s="112">
        <f t="shared" si="94"/>
        <v>161013.59230284372</v>
      </c>
      <c r="BT109" s="112">
        <f t="shared" si="94"/>
        <v>0</v>
      </c>
      <c r="BU109" s="112">
        <f t="shared" si="94"/>
        <v>0</v>
      </c>
      <c r="BV109" s="112">
        <f t="shared" si="132"/>
        <v>0</v>
      </c>
      <c r="BW109" s="112">
        <f t="shared" si="97"/>
        <v>0</v>
      </c>
      <c r="BX109" s="112">
        <f t="shared" si="133"/>
        <v>161013.59230284372</v>
      </c>
      <c r="BY109" s="112">
        <f t="shared" si="134"/>
        <v>161013.59230284372</v>
      </c>
      <c r="BZ109" s="113">
        <f t="shared" si="95"/>
        <v>0</v>
      </c>
      <c r="CA109" s="113">
        <f t="shared" si="95"/>
        <v>0</v>
      </c>
      <c r="CB109" s="113">
        <f t="shared" si="135"/>
        <v>0</v>
      </c>
      <c r="CC109" s="119" t="e">
        <f t="shared" si="96"/>
        <v>#DIV/0!</v>
      </c>
      <c r="CD109" s="119" t="e">
        <f t="shared" si="96"/>
        <v>#DIV/0!</v>
      </c>
      <c r="CE109" s="119" t="e">
        <f t="shared" si="116"/>
        <v>#DIV/0!</v>
      </c>
      <c r="CF109" s="113" t="e">
        <f t="shared" si="98"/>
        <v>#DIV/0!</v>
      </c>
      <c r="CG109" s="619">
        <f t="shared" si="99"/>
        <v>0</v>
      </c>
      <c r="CH109" s="132" t="e">
        <f t="shared" si="117"/>
        <v>#DIV/0!</v>
      </c>
      <c r="CI109" s="625"/>
      <c r="CJ109" s="208">
        <f t="shared" si="118"/>
        <v>277.28190829643211</v>
      </c>
      <c r="CK109" s="208">
        <f t="shared" si="100"/>
        <v>161.01359230284373</v>
      </c>
      <c r="CL109" s="208">
        <f t="shared" si="128"/>
        <v>438.29550059927584</v>
      </c>
      <c r="CM109" s="18">
        <f t="shared" si="119"/>
        <v>438.2955005992759</v>
      </c>
      <c r="CN109" s="18">
        <f t="shared" si="120"/>
        <v>0</v>
      </c>
      <c r="CO109" s="112">
        <f t="shared" si="101"/>
        <v>436973.56670234166</v>
      </c>
      <c r="CP109" s="112">
        <f t="shared" si="102"/>
        <v>436205.93881475256</v>
      </c>
      <c r="CQ109" s="112">
        <f t="shared" si="103"/>
        <v>436205.93881475256</v>
      </c>
      <c r="CR109" s="112">
        <f t="shared" si="104"/>
        <v>275959.97439949797</v>
      </c>
      <c r="CS109" s="112">
        <f t="shared" si="105"/>
        <v>438295.50059927593</v>
      </c>
      <c r="CT109" s="112">
        <f t="shared" si="106"/>
        <v>438295.50059927593</v>
      </c>
      <c r="CU109" s="112">
        <f t="shared" si="107"/>
        <v>161013.59230284372</v>
      </c>
      <c r="CV109" s="112">
        <f t="shared" si="121"/>
        <v>874501.43941402854</v>
      </c>
      <c r="CW109" s="843">
        <f t="shared" si="122"/>
        <v>6614.1240000000007</v>
      </c>
      <c r="CX109" s="112">
        <f t="shared" si="108"/>
        <v>0</v>
      </c>
      <c r="CY109" s="112">
        <f t="shared" si="109"/>
        <v>0</v>
      </c>
      <c r="CZ109" s="112"/>
      <c r="DA109" s="112">
        <f t="shared" si="110"/>
        <v>436205.93881475256</v>
      </c>
      <c r="DB109" s="112">
        <f t="shared" si="111"/>
        <v>438295.50059927593</v>
      </c>
      <c r="DC109" s="625"/>
      <c r="DD109" s="128" t="e">
        <f t="shared" si="123"/>
        <v>#DIV/0!</v>
      </c>
      <c r="DE109" s="625"/>
      <c r="DF109" s="625"/>
      <c r="DG109" s="625"/>
      <c r="DH109" s="797">
        <v>136.41</v>
      </c>
      <c r="DI109" s="797">
        <v>0</v>
      </c>
      <c r="DJ109" s="797">
        <f t="shared" si="124"/>
        <v>136.41</v>
      </c>
      <c r="DK109" s="625"/>
      <c r="DL109" s="618">
        <f t="shared" si="112"/>
        <v>0</v>
      </c>
      <c r="DM109" s="618">
        <f t="shared" si="113"/>
        <v>0</v>
      </c>
      <c r="DN109" s="618">
        <f t="shared" si="114"/>
        <v>0</v>
      </c>
      <c r="DO109" s="123"/>
    </row>
    <row r="110" spans="1:119" customFormat="1" ht="100.5" customHeight="1">
      <c r="A110" s="20">
        <f t="shared" si="125"/>
        <v>92</v>
      </c>
      <c r="B110" s="1281" t="s">
        <v>39</v>
      </c>
      <c r="C110" s="1285" t="s">
        <v>121</v>
      </c>
      <c r="D110" s="967" t="s">
        <v>141</v>
      </c>
      <c r="E110" s="617">
        <v>4632024035</v>
      </c>
      <c r="F110" s="1280" t="s">
        <v>8</v>
      </c>
      <c r="G110" s="1245" t="s">
        <v>956</v>
      </c>
      <c r="H110" s="866">
        <v>3299.1600000000003</v>
      </c>
      <c r="I110" s="825">
        <v>3299.1600000000003</v>
      </c>
      <c r="J110" s="756"/>
      <c r="K110" s="756"/>
      <c r="L110" s="872">
        <v>3299.1600000000003</v>
      </c>
      <c r="M110" s="867"/>
      <c r="N110" s="1207">
        <f t="shared" si="147"/>
        <v>3314.9639999999995</v>
      </c>
      <c r="O110" s="1208">
        <f t="shared" si="148"/>
        <v>3314.9639999999995</v>
      </c>
      <c r="P110" s="963"/>
      <c r="Q110" s="963"/>
      <c r="R110" s="1208">
        <f t="shared" si="149"/>
        <v>3314.9639999999995</v>
      </c>
      <c r="S110" s="910"/>
      <c r="T110" s="1016">
        <v>62.734629323155147</v>
      </c>
      <c r="U110" s="1005"/>
      <c r="V110" s="1004"/>
      <c r="W110" s="1005"/>
      <c r="X110" s="1005"/>
      <c r="Y110" s="1005"/>
      <c r="Z110" s="996">
        <f t="shared" si="126"/>
        <v>62.734629323155147</v>
      </c>
      <c r="AA110" s="1006">
        <v>36.428810155142806</v>
      </c>
      <c r="AB110" s="16"/>
      <c r="AC110" s="227"/>
      <c r="AD110" s="16"/>
      <c r="AE110" s="16"/>
      <c r="AF110" s="16"/>
      <c r="AG110" s="926">
        <f t="shared" si="127"/>
        <v>36.428810155142806</v>
      </c>
      <c r="AH110" s="894">
        <f t="shared" si="129"/>
        <v>99.16343947829796</v>
      </c>
      <c r="AI110" s="15">
        <f t="shared" si="137"/>
        <v>99.16343947829796</v>
      </c>
      <c r="AJ110" s="15">
        <f t="shared" si="137"/>
        <v>0</v>
      </c>
      <c r="AK110" s="15">
        <f t="shared" si="137"/>
        <v>0</v>
      </c>
      <c r="AL110" s="15">
        <f t="shared" si="137"/>
        <v>0</v>
      </c>
      <c r="AM110" s="15">
        <f t="shared" si="137"/>
        <v>0</v>
      </c>
      <c r="AN110" s="15"/>
      <c r="AO110" s="15">
        <f t="shared" si="141"/>
        <v>99.16343947829796</v>
      </c>
      <c r="AP110" s="15">
        <f t="shared" si="142"/>
        <v>99.16343947829796</v>
      </c>
      <c r="AQ110" s="15">
        <f t="shared" si="85"/>
        <v>99.16343947829796</v>
      </c>
      <c r="AR110" s="127">
        <f t="shared" si="115"/>
        <v>0</v>
      </c>
      <c r="AS110" s="112">
        <f t="shared" si="143"/>
        <v>327156.05298922153</v>
      </c>
      <c r="AT110" s="112">
        <f t="shared" si="138"/>
        <v>0</v>
      </c>
      <c r="AU110" s="112">
        <f t="shared" si="138"/>
        <v>0</v>
      </c>
      <c r="AV110" s="112">
        <f t="shared" si="138"/>
        <v>0</v>
      </c>
      <c r="AW110" s="112">
        <f t="shared" si="138"/>
        <v>0</v>
      </c>
      <c r="AX110" s="112">
        <f t="shared" si="86"/>
        <v>327156.05298922153</v>
      </c>
      <c r="AY110" s="112">
        <f t="shared" si="87"/>
        <v>327156.05298922153</v>
      </c>
      <c r="AZ110" s="112">
        <f t="shared" si="146"/>
        <v>328723.23198673647</v>
      </c>
      <c r="BA110" s="112">
        <f t="shared" si="146"/>
        <v>0</v>
      </c>
      <c r="BB110" s="112">
        <f t="shared" si="144"/>
        <v>0</v>
      </c>
      <c r="BC110" s="112">
        <f t="shared" si="144"/>
        <v>0</v>
      </c>
      <c r="BD110" s="112">
        <f t="shared" si="145"/>
        <v>0</v>
      </c>
      <c r="BE110" s="112">
        <f t="shared" si="88"/>
        <v>328723.23198673647</v>
      </c>
      <c r="BF110" s="112">
        <f t="shared" si="89"/>
        <v>328723.23198673647</v>
      </c>
      <c r="BG110" s="126"/>
      <c r="BH110" s="126"/>
      <c r="BI110" s="112">
        <f t="shared" si="84"/>
        <v>0</v>
      </c>
      <c r="BJ110" s="112"/>
      <c r="BK110" s="112"/>
      <c r="BL110" s="112">
        <f t="shared" si="93"/>
        <v>206971.57967778057</v>
      </c>
      <c r="BM110" s="112">
        <f t="shared" si="93"/>
        <v>0</v>
      </c>
      <c r="BN110" s="112">
        <f t="shared" si="93"/>
        <v>0</v>
      </c>
      <c r="BO110" s="112">
        <f t="shared" si="93"/>
        <v>0</v>
      </c>
      <c r="BP110" s="112">
        <f t="shared" si="93"/>
        <v>0</v>
      </c>
      <c r="BQ110" s="112">
        <f t="shared" si="130"/>
        <v>206971.57967778057</v>
      </c>
      <c r="BR110" s="112">
        <f t="shared" si="131"/>
        <v>206971.57967778057</v>
      </c>
      <c r="BS110" s="112">
        <f t="shared" si="94"/>
        <v>120760.1942271328</v>
      </c>
      <c r="BT110" s="112">
        <f t="shared" si="94"/>
        <v>0</v>
      </c>
      <c r="BU110" s="112">
        <f t="shared" si="94"/>
        <v>0</v>
      </c>
      <c r="BV110" s="112">
        <f t="shared" si="132"/>
        <v>0</v>
      </c>
      <c r="BW110" s="112">
        <f t="shared" si="97"/>
        <v>0</v>
      </c>
      <c r="BX110" s="112">
        <f t="shared" si="133"/>
        <v>120760.1942271328</v>
      </c>
      <c r="BY110" s="112">
        <f t="shared" si="134"/>
        <v>120760.1942271328</v>
      </c>
      <c r="BZ110" s="113">
        <f t="shared" si="95"/>
        <v>0</v>
      </c>
      <c r="CA110" s="113">
        <f t="shared" si="95"/>
        <v>0</v>
      </c>
      <c r="CB110" s="113">
        <f t="shared" si="135"/>
        <v>0</v>
      </c>
      <c r="CC110" s="119" t="e">
        <f t="shared" si="96"/>
        <v>#DIV/0!</v>
      </c>
      <c r="CD110" s="119" t="e">
        <f t="shared" si="96"/>
        <v>#DIV/0!</v>
      </c>
      <c r="CE110" s="119" t="e">
        <f t="shared" si="116"/>
        <v>#DIV/0!</v>
      </c>
      <c r="CF110" s="113" t="e">
        <f t="shared" si="98"/>
        <v>#DIV/0!</v>
      </c>
      <c r="CG110" s="619">
        <f t="shared" si="99"/>
        <v>0</v>
      </c>
      <c r="CH110" s="132" t="e">
        <f t="shared" si="117"/>
        <v>#DIV/0!</v>
      </c>
      <c r="CI110" s="625"/>
      <c r="CJ110" s="208">
        <f t="shared" si="118"/>
        <v>207.96303775960365</v>
      </c>
      <c r="CK110" s="208">
        <f t="shared" si="100"/>
        <v>120.7601942271328</v>
      </c>
      <c r="CL110" s="208">
        <f t="shared" si="128"/>
        <v>328.72323198673644</v>
      </c>
      <c r="CM110" s="18">
        <f t="shared" si="119"/>
        <v>328.72323198673649</v>
      </c>
      <c r="CN110" s="18">
        <f t="shared" si="120"/>
        <v>0</v>
      </c>
      <c r="CO110" s="112">
        <f t="shared" si="101"/>
        <v>327731.77390491334</v>
      </c>
      <c r="CP110" s="112">
        <f t="shared" si="102"/>
        <v>327156.05298922153</v>
      </c>
      <c r="CQ110" s="112">
        <f t="shared" si="103"/>
        <v>327156.05298922153</v>
      </c>
      <c r="CR110" s="112">
        <f t="shared" si="104"/>
        <v>206971.57967778057</v>
      </c>
      <c r="CS110" s="112">
        <f t="shared" si="105"/>
        <v>328723.23198673647</v>
      </c>
      <c r="CT110" s="112">
        <f t="shared" si="106"/>
        <v>328723.23198673647</v>
      </c>
      <c r="CU110" s="112">
        <f t="shared" si="107"/>
        <v>120760.1942271328</v>
      </c>
      <c r="CV110" s="112">
        <f t="shared" si="121"/>
        <v>655879.28497595806</v>
      </c>
      <c r="CW110" s="843">
        <f t="shared" si="122"/>
        <v>6614.1240000000007</v>
      </c>
      <c r="CX110" s="112">
        <f t="shared" si="108"/>
        <v>0</v>
      </c>
      <c r="CY110" s="112">
        <f t="shared" si="109"/>
        <v>0</v>
      </c>
      <c r="CZ110" s="112"/>
      <c r="DA110" s="112">
        <f t="shared" si="110"/>
        <v>327156.05298922153</v>
      </c>
      <c r="DB110" s="112">
        <f t="shared" si="111"/>
        <v>328723.23198673647</v>
      </c>
      <c r="DC110" s="625"/>
      <c r="DD110" s="128" t="e">
        <f t="shared" si="123"/>
        <v>#DIV/0!</v>
      </c>
      <c r="DE110" s="625"/>
      <c r="DF110" s="625"/>
      <c r="DG110" s="625"/>
      <c r="DH110" s="797">
        <v>102.30800000000001</v>
      </c>
      <c r="DI110" s="797">
        <v>0</v>
      </c>
      <c r="DJ110" s="797">
        <f t="shared" si="124"/>
        <v>102.30800000000001</v>
      </c>
      <c r="DK110" s="625"/>
      <c r="DL110" s="618">
        <f t="shared" si="112"/>
        <v>0</v>
      </c>
      <c r="DM110" s="618">
        <f t="shared" si="113"/>
        <v>0</v>
      </c>
      <c r="DN110" s="618">
        <f t="shared" si="114"/>
        <v>0</v>
      </c>
      <c r="DO110" s="123"/>
    </row>
    <row r="111" spans="1:119" customFormat="1" ht="100.5" customHeight="1">
      <c r="A111" s="20">
        <f t="shared" si="125"/>
        <v>93</v>
      </c>
      <c r="B111" s="1278" t="s">
        <v>41</v>
      </c>
      <c r="C111" s="1285" t="s">
        <v>122</v>
      </c>
      <c r="D111" s="967" t="s">
        <v>147</v>
      </c>
      <c r="E111" s="617">
        <v>4632024035</v>
      </c>
      <c r="F111" s="1280" t="s">
        <v>8</v>
      </c>
      <c r="G111" s="1245" t="s">
        <v>956</v>
      </c>
      <c r="H111" s="866">
        <v>3299.1600000000003</v>
      </c>
      <c r="I111" s="825">
        <v>3299.1600000000003</v>
      </c>
      <c r="J111" s="756">
        <v>2239.86</v>
      </c>
      <c r="K111" s="756"/>
      <c r="L111" s="872">
        <v>3299.1600000000003</v>
      </c>
      <c r="M111" s="867"/>
      <c r="N111" s="1207">
        <f t="shared" si="147"/>
        <v>3314.9639999999995</v>
      </c>
      <c r="O111" s="1208">
        <f t="shared" si="148"/>
        <v>3314.9639999999995</v>
      </c>
      <c r="P111" s="964">
        <v>2484</v>
      </c>
      <c r="Q111" s="964"/>
      <c r="R111" s="1208">
        <f t="shared" si="149"/>
        <v>3314.9639999999995</v>
      </c>
      <c r="S111" s="910"/>
      <c r="T111" s="985">
        <v>1893.8445126153026</v>
      </c>
      <c r="U111" s="986">
        <v>1253.5488551949284</v>
      </c>
      <c r="V111" s="1002"/>
      <c r="W111" s="825"/>
      <c r="X111" s="825"/>
      <c r="Y111" s="825"/>
      <c r="Z111" s="978">
        <f t="shared" si="126"/>
        <v>3147.3933678102312</v>
      </c>
      <c r="AA111" s="975">
        <v>1002.8003136044791</v>
      </c>
      <c r="AB111" s="974">
        <v>940.18587299086107</v>
      </c>
      <c r="AC111" s="227"/>
      <c r="AD111" s="16"/>
      <c r="AE111" s="16"/>
      <c r="AF111" s="16"/>
      <c r="AG111" s="926">
        <f t="shared" si="127"/>
        <v>1942.9861865953403</v>
      </c>
      <c r="AH111" s="894">
        <f t="shared" si="129"/>
        <v>5090.379554405572</v>
      </c>
      <c r="AI111" s="15">
        <f t="shared" si="137"/>
        <v>2896.6448262197819</v>
      </c>
      <c r="AJ111" s="15">
        <f t="shared" si="137"/>
        <v>2193.7347281857892</v>
      </c>
      <c r="AK111" s="15">
        <f t="shared" si="137"/>
        <v>0</v>
      </c>
      <c r="AL111" s="15">
        <f t="shared" si="137"/>
        <v>0</v>
      </c>
      <c r="AM111" s="15">
        <f t="shared" si="137"/>
        <v>0</v>
      </c>
      <c r="AN111" s="15"/>
      <c r="AO111" s="15">
        <f t="shared" si="141"/>
        <v>5090.3795544055711</v>
      </c>
      <c r="AP111" s="15">
        <f t="shared" si="142"/>
        <v>5090.3795544055711</v>
      </c>
      <c r="AQ111" s="15">
        <f t="shared" si="85"/>
        <v>5090.3795544055711</v>
      </c>
      <c r="AR111" s="127">
        <f t="shared" si="115"/>
        <v>0</v>
      </c>
      <c r="AS111" s="112">
        <f t="shared" si="143"/>
        <v>9556494.7448712569</v>
      </c>
      <c r="AT111" s="112">
        <f t="shared" si="138"/>
        <v>4913658.6682742219</v>
      </c>
      <c r="AU111" s="112">
        <f t="shared" si="138"/>
        <v>0</v>
      </c>
      <c r="AV111" s="112">
        <f t="shared" si="138"/>
        <v>0</v>
      </c>
      <c r="AW111" s="112">
        <f t="shared" si="138"/>
        <v>0</v>
      </c>
      <c r="AX111" s="112">
        <f t="shared" si="86"/>
        <v>14470153.413145479</v>
      </c>
      <c r="AY111" s="112">
        <f t="shared" si="87"/>
        <v>14470153.413145479</v>
      </c>
      <c r="AZ111" s="112">
        <f t="shared" si="146"/>
        <v>9602273.3197048306</v>
      </c>
      <c r="BA111" s="112">
        <f t="shared" si="146"/>
        <v>5449237.0648135003</v>
      </c>
      <c r="BB111" s="112">
        <f t="shared" si="144"/>
        <v>0</v>
      </c>
      <c r="BC111" s="112">
        <f t="shared" si="144"/>
        <v>0</v>
      </c>
      <c r="BD111" s="112">
        <f t="shared" si="145"/>
        <v>0</v>
      </c>
      <c r="BE111" s="112">
        <f t="shared" si="88"/>
        <v>15051510.384518331</v>
      </c>
      <c r="BF111" s="112">
        <f t="shared" si="89"/>
        <v>15051510.384518331</v>
      </c>
      <c r="BG111" s="623">
        <f>(O111-P111)/1.2*U111/1000</f>
        <v>868.04497575683149</v>
      </c>
      <c r="BH111" s="624">
        <f>(O111-P111)/1.2*AB111/1000</f>
        <v>651.05051146998119</v>
      </c>
      <c r="BI111" s="623">
        <f t="shared" si="84"/>
        <v>1519.0954872268126</v>
      </c>
      <c r="BJ111" s="169"/>
      <c r="BK111" s="169"/>
      <c r="BL111" s="112">
        <f t="shared" ref="BL111:BP133" si="150">I111*T111</f>
        <v>6248096.0622399021</v>
      </c>
      <c r="BM111" s="112">
        <f t="shared" si="150"/>
        <v>2807773.9387969123</v>
      </c>
      <c r="BN111" s="112">
        <f t="shared" si="150"/>
        <v>0</v>
      </c>
      <c r="BO111" s="112">
        <f t="shared" si="150"/>
        <v>0</v>
      </c>
      <c r="BP111" s="112">
        <f t="shared" si="150"/>
        <v>0</v>
      </c>
      <c r="BQ111" s="112">
        <f t="shared" si="130"/>
        <v>9055870.0010368153</v>
      </c>
      <c r="BR111" s="112">
        <f t="shared" si="131"/>
        <v>9055870.0010368153</v>
      </c>
      <c r="BS111" s="112">
        <f t="shared" ref="BS111:BU144" si="151">O111*AA111</f>
        <v>3324246.9387875581</v>
      </c>
      <c r="BT111" s="112">
        <f t="shared" si="151"/>
        <v>2335421.708509299</v>
      </c>
      <c r="BU111" s="112">
        <f t="shared" si="151"/>
        <v>0</v>
      </c>
      <c r="BV111" s="112">
        <f t="shared" si="132"/>
        <v>0</v>
      </c>
      <c r="BW111" s="112">
        <f t="shared" si="97"/>
        <v>0</v>
      </c>
      <c r="BX111" s="112">
        <f t="shared" si="133"/>
        <v>5659668.6472968571</v>
      </c>
      <c r="BY111" s="112">
        <f t="shared" si="134"/>
        <v>5659668.6472968571</v>
      </c>
      <c r="BZ111" s="113">
        <f t="shared" si="95"/>
        <v>5143195.6473062113</v>
      </c>
      <c r="CA111" s="113">
        <f t="shared" si="95"/>
        <v>0</v>
      </c>
      <c r="CB111" s="113">
        <f t="shared" si="135"/>
        <v>5143195.6473062113</v>
      </c>
      <c r="CC111" s="119">
        <f t="shared" si="96"/>
        <v>2344.4929695577257</v>
      </c>
      <c r="CD111" s="119" t="e">
        <f t="shared" si="96"/>
        <v>#DIV/0!</v>
      </c>
      <c r="CE111" s="119">
        <f t="shared" si="116"/>
        <v>2344.4929695577257</v>
      </c>
      <c r="CF111" s="119">
        <f t="shared" si="98"/>
        <v>2344.4929695577257</v>
      </c>
      <c r="CG111" s="619">
        <f t="shared" si="99"/>
        <v>7252340.5633781767</v>
      </c>
      <c r="CH111" s="132">
        <f t="shared" si="117"/>
        <v>3305.9332426103479</v>
      </c>
      <c r="CI111" s="625"/>
      <c r="CJ111" s="208">
        <f t="shared" si="118"/>
        <v>10433.495708129674</v>
      </c>
      <c r="CK111" s="208">
        <f t="shared" si="100"/>
        <v>6440.9292610608345</v>
      </c>
      <c r="CL111" s="208">
        <f t="shared" si="128"/>
        <v>16874.42496919051</v>
      </c>
      <c r="CM111" s="18">
        <f t="shared" si="119"/>
        <v>16874.42496919051</v>
      </c>
      <c r="CN111" s="18">
        <f t="shared" si="120"/>
        <v>0</v>
      </c>
      <c r="CO111" s="112">
        <f t="shared" si="101"/>
        <v>16824683.564405639</v>
      </c>
      <c r="CP111" s="112">
        <f t="shared" si="102"/>
        <v>14470153.413145479</v>
      </c>
      <c r="CQ111" s="112">
        <f t="shared" si="103"/>
        <v>14470153.413145479</v>
      </c>
      <c r="CR111" s="112">
        <f t="shared" si="104"/>
        <v>9055870.0010368153</v>
      </c>
      <c r="CS111" s="112">
        <f t="shared" si="105"/>
        <v>15051510.384518331</v>
      </c>
      <c r="CT111" s="112">
        <f t="shared" si="106"/>
        <v>15051510.384518331</v>
      </c>
      <c r="CU111" s="112">
        <f t="shared" si="107"/>
        <v>5659668.6472968571</v>
      </c>
      <c r="CV111" s="112">
        <f t="shared" si="121"/>
        <v>29521663.797663808</v>
      </c>
      <c r="CW111" s="843">
        <f t="shared" si="122"/>
        <v>5799.5014874900016</v>
      </c>
      <c r="CX111" s="112">
        <f t="shared" si="108"/>
        <v>4913658.6682742219</v>
      </c>
      <c r="CY111" s="112">
        <f t="shared" si="109"/>
        <v>5449237.0648135003</v>
      </c>
      <c r="CZ111" s="112"/>
      <c r="DA111" s="112">
        <f t="shared" si="110"/>
        <v>16793976.610712685</v>
      </c>
      <c r="DB111" s="112">
        <f t="shared" si="111"/>
        <v>16874424.969190508</v>
      </c>
      <c r="DC111" s="625"/>
      <c r="DD111" s="128">
        <f t="shared" si="123"/>
        <v>147.99871420535209</v>
      </c>
      <c r="DE111" s="625"/>
      <c r="DF111" s="625"/>
      <c r="DG111" s="625"/>
      <c r="DH111" s="797">
        <v>5251.8000000000011</v>
      </c>
      <c r="DI111" s="797">
        <v>2263.3000000000002</v>
      </c>
      <c r="DJ111" s="797">
        <f t="shared" si="124"/>
        <v>2988.5000000000009</v>
      </c>
      <c r="DK111" s="625"/>
      <c r="DL111" s="618">
        <f t="shared" si="112"/>
        <v>0</v>
      </c>
      <c r="DM111" s="618">
        <f t="shared" si="113"/>
        <v>0</v>
      </c>
      <c r="DN111" s="618">
        <f t="shared" si="114"/>
        <v>0</v>
      </c>
      <c r="DO111" s="123"/>
    </row>
    <row r="112" spans="1:119" customFormat="1" ht="100.5" customHeight="1">
      <c r="A112" s="20">
        <f t="shared" si="125"/>
        <v>94</v>
      </c>
      <c r="B112" s="1279" t="s">
        <v>41</v>
      </c>
      <c r="C112" s="1285" t="s">
        <v>123</v>
      </c>
      <c r="D112" s="967" t="s">
        <v>141</v>
      </c>
      <c r="E112" s="617">
        <v>4632024035</v>
      </c>
      <c r="F112" s="1280" t="s">
        <v>8</v>
      </c>
      <c r="G112" s="1245" t="s">
        <v>956</v>
      </c>
      <c r="H112" s="866">
        <v>3299.1600000000003</v>
      </c>
      <c r="I112" s="825">
        <v>3299.1600000000003</v>
      </c>
      <c r="J112" s="756"/>
      <c r="K112" s="756"/>
      <c r="L112" s="872">
        <v>3299.1600000000003</v>
      </c>
      <c r="M112" s="867"/>
      <c r="N112" s="1207">
        <f t="shared" si="147"/>
        <v>3314.9639999999995</v>
      </c>
      <c r="O112" s="1208">
        <f t="shared" si="148"/>
        <v>3314.9639999999995</v>
      </c>
      <c r="P112" s="963"/>
      <c r="Q112" s="963"/>
      <c r="R112" s="1208">
        <f t="shared" si="149"/>
        <v>3314.9639999999995</v>
      </c>
      <c r="S112" s="910"/>
      <c r="T112" s="973">
        <v>302.84065453686242</v>
      </c>
      <c r="U112" s="825"/>
      <c r="V112" s="1002"/>
      <c r="W112" s="825"/>
      <c r="X112" s="825"/>
      <c r="Y112" s="825"/>
      <c r="Z112" s="978">
        <f t="shared" si="126"/>
        <v>302.84065453686242</v>
      </c>
      <c r="AA112" s="975">
        <v>176.51456670320792</v>
      </c>
      <c r="AB112" s="16"/>
      <c r="AC112" s="227"/>
      <c r="AD112" s="16"/>
      <c r="AE112" s="16"/>
      <c r="AF112" s="16"/>
      <c r="AG112" s="926">
        <f t="shared" si="127"/>
        <v>176.51456670320792</v>
      </c>
      <c r="AH112" s="894">
        <f t="shared" si="129"/>
        <v>479.35522124007036</v>
      </c>
      <c r="AI112" s="15">
        <f t="shared" si="137"/>
        <v>479.35522124007036</v>
      </c>
      <c r="AJ112" s="15">
        <f t="shared" si="137"/>
        <v>0</v>
      </c>
      <c r="AK112" s="15">
        <f t="shared" si="137"/>
        <v>0</v>
      </c>
      <c r="AL112" s="15">
        <f t="shared" si="137"/>
        <v>0</v>
      </c>
      <c r="AM112" s="15">
        <f t="shared" si="137"/>
        <v>0</v>
      </c>
      <c r="AN112" s="15"/>
      <c r="AO112" s="15">
        <f t="shared" si="141"/>
        <v>479.35522124007036</v>
      </c>
      <c r="AP112" s="15">
        <f t="shared" si="142"/>
        <v>479.35522124007036</v>
      </c>
      <c r="AQ112" s="15">
        <f t="shared" si="85"/>
        <v>479.35522124007036</v>
      </c>
      <c r="AR112" s="127">
        <f t="shared" si="115"/>
        <v>0</v>
      </c>
      <c r="AS112" s="112">
        <f t="shared" si="143"/>
        <v>1581469.5717063907</v>
      </c>
      <c r="AT112" s="112">
        <f t="shared" si="138"/>
        <v>0</v>
      </c>
      <c r="AU112" s="112">
        <f t="shared" si="138"/>
        <v>0</v>
      </c>
      <c r="AV112" s="112">
        <f t="shared" si="138"/>
        <v>0</v>
      </c>
      <c r="AW112" s="112">
        <f t="shared" si="138"/>
        <v>0</v>
      </c>
      <c r="AX112" s="112">
        <f t="shared" si="86"/>
        <v>1581469.5717063907</v>
      </c>
      <c r="AY112" s="112">
        <f t="shared" si="87"/>
        <v>1581469.5717063907</v>
      </c>
      <c r="AZ112" s="112">
        <f t="shared" si="146"/>
        <v>1589045.3016228683</v>
      </c>
      <c r="BA112" s="112">
        <f t="shared" si="146"/>
        <v>0</v>
      </c>
      <c r="BB112" s="112">
        <f t="shared" si="144"/>
        <v>0</v>
      </c>
      <c r="BC112" s="112">
        <f t="shared" si="144"/>
        <v>0</v>
      </c>
      <c r="BD112" s="112">
        <f t="shared" si="145"/>
        <v>0</v>
      </c>
      <c r="BE112" s="112">
        <f t="shared" si="88"/>
        <v>1589045.3016228683</v>
      </c>
      <c r="BF112" s="112">
        <f t="shared" si="89"/>
        <v>1589045.3016228683</v>
      </c>
      <c r="BG112" s="126"/>
      <c r="BH112" s="126"/>
      <c r="BI112" s="112">
        <f t="shared" si="84"/>
        <v>0</v>
      </c>
      <c r="BJ112" s="112"/>
      <c r="BK112" s="112"/>
      <c r="BL112" s="112">
        <f t="shared" si="150"/>
        <v>999119.77382183506</v>
      </c>
      <c r="BM112" s="112">
        <f t="shared" si="150"/>
        <v>0</v>
      </c>
      <c r="BN112" s="112">
        <f t="shared" si="150"/>
        <v>0</v>
      </c>
      <c r="BO112" s="112">
        <f t="shared" si="150"/>
        <v>0</v>
      </c>
      <c r="BP112" s="112">
        <f t="shared" si="150"/>
        <v>0</v>
      </c>
      <c r="BQ112" s="112">
        <f t="shared" si="130"/>
        <v>999119.77382183506</v>
      </c>
      <c r="BR112" s="112">
        <f t="shared" si="131"/>
        <v>999119.77382183506</v>
      </c>
      <c r="BS112" s="112">
        <f t="shared" si="151"/>
        <v>585139.43409673288</v>
      </c>
      <c r="BT112" s="112">
        <f t="shared" si="151"/>
        <v>0</v>
      </c>
      <c r="BU112" s="112">
        <f t="shared" si="151"/>
        <v>0</v>
      </c>
      <c r="BV112" s="112">
        <f t="shared" si="132"/>
        <v>0</v>
      </c>
      <c r="BW112" s="112">
        <f t="shared" si="97"/>
        <v>0</v>
      </c>
      <c r="BX112" s="112">
        <f t="shared" si="133"/>
        <v>585139.43409673288</v>
      </c>
      <c r="BY112" s="112">
        <f t="shared" si="134"/>
        <v>585139.43409673288</v>
      </c>
      <c r="BZ112" s="113">
        <f t="shared" si="95"/>
        <v>0</v>
      </c>
      <c r="CA112" s="113">
        <f t="shared" si="95"/>
        <v>0</v>
      </c>
      <c r="CB112" s="113">
        <f t="shared" si="135"/>
        <v>0</v>
      </c>
      <c r="CC112" s="119" t="e">
        <f t="shared" si="96"/>
        <v>#DIV/0!</v>
      </c>
      <c r="CD112" s="119" t="e">
        <f t="shared" si="96"/>
        <v>#DIV/0!</v>
      </c>
      <c r="CE112" s="119" t="e">
        <f t="shared" si="116"/>
        <v>#DIV/0!</v>
      </c>
      <c r="CF112" s="113" t="e">
        <f t="shared" si="98"/>
        <v>#DIV/0!</v>
      </c>
      <c r="CG112" s="619">
        <f t="shared" si="99"/>
        <v>0</v>
      </c>
      <c r="CH112" s="132" t="e">
        <f t="shared" si="117"/>
        <v>#DIV/0!</v>
      </c>
      <c r="CI112" s="625"/>
      <c r="CJ112" s="208">
        <f t="shared" si="118"/>
        <v>1003.9058675261354</v>
      </c>
      <c r="CK112" s="208">
        <f t="shared" si="100"/>
        <v>585.13943409673288</v>
      </c>
      <c r="CL112" s="208">
        <f t="shared" si="128"/>
        <v>1589.0453016228682</v>
      </c>
      <c r="CM112" s="18">
        <f t="shared" si="119"/>
        <v>1589.0453016228682</v>
      </c>
      <c r="CN112" s="18">
        <f t="shared" si="120"/>
        <v>0</v>
      </c>
      <c r="CO112" s="112">
        <f t="shared" si="101"/>
        <v>1584259.207918568</v>
      </c>
      <c r="CP112" s="112">
        <f t="shared" si="102"/>
        <v>1581469.5717063907</v>
      </c>
      <c r="CQ112" s="112">
        <f t="shared" si="103"/>
        <v>1581469.5717063907</v>
      </c>
      <c r="CR112" s="112">
        <f t="shared" si="104"/>
        <v>999119.77382183506</v>
      </c>
      <c r="CS112" s="112">
        <f t="shared" si="105"/>
        <v>1589045.3016228683</v>
      </c>
      <c r="CT112" s="112">
        <f t="shared" si="106"/>
        <v>1589045.3016228683</v>
      </c>
      <c r="CU112" s="112">
        <f t="shared" si="107"/>
        <v>585139.43409673288</v>
      </c>
      <c r="CV112" s="112">
        <f t="shared" si="121"/>
        <v>3170514.873329259</v>
      </c>
      <c r="CW112" s="843">
        <f t="shared" si="122"/>
        <v>6614.1239999999998</v>
      </c>
      <c r="CX112" s="112">
        <f t="shared" si="108"/>
        <v>0</v>
      </c>
      <c r="CY112" s="112">
        <f t="shared" si="109"/>
        <v>0</v>
      </c>
      <c r="CZ112" s="112"/>
      <c r="DA112" s="112">
        <f t="shared" si="110"/>
        <v>1581469.5717063907</v>
      </c>
      <c r="DB112" s="112">
        <f t="shared" si="111"/>
        <v>1589045.3016228683</v>
      </c>
      <c r="DC112" s="625"/>
      <c r="DD112" s="128" t="e">
        <f t="shared" si="123"/>
        <v>#DIV/0!</v>
      </c>
      <c r="DE112" s="625"/>
      <c r="DF112" s="625"/>
      <c r="DG112" s="625"/>
      <c r="DH112" s="797">
        <v>494.55600000000004</v>
      </c>
      <c r="DI112" s="797">
        <v>0</v>
      </c>
      <c r="DJ112" s="797">
        <f t="shared" si="124"/>
        <v>494.55600000000004</v>
      </c>
      <c r="DK112" s="625"/>
      <c r="DL112" s="618">
        <f t="shared" si="112"/>
        <v>0</v>
      </c>
      <c r="DM112" s="618">
        <f t="shared" si="113"/>
        <v>0</v>
      </c>
      <c r="DN112" s="618">
        <f t="shared" si="114"/>
        <v>0</v>
      </c>
      <c r="DO112" s="123"/>
    </row>
    <row r="113" spans="1:119" customFormat="1" ht="100.5" customHeight="1">
      <c r="A113" s="20">
        <f t="shared" si="125"/>
        <v>95</v>
      </c>
      <c r="B113" s="1294" t="s">
        <v>42</v>
      </c>
      <c r="C113" s="1285" t="s">
        <v>170</v>
      </c>
      <c r="D113" s="967" t="s">
        <v>145</v>
      </c>
      <c r="E113" s="617">
        <v>4632024035</v>
      </c>
      <c r="F113" s="1280" t="s">
        <v>8</v>
      </c>
      <c r="G113" s="1245" t="s">
        <v>956</v>
      </c>
      <c r="H113" s="866">
        <v>3299.1600000000003</v>
      </c>
      <c r="I113" s="825">
        <v>3299.1600000000003</v>
      </c>
      <c r="J113" s="756">
        <v>2239.86</v>
      </c>
      <c r="K113" s="756">
        <v>1643.22</v>
      </c>
      <c r="L113" s="872">
        <v>3299.1600000000003</v>
      </c>
      <c r="M113" s="873"/>
      <c r="N113" s="1207">
        <f t="shared" si="147"/>
        <v>3314.9639999999995</v>
      </c>
      <c r="O113" s="1208">
        <f t="shared" si="148"/>
        <v>3314.9639999999995</v>
      </c>
      <c r="P113" s="964">
        <v>2484</v>
      </c>
      <c r="Q113" s="964">
        <v>1822.33</v>
      </c>
      <c r="R113" s="1208">
        <f t="shared" si="149"/>
        <v>3314.9639999999995</v>
      </c>
      <c r="S113" s="913"/>
      <c r="T113" s="985">
        <v>6690.8172569188773</v>
      </c>
      <c r="U113" s="986">
        <v>10533.063232905191</v>
      </c>
      <c r="V113" s="1017">
        <v>1059.2919148782178</v>
      </c>
      <c r="W113" s="606"/>
      <c r="X113" s="606"/>
      <c r="Y113" s="606"/>
      <c r="Z113" s="930">
        <f t="shared" si="126"/>
        <v>18283.172404702287</v>
      </c>
      <c r="AA113" s="1006">
        <v>3980.8826831734282</v>
      </c>
      <c r="AB113" s="1005">
        <v>7899.7974246788917</v>
      </c>
      <c r="AC113" s="1018">
        <v>756.36208807298908</v>
      </c>
      <c r="AD113" s="606"/>
      <c r="AE113" s="606"/>
      <c r="AF113" s="606"/>
      <c r="AG113" s="930">
        <f t="shared" si="127"/>
        <v>12637.042195925309</v>
      </c>
      <c r="AH113" s="898">
        <f t="shared" si="129"/>
        <v>30920.214600627594</v>
      </c>
      <c r="AI113" s="16">
        <f t="shared" si="137"/>
        <v>10671.699940092305</v>
      </c>
      <c r="AJ113" s="16">
        <f t="shared" si="137"/>
        <v>18432.860657584082</v>
      </c>
      <c r="AK113" s="16">
        <f t="shared" si="137"/>
        <v>1815.6540029512068</v>
      </c>
      <c r="AL113" s="16">
        <f t="shared" si="137"/>
        <v>0</v>
      </c>
      <c r="AM113" s="16">
        <f t="shared" si="137"/>
        <v>0</v>
      </c>
      <c r="AN113" s="16"/>
      <c r="AO113" s="16">
        <f t="shared" si="141"/>
        <v>30920.214600627594</v>
      </c>
      <c r="AP113" s="16">
        <f t="shared" si="142"/>
        <v>30920.214600627594</v>
      </c>
      <c r="AQ113" s="16">
        <f t="shared" si="85"/>
        <v>30920.214600627594</v>
      </c>
      <c r="AR113" s="127">
        <f t="shared" si="115"/>
        <v>0</v>
      </c>
      <c r="AS113" s="112">
        <f t="shared" si="143"/>
        <v>35207645.574354932</v>
      </c>
      <c r="AT113" s="112">
        <f t="shared" si="138"/>
        <v>41287027.272496283</v>
      </c>
      <c r="AU113" s="112">
        <f t="shared" si="138"/>
        <v>2983518.9707294824</v>
      </c>
      <c r="AV113" s="112">
        <f t="shared" si="138"/>
        <v>0</v>
      </c>
      <c r="AW113" s="112">
        <f t="shared" si="138"/>
        <v>0</v>
      </c>
      <c r="AX113" s="112">
        <f t="shared" si="86"/>
        <v>79478191.8175807</v>
      </c>
      <c r="AY113" s="112">
        <f t="shared" si="87"/>
        <v>79478191.8175807</v>
      </c>
      <c r="AZ113" s="112">
        <f t="shared" si="146"/>
        <v>35376301.120208144</v>
      </c>
      <c r="BA113" s="112">
        <f t="shared" si="146"/>
        <v>45787225.873438857</v>
      </c>
      <c r="BB113" s="112">
        <f t="shared" si="144"/>
        <v>3308720.7591980728</v>
      </c>
      <c r="BC113" s="112">
        <f t="shared" si="144"/>
        <v>0</v>
      </c>
      <c r="BD113" s="112">
        <f t="shared" si="145"/>
        <v>0</v>
      </c>
      <c r="BE113" s="112">
        <f t="shared" si="88"/>
        <v>84472247.752845079</v>
      </c>
      <c r="BF113" s="112">
        <f t="shared" si="89"/>
        <v>84472247.752845079</v>
      </c>
      <c r="BG113" s="623">
        <f>(O113-P113)/1.2*U113/1000+(O113-Q113)/1.2*V113/1000</f>
        <v>8611.4429036167985</v>
      </c>
      <c r="BH113" s="624">
        <f>(O113-P113)/1.2*AB113/1000+(O113-Q113)/1.2*AC113/1000</f>
        <v>6411.1825301413364</v>
      </c>
      <c r="BI113" s="623">
        <f t="shared" si="84"/>
        <v>15022.625433758134</v>
      </c>
      <c r="BJ113" s="169"/>
      <c r="BK113" s="169"/>
      <c r="BL113" s="126">
        <f t="shared" si="150"/>
        <v>22074076.661336485</v>
      </c>
      <c r="BM113" s="126">
        <f t="shared" si="150"/>
        <v>23592587.012855023</v>
      </c>
      <c r="BN113" s="126">
        <f t="shared" si="150"/>
        <v>1740649.660366185</v>
      </c>
      <c r="BO113" s="126">
        <f t="shared" si="150"/>
        <v>0</v>
      </c>
      <c r="BP113" s="126">
        <f t="shared" si="150"/>
        <v>0</v>
      </c>
      <c r="BQ113" s="126">
        <f t="shared" si="130"/>
        <v>47407313.33455769</v>
      </c>
      <c r="BR113" s="126">
        <f t="shared" si="131"/>
        <v>47407313.33455769</v>
      </c>
      <c r="BS113" s="126">
        <f t="shared" si="151"/>
        <v>13196482.782943318</v>
      </c>
      <c r="BT113" s="126">
        <f t="shared" si="151"/>
        <v>19623096.802902367</v>
      </c>
      <c r="BU113" s="126">
        <f t="shared" si="151"/>
        <v>1378341.3239580502</v>
      </c>
      <c r="BV113" s="126">
        <f t="shared" si="132"/>
        <v>0</v>
      </c>
      <c r="BW113" s="126">
        <f t="shared" si="97"/>
        <v>0</v>
      </c>
      <c r="BX113" s="126">
        <f t="shared" si="133"/>
        <v>34197920.909803733</v>
      </c>
      <c r="BY113" s="126">
        <f t="shared" si="134"/>
        <v>34197920.909803733</v>
      </c>
      <c r="BZ113" s="675">
        <f t="shared" si="95"/>
        <v>43215683.815757394</v>
      </c>
      <c r="CA113" s="675">
        <f t="shared" si="95"/>
        <v>3118990.9843242355</v>
      </c>
      <c r="CB113" s="675">
        <f t="shared" si="135"/>
        <v>46334674.800081626</v>
      </c>
      <c r="CC113" s="676">
        <f t="shared" si="96"/>
        <v>2344.491428571429</v>
      </c>
      <c r="CD113" s="676">
        <f t="shared" si="96"/>
        <v>1717.8333422857845</v>
      </c>
      <c r="CE113" s="676">
        <f t="shared" si="116"/>
        <v>2288.2999359152363</v>
      </c>
      <c r="CF113" s="676">
        <f t="shared" si="98"/>
        <v>2288.2999359152359</v>
      </c>
      <c r="CG113" s="677">
        <f t="shared" si="99"/>
        <v>66939891.572391137</v>
      </c>
      <c r="CH113" s="678">
        <f t="shared" si="117"/>
        <v>3305.9161471660022</v>
      </c>
      <c r="CI113" s="621"/>
      <c r="CJ113" s="208">
        <f t="shared" si="118"/>
        <v>60608.058327381506</v>
      </c>
      <c r="CK113" s="208">
        <f t="shared" si="100"/>
        <v>41891.339945973334</v>
      </c>
      <c r="CL113" s="208">
        <f t="shared" si="128"/>
        <v>102499.39827335483</v>
      </c>
      <c r="CM113" s="18">
        <f t="shared" si="119"/>
        <v>102499.39827335485</v>
      </c>
      <c r="CN113" s="18">
        <f t="shared" si="120"/>
        <v>0</v>
      </c>
      <c r="CO113" s="126">
        <f t="shared" si="101"/>
        <v>102210451.01667094</v>
      </c>
      <c r="CP113" s="126">
        <f t="shared" si="102"/>
        <v>79478191.8175807</v>
      </c>
      <c r="CQ113" s="126">
        <f t="shared" si="103"/>
        <v>80561483.621901512</v>
      </c>
      <c r="CR113" s="126">
        <f t="shared" si="104"/>
        <v>47407313.33455769</v>
      </c>
      <c r="CS113" s="126">
        <f t="shared" si="105"/>
        <v>84472247.752845079</v>
      </c>
      <c r="CT113" s="126">
        <f t="shared" si="106"/>
        <v>85673611.536977798</v>
      </c>
      <c r="CU113" s="126">
        <f t="shared" si="107"/>
        <v>34197920.909803733</v>
      </c>
      <c r="CV113" s="126">
        <f t="shared" si="121"/>
        <v>163950439.57042578</v>
      </c>
      <c r="CW113" s="843">
        <f t="shared" si="122"/>
        <v>5302.3706881742673</v>
      </c>
      <c r="CX113" s="126">
        <f t="shared" si="108"/>
        <v>44270546.243225768</v>
      </c>
      <c r="CY113" s="126">
        <f t="shared" si="109"/>
        <v>49095946.632636927</v>
      </c>
      <c r="CZ113" s="126"/>
      <c r="DA113" s="126">
        <f t="shared" si="110"/>
        <v>102010735.20180655</v>
      </c>
      <c r="DB113" s="126">
        <f t="shared" si="111"/>
        <v>102499398.27335483</v>
      </c>
      <c r="DC113" s="621"/>
      <c r="DD113" s="680">
        <f t="shared" si="123"/>
        <v>147.99871420535209</v>
      </c>
      <c r="DE113" s="621"/>
      <c r="DF113" s="621"/>
      <c r="DG113" s="621"/>
      <c r="DH113" s="797">
        <v>31900.716000000004</v>
      </c>
      <c r="DI113" s="797">
        <v>20890.607</v>
      </c>
      <c r="DJ113" s="797">
        <f t="shared" si="124"/>
        <v>11010.109000000004</v>
      </c>
      <c r="DK113" s="621"/>
      <c r="DL113" s="618">
        <f t="shared" si="112"/>
        <v>0</v>
      </c>
      <c r="DM113" s="618">
        <f t="shared" si="113"/>
        <v>0</v>
      </c>
      <c r="DN113" s="618">
        <f t="shared" si="114"/>
        <v>0</v>
      </c>
      <c r="DO113" s="154"/>
    </row>
    <row r="114" spans="1:119" customFormat="1" ht="100.5" customHeight="1">
      <c r="A114" s="20">
        <f t="shared" si="125"/>
        <v>96</v>
      </c>
      <c r="B114" s="1281" t="s">
        <v>42</v>
      </c>
      <c r="C114" s="1285" t="s">
        <v>124</v>
      </c>
      <c r="D114" s="967" t="s">
        <v>141</v>
      </c>
      <c r="E114" s="617">
        <v>4632024035</v>
      </c>
      <c r="F114" s="1280" t="s">
        <v>8</v>
      </c>
      <c r="G114" s="1245" t="s">
        <v>956</v>
      </c>
      <c r="H114" s="866">
        <v>3299.1600000000003</v>
      </c>
      <c r="I114" s="825">
        <v>3299.1600000000003</v>
      </c>
      <c r="J114" s="756"/>
      <c r="K114" s="756"/>
      <c r="L114" s="872">
        <v>3299.1600000000003</v>
      </c>
      <c r="M114" s="867"/>
      <c r="N114" s="1207">
        <f t="shared" si="147"/>
        <v>3314.9639999999995</v>
      </c>
      <c r="O114" s="1208">
        <f t="shared" si="148"/>
        <v>3314.9639999999995</v>
      </c>
      <c r="P114" s="963"/>
      <c r="Q114" s="963"/>
      <c r="R114" s="1208">
        <f t="shared" si="149"/>
        <v>3314.9639999999995</v>
      </c>
      <c r="S114" s="910"/>
      <c r="T114" s="973">
        <v>428.6840490047959</v>
      </c>
      <c r="U114" s="825"/>
      <c r="V114" s="1002"/>
      <c r="W114" s="825"/>
      <c r="X114" s="825"/>
      <c r="Y114" s="825"/>
      <c r="Z114" s="971">
        <f>SUM(T114:W114)</f>
        <v>428.6840490047959</v>
      </c>
      <c r="AA114" s="975">
        <v>248.93020272680917</v>
      </c>
      <c r="AB114" s="825"/>
      <c r="AC114" s="227"/>
      <c r="AD114" s="16"/>
      <c r="AE114" s="16"/>
      <c r="AF114" s="16"/>
      <c r="AG114" s="926">
        <f t="shared" si="127"/>
        <v>248.93020272680917</v>
      </c>
      <c r="AH114" s="894">
        <f t="shared" si="129"/>
        <v>677.61425173160501</v>
      </c>
      <c r="AI114" s="15">
        <f>T114+AA114</f>
        <v>677.61425173160501</v>
      </c>
      <c r="AJ114" s="15">
        <f t="shared" si="137"/>
        <v>0</v>
      </c>
      <c r="AK114" s="15">
        <f t="shared" si="137"/>
        <v>0</v>
      </c>
      <c r="AL114" s="15">
        <f t="shared" si="137"/>
        <v>0</v>
      </c>
      <c r="AM114" s="15">
        <f t="shared" si="137"/>
        <v>0</v>
      </c>
      <c r="AN114" s="15"/>
      <c r="AO114" s="15">
        <f t="shared" si="141"/>
        <v>677.61425173160501</v>
      </c>
      <c r="AP114" s="15">
        <f t="shared" si="142"/>
        <v>677.61425173160501</v>
      </c>
      <c r="AQ114" s="15">
        <f t="shared" si="85"/>
        <v>677.61425173160501</v>
      </c>
      <c r="AR114" s="127">
        <f t="shared" si="115"/>
        <v>0</v>
      </c>
      <c r="AS114" s="112">
        <f t="shared" si="143"/>
        <v>2235557.8347428422</v>
      </c>
      <c r="AT114" s="112">
        <f t="shared" si="138"/>
        <v>0</v>
      </c>
      <c r="AU114" s="112">
        <f t="shared" si="138"/>
        <v>0</v>
      </c>
      <c r="AV114" s="112">
        <f t="shared" si="138"/>
        <v>0</v>
      </c>
      <c r="AW114" s="112">
        <f t="shared" si="138"/>
        <v>0</v>
      </c>
      <c r="AX114" s="112">
        <f t="shared" si="86"/>
        <v>2235557.8347428422</v>
      </c>
      <c r="AY114" s="112">
        <f t="shared" si="87"/>
        <v>2235557.8347428422</v>
      </c>
      <c r="AZ114" s="112">
        <f t="shared" si="146"/>
        <v>2246266.8503772081</v>
      </c>
      <c r="BA114" s="112">
        <f t="shared" si="146"/>
        <v>0</v>
      </c>
      <c r="BB114" s="112">
        <f t="shared" si="144"/>
        <v>0</v>
      </c>
      <c r="BC114" s="112">
        <f t="shared" si="144"/>
        <v>0</v>
      </c>
      <c r="BD114" s="112">
        <f t="shared" si="145"/>
        <v>0</v>
      </c>
      <c r="BE114" s="112">
        <f t="shared" si="88"/>
        <v>2246266.8503772081</v>
      </c>
      <c r="BF114" s="112">
        <f t="shared" si="89"/>
        <v>2246266.8503772081</v>
      </c>
      <c r="BG114" s="126"/>
      <c r="BH114" s="126"/>
      <c r="BI114" s="112">
        <f t="shared" si="84"/>
        <v>0</v>
      </c>
      <c r="BJ114" s="112"/>
      <c r="BK114" s="112"/>
      <c r="BL114" s="112">
        <f>I114*T114</f>
        <v>1414297.2671146626</v>
      </c>
      <c r="BM114" s="112">
        <f t="shared" si="150"/>
        <v>0</v>
      </c>
      <c r="BN114" s="112">
        <f t="shared" si="150"/>
        <v>0</v>
      </c>
      <c r="BO114" s="112">
        <f t="shared" si="150"/>
        <v>0</v>
      </c>
      <c r="BP114" s="112">
        <f t="shared" si="150"/>
        <v>0</v>
      </c>
      <c r="BQ114" s="112">
        <f t="shared" si="130"/>
        <v>1414297.2671146626</v>
      </c>
      <c r="BR114" s="112">
        <f t="shared" si="131"/>
        <v>1414297.2671146626</v>
      </c>
      <c r="BS114" s="112">
        <f t="shared" si="151"/>
        <v>825194.66055207408</v>
      </c>
      <c r="BT114" s="112">
        <f t="shared" si="151"/>
        <v>0</v>
      </c>
      <c r="BU114" s="112">
        <f t="shared" si="151"/>
        <v>0</v>
      </c>
      <c r="BV114" s="112">
        <f t="shared" si="132"/>
        <v>0</v>
      </c>
      <c r="BW114" s="112">
        <f t="shared" si="97"/>
        <v>0</v>
      </c>
      <c r="BX114" s="112">
        <f t="shared" si="133"/>
        <v>825194.66055207408</v>
      </c>
      <c r="BY114" s="112">
        <f t="shared" si="134"/>
        <v>825194.66055207408</v>
      </c>
      <c r="BZ114" s="113">
        <f t="shared" si="95"/>
        <v>0</v>
      </c>
      <c r="CA114" s="113">
        <f t="shared" si="95"/>
        <v>0</v>
      </c>
      <c r="CB114" s="113">
        <f t="shared" si="135"/>
        <v>0</v>
      </c>
      <c r="CC114" s="119" t="e">
        <f t="shared" si="96"/>
        <v>#DIV/0!</v>
      </c>
      <c r="CD114" s="119" t="e">
        <f t="shared" si="96"/>
        <v>#DIV/0!</v>
      </c>
      <c r="CE114" s="119" t="e">
        <f t="shared" si="116"/>
        <v>#DIV/0!</v>
      </c>
      <c r="CF114" s="113" t="e">
        <f t="shared" si="98"/>
        <v>#DIV/0!</v>
      </c>
      <c r="CG114" s="619">
        <f t="shared" si="99"/>
        <v>0</v>
      </c>
      <c r="CH114" s="132" t="e">
        <f t="shared" si="117"/>
        <v>#DIV/0!</v>
      </c>
      <c r="CI114" s="625"/>
      <c r="CJ114" s="208">
        <f t="shared" si="118"/>
        <v>1421.0721898251338</v>
      </c>
      <c r="CK114" s="208">
        <f t="shared" si="100"/>
        <v>825.19466055207408</v>
      </c>
      <c r="CL114" s="208">
        <f t="shared" si="128"/>
        <v>2246.2668503772079</v>
      </c>
      <c r="CM114" s="18">
        <f t="shared" si="119"/>
        <v>2246.2668503772079</v>
      </c>
      <c r="CN114" s="18">
        <f t="shared" si="120"/>
        <v>0</v>
      </c>
      <c r="CO114" s="112">
        <f t="shared" si="101"/>
        <v>2239491.9276667368</v>
      </c>
      <c r="CP114" s="112">
        <f t="shared" si="102"/>
        <v>2235557.8347428422</v>
      </c>
      <c r="CQ114" s="112">
        <f t="shared" si="103"/>
        <v>2235557.8347428422</v>
      </c>
      <c r="CR114" s="112">
        <f>I114*T114+J114*U114+K114*V114+L114*W114</f>
        <v>1414297.2671146626</v>
      </c>
      <c r="CS114" s="112">
        <f t="shared" si="105"/>
        <v>2246266.8503772081</v>
      </c>
      <c r="CT114" s="112">
        <f t="shared" si="106"/>
        <v>2246266.8503772081</v>
      </c>
      <c r="CU114" s="112">
        <f t="shared" si="107"/>
        <v>825194.66055207408</v>
      </c>
      <c r="CV114" s="112">
        <f t="shared" si="121"/>
        <v>4481824.6851200499</v>
      </c>
      <c r="CW114" s="843">
        <f t="shared" si="122"/>
        <v>6614.1239999999998</v>
      </c>
      <c r="CX114" s="112">
        <f t="shared" si="108"/>
        <v>0</v>
      </c>
      <c r="CY114" s="112">
        <f t="shared" si="109"/>
        <v>0</v>
      </c>
      <c r="CZ114" s="112"/>
      <c r="DA114" s="112">
        <f t="shared" si="110"/>
        <v>2235557.8347428422</v>
      </c>
      <c r="DB114" s="112">
        <f t="shared" si="111"/>
        <v>2246266.8503772081</v>
      </c>
      <c r="DC114" s="625"/>
      <c r="DD114" s="128" t="e">
        <f t="shared" si="123"/>
        <v>#DIV/0!</v>
      </c>
      <c r="DE114" s="625"/>
      <c r="DF114" s="625"/>
      <c r="DG114" s="625"/>
      <c r="DH114" s="797">
        <v>699.10200000000009</v>
      </c>
      <c r="DI114" s="797">
        <v>0</v>
      </c>
      <c r="DJ114" s="797">
        <f t="shared" si="124"/>
        <v>699.10200000000009</v>
      </c>
      <c r="DK114" s="625"/>
      <c r="DL114" s="618">
        <f t="shared" si="112"/>
        <v>0</v>
      </c>
      <c r="DM114" s="618">
        <f t="shared" si="113"/>
        <v>0</v>
      </c>
      <c r="DN114" s="618">
        <f t="shared" si="114"/>
        <v>0</v>
      </c>
      <c r="DO114" s="123"/>
    </row>
    <row r="115" spans="1:119" customFormat="1" ht="100.5" customHeight="1">
      <c r="A115" s="20">
        <f t="shared" si="125"/>
        <v>97</v>
      </c>
      <c r="B115" s="1281" t="s">
        <v>42</v>
      </c>
      <c r="C115" s="1285" t="s">
        <v>125</v>
      </c>
      <c r="D115" s="967" t="s">
        <v>141</v>
      </c>
      <c r="E115" s="617">
        <v>4632024035</v>
      </c>
      <c r="F115" s="1280" t="s">
        <v>8</v>
      </c>
      <c r="G115" s="1245" t="s">
        <v>956</v>
      </c>
      <c r="H115" s="866">
        <v>3299.1600000000003</v>
      </c>
      <c r="I115" s="825">
        <v>3299.1600000000003</v>
      </c>
      <c r="J115" s="756"/>
      <c r="K115" s="756"/>
      <c r="L115" s="872">
        <v>3299.1600000000003</v>
      </c>
      <c r="M115" s="867"/>
      <c r="N115" s="1207">
        <f t="shared" si="147"/>
        <v>3314.9639999999995</v>
      </c>
      <c r="O115" s="1208">
        <f t="shared" si="148"/>
        <v>3314.9639999999995</v>
      </c>
      <c r="P115" s="963"/>
      <c r="Q115" s="963"/>
      <c r="R115" s="1208">
        <f t="shared" si="149"/>
        <v>3314.9639999999995</v>
      </c>
      <c r="S115" s="910"/>
      <c r="T115" s="973">
        <v>130.11590923921563</v>
      </c>
      <c r="U115" s="825"/>
      <c r="V115" s="1002"/>
      <c r="W115" s="825"/>
      <c r="X115" s="825"/>
      <c r="Y115" s="825"/>
      <c r="Z115" s="978">
        <f t="shared" si="126"/>
        <v>130.11590923921563</v>
      </c>
      <c r="AA115" s="975">
        <v>75.556050692148034</v>
      </c>
      <c r="AB115" s="16"/>
      <c r="AC115" s="227"/>
      <c r="AD115" s="16"/>
      <c r="AE115" s="16"/>
      <c r="AF115" s="16"/>
      <c r="AG115" s="926">
        <f t="shared" si="127"/>
        <v>75.556050692148034</v>
      </c>
      <c r="AH115" s="894">
        <f t="shared" si="129"/>
        <v>205.67195993136366</v>
      </c>
      <c r="AI115" s="15">
        <f t="shared" si="137"/>
        <v>205.67195993136366</v>
      </c>
      <c r="AJ115" s="15">
        <f t="shared" si="137"/>
        <v>0</v>
      </c>
      <c r="AK115" s="15">
        <f t="shared" si="137"/>
        <v>0</v>
      </c>
      <c r="AL115" s="15">
        <f t="shared" si="137"/>
        <v>0</v>
      </c>
      <c r="AM115" s="15">
        <f t="shared" si="137"/>
        <v>0</v>
      </c>
      <c r="AN115" s="15"/>
      <c r="AO115" s="15">
        <f t="shared" si="141"/>
        <v>205.67195993136366</v>
      </c>
      <c r="AP115" s="15">
        <f t="shared" si="142"/>
        <v>205.67195993136366</v>
      </c>
      <c r="AQ115" s="15">
        <f t="shared" si="85"/>
        <v>205.67195993136366</v>
      </c>
      <c r="AR115" s="127">
        <f t="shared" si="115"/>
        <v>0</v>
      </c>
      <c r="AS115" s="112">
        <f t="shared" si="143"/>
        <v>678544.70332715777</v>
      </c>
      <c r="AT115" s="112">
        <f t="shared" si="138"/>
        <v>0</v>
      </c>
      <c r="AU115" s="112">
        <f t="shared" si="138"/>
        <v>0</v>
      </c>
      <c r="AV115" s="112">
        <f t="shared" si="138"/>
        <v>0</v>
      </c>
      <c r="AW115" s="112">
        <f t="shared" si="138"/>
        <v>0</v>
      </c>
      <c r="AX115" s="112">
        <f t="shared" si="86"/>
        <v>678544.70332715777</v>
      </c>
      <c r="AY115" s="112">
        <f t="shared" si="87"/>
        <v>678544.70332715777</v>
      </c>
      <c r="AZ115" s="112">
        <f t="shared" si="146"/>
        <v>681795.14298191294</v>
      </c>
      <c r="BA115" s="112">
        <f t="shared" si="146"/>
        <v>0</v>
      </c>
      <c r="BB115" s="112">
        <f t="shared" si="144"/>
        <v>0</v>
      </c>
      <c r="BC115" s="112">
        <f t="shared" si="144"/>
        <v>0</v>
      </c>
      <c r="BD115" s="112">
        <f t="shared" si="145"/>
        <v>0</v>
      </c>
      <c r="BE115" s="112">
        <f t="shared" si="88"/>
        <v>681795.14298191294</v>
      </c>
      <c r="BF115" s="112">
        <f t="shared" si="89"/>
        <v>681795.14298191294</v>
      </c>
      <c r="BG115" s="126"/>
      <c r="BH115" s="126"/>
      <c r="BI115" s="112">
        <f t="shared" si="84"/>
        <v>0</v>
      </c>
      <c r="BJ115" s="112"/>
      <c r="BK115" s="112"/>
      <c r="BL115" s="112">
        <f t="shared" si="150"/>
        <v>429273.20312565065</v>
      </c>
      <c r="BM115" s="112">
        <f t="shared" si="150"/>
        <v>0</v>
      </c>
      <c r="BN115" s="112">
        <f t="shared" si="150"/>
        <v>0</v>
      </c>
      <c r="BO115" s="112">
        <f t="shared" si="150"/>
        <v>0</v>
      </c>
      <c r="BP115" s="112">
        <f t="shared" si="150"/>
        <v>0</v>
      </c>
      <c r="BQ115" s="112">
        <f t="shared" si="130"/>
        <v>429273.20312565065</v>
      </c>
      <c r="BR115" s="112">
        <f t="shared" si="131"/>
        <v>429273.20312565065</v>
      </c>
      <c r="BS115" s="112">
        <f t="shared" si="151"/>
        <v>250465.58802664577</v>
      </c>
      <c r="BT115" s="112">
        <f t="shared" si="151"/>
        <v>0</v>
      </c>
      <c r="BU115" s="112">
        <f t="shared" si="151"/>
        <v>0</v>
      </c>
      <c r="BV115" s="112">
        <f t="shared" si="132"/>
        <v>0</v>
      </c>
      <c r="BW115" s="112">
        <f t="shared" si="97"/>
        <v>0</v>
      </c>
      <c r="BX115" s="112">
        <f t="shared" si="133"/>
        <v>250465.58802664577</v>
      </c>
      <c r="BY115" s="112">
        <f t="shared" si="134"/>
        <v>250465.58802664577</v>
      </c>
      <c r="BZ115" s="113">
        <f t="shared" si="95"/>
        <v>0</v>
      </c>
      <c r="CA115" s="113">
        <f t="shared" si="95"/>
        <v>0</v>
      </c>
      <c r="CB115" s="113">
        <f t="shared" si="135"/>
        <v>0</v>
      </c>
      <c r="CC115" s="119" t="e">
        <f t="shared" si="96"/>
        <v>#DIV/0!</v>
      </c>
      <c r="CD115" s="119" t="e">
        <f t="shared" si="96"/>
        <v>#DIV/0!</v>
      </c>
      <c r="CE115" s="119" t="e">
        <f t="shared" si="116"/>
        <v>#DIV/0!</v>
      </c>
      <c r="CF115" s="113" t="e">
        <f t="shared" si="98"/>
        <v>#DIV/0!</v>
      </c>
      <c r="CG115" s="619">
        <f t="shared" si="99"/>
        <v>0</v>
      </c>
      <c r="CH115" s="132" t="e">
        <f t="shared" si="117"/>
        <v>#DIV/0!</v>
      </c>
      <c r="CI115" s="625"/>
      <c r="CJ115" s="208">
        <f t="shared" si="118"/>
        <v>431.3295549552671</v>
      </c>
      <c r="CK115" s="208">
        <f t="shared" si="100"/>
        <v>250.46558802664578</v>
      </c>
      <c r="CL115" s="208">
        <f t="shared" si="128"/>
        <v>681.79514298191293</v>
      </c>
      <c r="CM115" s="18">
        <f t="shared" si="119"/>
        <v>681.79514298191293</v>
      </c>
      <c r="CN115" s="18">
        <f t="shared" si="120"/>
        <v>0</v>
      </c>
      <c r="CO115" s="112">
        <f t="shared" si="101"/>
        <v>679738.79115229635</v>
      </c>
      <c r="CP115" s="112">
        <f t="shared" si="102"/>
        <v>678544.70332715777</v>
      </c>
      <c r="CQ115" s="112">
        <f t="shared" si="103"/>
        <v>678544.70332715777</v>
      </c>
      <c r="CR115" s="112">
        <f t="shared" si="104"/>
        <v>429273.20312565065</v>
      </c>
      <c r="CS115" s="112">
        <f t="shared" si="105"/>
        <v>681795.14298191294</v>
      </c>
      <c r="CT115" s="112">
        <f t="shared" si="106"/>
        <v>681795.14298191294</v>
      </c>
      <c r="CU115" s="112">
        <f t="shared" si="107"/>
        <v>250465.58802664577</v>
      </c>
      <c r="CV115" s="112">
        <f t="shared" si="121"/>
        <v>1360339.8463090707</v>
      </c>
      <c r="CW115" s="843">
        <f t="shared" si="122"/>
        <v>6614.1239999999998</v>
      </c>
      <c r="CX115" s="112">
        <f t="shared" si="108"/>
        <v>0</v>
      </c>
      <c r="CY115" s="112">
        <f t="shared" si="109"/>
        <v>0</v>
      </c>
      <c r="CZ115" s="112"/>
      <c r="DA115" s="112">
        <f t="shared" si="110"/>
        <v>678544.70332715777</v>
      </c>
      <c r="DB115" s="112">
        <f t="shared" si="111"/>
        <v>681795.14298191294</v>
      </c>
      <c r="DC115" s="625"/>
      <c r="DD115" s="128" t="e">
        <f t="shared" si="123"/>
        <v>#DIV/0!</v>
      </c>
      <c r="DE115" s="625"/>
      <c r="DF115" s="625"/>
      <c r="DG115" s="625"/>
      <c r="DH115" s="797">
        <v>212.19400000000002</v>
      </c>
      <c r="DI115" s="797">
        <v>0</v>
      </c>
      <c r="DJ115" s="797">
        <f t="shared" si="124"/>
        <v>212.19400000000002</v>
      </c>
      <c r="DK115" s="625"/>
      <c r="DL115" s="618">
        <f t="shared" si="112"/>
        <v>0</v>
      </c>
      <c r="DM115" s="618">
        <f t="shared" si="113"/>
        <v>0</v>
      </c>
      <c r="DN115" s="618">
        <f t="shared" si="114"/>
        <v>0</v>
      </c>
      <c r="DO115" s="123"/>
    </row>
    <row r="116" spans="1:119" customFormat="1" ht="100.5" customHeight="1">
      <c r="A116" s="20">
        <f t="shared" si="125"/>
        <v>98</v>
      </c>
      <c r="B116" s="1281" t="s">
        <v>42</v>
      </c>
      <c r="C116" s="1285" t="s">
        <v>126</v>
      </c>
      <c r="D116" s="967" t="s">
        <v>141</v>
      </c>
      <c r="E116" s="617">
        <v>4632024035</v>
      </c>
      <c r="F116" s="1280" t="s">
        <v>8</v>
      </c>
      <c r="G116" s="1245" t="s">
        <v>956</v>
      </c>
      <c r="H116" s="866">
        <v>3299.1600000000003</v>
      </c>
      <c r="I116" s="825">
        <v>3299.1600000000003</v>
      </c>
      <c r="J116" s="756"/>
      <c r="K116" s="756"/>
      <c r="L116" s="872">
        <v>3299.1600000000003</v>
      </c>
      <c r="M116" s="867"/>
      <c r="N116" s="1207">
        <f t="shared" si="147"/>
        <v>3314.9639999999995</v>
      </c>
      <c r="O116" s="1208">
        <f t="shared" si="148"/>
        <v>3314.9639999999995</v>
      </c>
      <c r="P116" s="963"/>
      <c r="Q116" s="963"/>
      <c r="R116" s="1208">
        <f t="shared" si="149"/>
        <v>3314.9639999999995</v>
      </c>
      <c r="S116" s="910"/>
      <c r="T116" s="973">
        <v>164.77484372004781</v>
      </c>
      <c r="U116" s="825"/>
      <c r="V116" s="1002"/>
      <c r="W116" s="825"/>
      <c r="X116" s="825"/>
      <c r="Y116" s="825"/>
      <c r="Z116" s="978">
        <f t="shared" si="126"/>
        <v>164.77484372004781</v>
      </c>
      <c r="AA116" s="975">
        <v>117.28091817721049</v>
      </c>
      <c r="AB116" s="16"/>
      <c r="AC116" s="227"/>
      <c r="AD116" s="16"/>
      <c r="AE116" s="16"/>
      <c r="AF116" s="16"/>
      <c r="AG116" s="926">
        <f t="shared" si="127"/>
        <v>117.28091817721049</v>
      </c>
      <c r="AH116" s="894">
        <f t="shared" si="129"/>
        <v>282.05576189725832</v>
      </c>
      <c r="AI116" s="15">
        <f t="shared" si="137"/>
        <v>282.05576189725832</v>
      </c>
      <c r="AJ116" s="15">
        <f t="shared" si="137"/>
        <v>0</v>
      </c>
      <c r="AK116" s="15">
        <f>V116+AC116</f>
        <v>0</v>
      </c>
      <c r="AL116" s="15">
        <f t="shared" si="137"/>
        <v>0</v>
      </c>
      <c r="AM116" s="15">
        <f t="shared" si="137"/>
        <v>0</v>
      </c>
      <c r="AN116" s="15"/>
      <c r="AO116" s="15">
        <f t="shared" si="141"/>
        <v>282.05576189725832</v>
      </c>
      <c r="AP116" s="15">
        <f t="shared" si="142"/>
        <v>282.05576189725832</v>
      </c>
      <c r="AQ116" s="15">
        <f t="shared" si="85"/>
        <v>282.05576189725832</v>
      </c>
      <c r="AR116" s="127">
        <f t="shared" si="115"/>
        <v>0</v>
      </c>
      <c r="AS116" s="112">
        <f t="shared" si="143"/>
        <v>930547.08742095879</v>
      </c>
      <c r="AT116" s="112">
        <f t="shared" si="138"/>
        <v>0</v>
      </c>
      <c r="AU116" s="112">
        <f t="shared" si="138"/>
        <v>0</v>
      </c>
      <c r="AV116" s="112">
        <f t="shared" si="138"/>
        <v>0</v>
      </c>
      <c r="AW116" s="112">
        <f t="shared" si="138"/>
        <v>0</v>
      </c>
      <c r="AX116" s="112">
        <f t="shared" si="86"/>
        <v>930547.08742095879</v>
      </c>
      <c r="AY116" s="112">
        <f t="shared" si="87"/>
        <v>930547.08742095879</v>
      </c>
      <c r="AZ116" s="112">
        <f t="shared" si="146"/>
        <v>935004.69668198284</v>
      </c>
      <c r="BA116" s="112">
        <f t="shared" si="146"/>
        <v>0</v>
      </c>
      <c r="BB116" s="112">
        <f t="shared" si="144"/>
        <v>0</v>
      </c>
      <c r="BC116" s="112">
        <f t="shared" si="144"/>
        <v>0</v>
      </c>
      <c r="BD116" s="112">
        <f t="shared" si="145"/>
        <v>0</v>
      </c>
      <c r="BE116" s="112">
        <f t="shared" si="88"/>
        <v>935004.69668198284</v>
      </c>
      <c r="BF116" s="112">
        <f t="shared" si="89"/>
        <v>935004.69668198284</v>
      </c>
      <c r="BG116" s="126"/>
      <c r="BH116" s="126"/>
      <c r="BI116" s="112">
        <f t="shared" si="84"/>
        <v>0</v>
      </c>
      <c r="BJ116" s="112"/>
      <c r="BK116" s="112"/>
      <c r="BL116" s="112">
        <f t="shared" si="150"/>
        <v>543618.573407433</v>
      </c>
      <c r="BM116" s="112">
        <f t="shared" si="150"/>
        <v>0</v>
      </c>
      <c r="BN116" s="112">
        <f t="shared" si="150"/>
        <v>0</v>
      </c>
      <c r="BO116" s="112">
        <f t="shared" si="150"/>
        <v>0</v>
      </c>
      <c r="BP116" s="112">
        <f t="shared" si="150"/>
        <v>0</v>
      </c>
      <c r="BQ116" s="112">
        <f t="shared" si="130"/>
        <v>543618.573407433</v>
      </c>
      <c r="BR116" s="112">
        <f t="shared" si="131"/>
        <v>543618.573407433</v>
      </c>
      <c r="BS116" s="112">
        <f t="shared" si="151"/>
        <v>388782.02164439834</v>
      </c>
      <c r="BT116" s="112">
        <f t="shared" si="151"/>
        <v>0</v>
      </c>
      <c r="BU116" s="112">
        <f t="shared" si="151"/>
        <v>0</v>
      </c>
      <c r="BV116" s="112">
        <f t="shared" si="132"/>
        <v>0</v>
      </c>
      <c r="BW116" s="112">
        <f t="shared" si="97"/>
        <v>0</v>
      </c>
      <c r="BX116" s="112">
        <f t="shared" si="133"/>
        <v>388782.02164439834</v>
      </c>
      <c r="BY116" s="112">
        <f t="shared" si="134"/>
        <v>388782.02164439834</v>
      </c>
      <c r="BZ116" s="113">
        <f t="shared" si="95"/>
        <v>0</v>
      </c>
      <c r="CA116" s="113">
        <f t="shared" si="95"/>
        <v>0</v>
      </c>
      <c r="CB116" s="113">
        <f t="shared" si="135"/>
        <v>0</v>
      </c>
      <c r="CC116" s="119" t="e">
        <f t="shared" si="96"/>
        <v>#DIV/0!</v>
      </c>
      <c r="CD116" s="119" t="e">
        <f t="shared" si="96"/>
        <v>#DIV/0!</v>
      </c>
      <c r="CE116" s="119" t="e">
        <f t="shared" si="116"/>
        <v>#DIV/0!</v>
      </c>
      <c r="CF116" s="113" t="e">
        <f t="shared" si="98"/>
        <v>#DIV/0!</v>
      </c>
      <c r="CG116" s="619">
        <f t="shared" si="99"/>
        <v>0</v>
      </c>
      <c r="CH116" s="132" t="e">
        <f t="shared" si="117"/>
        <v>#DIV/0!</v>
      </c>
      <c r="CI116" s="625"/>
      <c r="CJ116" s="208">
        <f t="shared" si="118"/>
        <v>546.22267503758451</v>
      </c>
      <c r="CK116" s="208">
        <f t="shared" si="100"/>
        <v>388.78202164439836</v>
      </c>
      <c r="CL116" s="208">
        <f t="shared" si="128"/>
        <v>935.00469668198286</v>
      </c>
      <c r="CM116" s="18">
        <f t="shared" si="119"/>
        <v>935.00469668198286</v>
      </c>
      <c r="CN116" s="18">
        <f t="shared" si="120"/>
        <v>0</v>
      </c>
      <c r="CO116" s="112">
        <f t="shared" si="101"/>
        <v>932400.59505183133</v>
      </c>
      <c r="CP116" s="112">
        <f t="shared" si="102"/>
        <v>930547.08742095879</v>
      </c>
      <c r="CQ116" s="112">
        <f t="shared" si="103"/>
        <v>930547.08742095879</v>
      </c>
      <c r="CR116" s="112">
        <f t="shared" si="104"/>
        <v>543618.573407433</v>
      </c>
      <c r="CS116" s="112">
        <f t="shared" si="105"/>
        <v>935004.69668198284</v>
      </c>
      <c r="CT116" s="112">
        <f t="shared" si="106"/>
        <v>935004.69668198284</v>
      </c>
      <c r="CU116" s="112">
        <f t="shared" si="107"/>
        <v>388782.02164439834</v>
      </c>
      <c r="CV116" s="112">
        <f t="shared" si="121"/>
        <v>1865551.7841029416</v>
      </c>
      <c r="CW116" s="843">
        <f t="shared" si="122"/>
        <v>6614.1239999999998</v>
      </c>
      <c r="CX116" s="112">
        <f t="shared" si="108"/>
        <v>0</v>
      </c>
      <c r="CY116" s="112">
        <f t="shared" si="109"/>
        <v>0</v>
      </c>
      <c r="CZ116" s="112"/>
      <c r="DA116" s="112">
        <f t="shared" si="110"/>
        <v>930547.08742095879</v>
      </c>
      <c r="DB116" s="112">
        <f t="shared" si="111"/>
        <v>935004.69668198284</v>
      </c>
      <c r="DC116" s="625"/>
      <c r="DD116" s="128" t="e">
        <f t="shared" si="123"/>
        <v>#DIV/0!</v>
      </c>
      <c r="DE116" s="625"/>
      <c r="DF116" s="625"/>
      <c r="DG116" s="625"/>
      <c r="DH116" s="797">
        <v>291</v>
      </c>
      <c r="DI116" s="797">
        <v>0</v>
      </c>
      <c r="DJ116" s="797">
        <f t="shared" si="124"/>
        <v>291</v>
      </c>
      <c r="DK116" s="625"/>
      <c r="DL116" s="618">
        <f t="shared" si="112"/>
        <v>0</v>
      </c>
      <c r="DM116" s="618">
        <f t="shared" si="113"/>
        <v>0</v>
      </c>
      <c r="DN116" s="618">
        <f t="shared" si="114"/>
        <v>0</v>
      </c>
      <c r="DO116" s="123"/>
    </row>
    <row r="117" spans="1:119" customFormat="1" ht="100.5" customHeight="1">
      <c r="A117" s="20">
        <f t="shared" si="125"/>
        <v>99</v>
      </c>
      <c r="B117" s="1281" t="s">
        <v>42</v>
      </c>
      <c r="C117" s="1285" t="s">
        <v>127</v>
      </c>
      <c r="D117" s="967" t="s">
        <v>142</v>
      </c>
      <c r="E117" s="617">
        <v>4632024035</v>
      </c>
      <c r="F117" s="1280" t="s">
        <v>8</v>
      </c>
      <c r="G117" s="1245" t="s">
        <v>956</v>
      </c>
      <c r="H117" s="866">
        <v>3299.1600000000003</v>
      </c>
      <c r="I117" s="825">
        <v>3299.1600000000003</v>
      </c>
      <c r="J117" s="756"/>
      <c r="K117" s="756"/>
      <c r="L117" s="872">
        <v>3299.1600000000003</v>
      </c>
      <c r="M117" s="867"/>
      <c r="N117" s="1207">
        <f t="shared" si="147"/>
        <v>3314.9639999999995</v>
      </c>
      <c r="O117" s="1208">
        <f t="shared" si="148"/>
        <v>3314.9639999999995</v>
      </c>
      <c r="P117" s="963"/>
      <c r="Q117" s="963"/>
      <c r="R117" s="1208">
        <f t="shared" si="149"/>
        <v>3314.9639999999995</v>
      </c>
      <c r="S117" s="910"/>
      <c r="T117" s="968">
        <v>219.56926410346983</v>
      </c>
      <c r="U117" s="969"/>
      <c r="V117" s="970"/>
      <c r="W117" s="969"/>
      <c r="X117" s="969"/>
      <c r="Y117" s="969"/>
      <c r="Z117" s="971">
        <f t="shared" si="126"/>
        <v>219.56926410346983</v>
      </c>
      <c r="AA117" s="972">
        <v>127.50083554299982</v>
      </c>
      <c r="AB117" s="15"/>
      <c r="AC117" s="208"/>
      <c r="AD117" s="15"/>
      <c r="AE117" s="15"/>
      <c r="AF117" s="15"/>
      <c r="AG117" s="926">
        <f t="shared" si="127"/>
        <v>127.50083554299982</v>
      </c>
      <c r="AH117" s="894">
        <f t="shared" si="129"/>
        <v>347.07009964646966</v>
      </c>
      <c r="AI117" s="15">
        <f t="shared" si="137"/>
        <v>347.07009964646966</v>
      </c>
      <c r="AJ117" s="15">
        <f t="shared" si="137"/>
        <v>0</v>
      </c>
      <c r="AK117" s="15">
        <f t="shared" si="137"/>
        <v>0</v>
      </c>
      <c r="AL117" s="15">
        <f t="shared" si="137"/>
        <v>0</v>
      </c>
      <c r="AM117" s="15">
        <f t="shared" si="137"/>
        <v>0</v>
      </c>
      <c r="AN117" s="15"/>
      <c r="AO117" s="15">
        <f t="shared" si="141"/>
        <v>347.07009964646966</v>
      </c>
      <c r="AP117" s="15">
        <f t="shared" si="142"/>
        <v>347.07009964646966</v>
      </c>
      <c r="AQ117" s="15">
        <f t="shared" si="85"/>
        <v>347.07009964646966</v>
      </c>
      <c r="AR117" s="127">
        <f t="shared" si="115"/>
        <v>0</v>
      </c>
      <c r="AS117" s="112">
        <f t="shared" si="143"/>
        <v>1145039.7899496469</v>
      </c>
      <c r="AT117" s="112">
        <f t="shared" si="138"/>
        <v>0</v>
      </c>
      <c r="AU117" s="112">
        <f t="shared" si="138"/>
        <v>0</v>
      </c>
      <c r="AV117" s="112">
        <f t="shared" si="138"/>
        <v>0</v>
      </c>
      <c r="AW117" s="112">
        <f t="shared" si="138"/>
        <v>0</v>
      </c>
      <c r="AX117" s="112">
        <f t="shared" si="86"/>
        <v>1145039.7899496469</v>
      </c>
      <c r="AY117" s="112">
        <f t="shared" si="87"/>
        <v>1145039.7899496469</v>
      </c>
      <c r="AZ117" s="112">
        <f t="shared" si="146"/>
        <v>1150524.8858044595</v>
      </c>
      <c r="BA117" s="112">
        <f t="shared" si="146"/>
        <v>0</v>
      </c>
      <c r="BB117" s="112">
        <f t="shared" si="144"/>
        <v>0</v>
      </c>
      <c r="BC117" s="112">
        <f t="shared" si="144"/>
        <v>0</v>
      </c>
      <c r="BD117" s="112">
        <f t="shared" si="145"/>
        <v>0</v>
      </c>
      <c r="BE117" s="112">
        <f t="shared" si="88"/>
        <v>1150524.8858044595</v>
      </c>
      <c r="BF117" s="112">
        <f t="shared" si="89"/>
        <v>1150524.8858044595</v>
      </c>
      <c r="BG117" s="112"/>
      <c r="BH117" s="112"/>
      <c r="BI117" s="112">
        <f t="shared" si="84"/>
        <v>0</v>
      </c>
      <c r="BJ117" s="112"/>
      <c r="BK117" s="112"/>
      <c r="BL117" s="112">
        <f t="shared" si="150"/>
        <v>724394.13335960358</v>
      </c>
      <c r="BM117" s="112">
        <f t="shared" si="150"/>
        <v>0</v>
      </c>
      <c r="BN117" s="112">
        <f t="shared" si="150"/>
        <v>0</v>
      </c>
      <c r="BO117" s="112">
        <f t="shared" si="150"/>
        <v>0</v>
      </c>
      <c r="BP117" s="112">
        <f t="shared" si="150"/>
        <v>0</v>
      </c>
      <c r="BQ117" s="112">
        <f t="shared" si="130"/>
        <v>724394.13335960358</v>
      </c>
      <c r="BR117" s="112">
        <f t="shared" si="131"/>
        <v>724394.13335960358</v>
      </c>
      <c r="BS117" s="112">
        <f t="shared" si="151"/>
        <v>422660.67979496479</v>
      </c>
      <c r="BT117" s="112">
        <f t="shared" si="151"/>
        <v>0</v>
      </c>
      <c r="BU117" s="112">
        <f t="shared" si="151"/>
        <v>0</v>
      </c>
      <c r="BV117" s="112">
        <f t="shared" si="132"/>
        <v>0</v>
      </c>
      <c r="BW117" s="112">
        <f t="shared" si="97"/>
        <v>0</v>
      </c>
      <c r="BX117" s="112">
        <f t="shared" si="133"/>
        <v>422660.67979496479</v>
      </c>
      <c r="BY117" s="112">
        <f t="shared" si="134"/>
        <v>422660.67979496479</v>
      </c>
      <c r="BZ117" s="113">
        <f t="shared" si="95"/>
        <v>0</v>
      </c>
      <c r="CA117" s="113">
        <f t="shared" si="95"/>
        <v>0</v>
      </c>
      <c r="CB117" s="113">
        <f t="shared" si="135"/>
        <v>0</v>
      </c>
      <c r="CC117" s="119" t="e">
        <f t="shared" si="96"/>
        <v>#DIV/0!</v>
      </c>
      <c r="CD117" s="119" t="e">
        <f t="shared" si="96"/>
        <v>#DIV/0!</v>
      </c>
      <c r="CE117" s="119" t="e">
        <f t="shared" si="116"/>
        <v>#DIV/0!</v>
      </c>
      <c r="CF117" s="113" t="e">
        <f t="shared" si="98"/>
        <v>#DIV/0!</v>
      </c>
      <c r="CG117" s="619">
        <f t="shared" si="99"/>
        <v>0</v>
      </c>
      <c r="CH117" s="132" t="e">
        <f t="shared" si="117"/>
        <v>#DIV/0!</v>
      </c>
      <c r="CI117" s="106"/>
      <c r="CJ117" s="208">
        <f t="shared" si="118"/>
        <v>727.86420600949464</v>
      </c>
      <c r="CK117" s="208">
        <f t="shared" si="100"/>
        <v>422.66067979496478</v>
      </c>
      <c r="CL117" s="208">
        <f t="shared" si="128"/>
        <v>1150.5248858044595</v>
      </c>
      <c r="CM117" s="18">
        <f t="shared" si="119"/>
        <v>1150.5248858044595</v>
      </c>
      <c r="CN117" s="18">
        <f t="shared" si="120"/>
        <v>0</v>
      </c>
      <c r="CO117" s="112">
        <f t="shared" si="101"/>
        <v>1147054.8131545684</v>
      </c>
      <c r="CP117" s="112">
        <f t="shared" si="102"/>
        <v>1145039.7899496469</v>
      </c>
      <c r="CQ117" s="112">
        <f t="shared" si="103"/>
        <v>1145039.7899496469</v>
      </c>
      <c r="CR117" s="112">
        <f t="shared" si="104"/>
        <v>724394.13335960358</v>
      </c>
      <c r="CS117" s="112">
        <f t="shared" si="105"/>
        <v>1150524.8858044595</v>
      </c>
      <c r="CT117" s="112">
        <f t="shared" si="106"/>
        <v>1150524.8858044595</v>
      </c>
      <c r="CU117" s="112">
        <f t="shared" si="107"/>
        <v>422660.67979496479</v>
      </c>
      <c r="CV117" s="112">
        <f t="shared" si="121"/>
        <v>2295564.6757541066</v>
      </c>
      <c r="CW117" s="843">
        <f t="shared" si="122"/>
        <v>6614.1240000000007</v>
      </c>
      <c r="CX117" s="112">
        <f t="shared" si="108"/>
        <v>0</v>
      </c>
      <c r="CY117" s="112">
        <f t="shared" si="109"/>
        <v>0</v>
      </c>
      <c r="CZ117" s="112"/>
      <c r="DA117" s="112">
        <f t="shared" si="110"/>
        <v>1145039.7899496469</v>
      </c>
      <c r="DB117" s="112">
        <f t="shared" si="111"/>
        <v>1150524.8858044595</v>
      </c>
      <c r="DC117" s="106"/>
      <c r="DD117" s="128" t="e">
        <f t="shared" si="123"/>
        <v>#DIV/0!</v>
      </c>
      <c r="DE117" s="106"/>
      <c r="DF117" s="106"/>
      <c r="DG117" s="106"/>
      <c r="DH117" s="797">
        <v>358.07599999999996</v>
      </c>
      <c r="DI117" s="797">
        <v>0</v>
      </c>
      <c r="DJ117" s="797">
        <f t="shared" si="124"/>
        <v>358.07599999999996</v>
      </c>
      <c r="DK117" s="106"/>
      <c r="DL117" s="618">
        <f t="shared" si="112"/>
        <v>0</v>
      </c>
      <c r="DM117" s="618">
        <f t="shared" si="113"/>
        <v>0</v>
      </c>
      <c r="DN117" s="618">
        <f t="shared" si="114"/>
        <v>0</v>
      </c>
      <c r="DO117" s="115"/>
    </row>
    <row r="118" spans="1:119" customFormat="1" ht="100.5" customHeight="1">
      <c r="A118" s="20">
        <f t="shared" si="125"/>
        <v>100</v>
      </c>
      <c r="B118" s="1281" t="s">
        <v>42</v>
      </c>
      <c r="C118" s="1285" t="s">
        <v>128</v>
      </c>
      <c r="D118" s="967" t="s">
        <v>141</v>
      </c>
      <c r="E118" s="617">
        <v>4632024035</v>
      </c>
      <c r="F118" s="1280" t="s">
        <v>8</v>
      </c>
      <c r="G118" s="1245" t="s">
        <v>956</v>
      </c>
      <c r="H118" s="866">
        <v>3299.1600000000003</v>
      </c>
      <c r="I118" s="825">
        <v>3299.1600000000003</v>
      </c>
      <c r="J118" s="756"/>
      <c r="K118" s="756"/>
      <c r="L118" s="872">
        <v>3299.1600000000003</v>
      </c>
      <c r="M118" s="867"/>
      <c r="N118" s="1207">
        <f t="shared" si="147"/>
        <v>3314.9639999999995</v>
      </c>
      <c r="O118" s="1208">
        <f t="shared" si="148"/>
        <v>3314.9639999999995</v>
      </c>
      <c r="P118" s="963"/>
      <c r="Q118" s="963"/>
      <c r="R118" s="1208">
        <f t="shared" si="149"/>
        <v>3314.9639999999995</v>
      </c>
      <c r="S118" s="910"/>
      <c r="T118" s="973">
        <v>65.05698535582124</v>
      </c>
      <c r="U118" s="974"/>
      <c r="V118" s="977"/>
      <c r="W118" s="974"/>
      <c r="X118" s="974"/>
      <c r="Y118" s="974"/>
      <c r="Z118" s="978">
        <f t="shared" si="126"/>
        <v>65.05698535582124</v>
      </c>
      <c r="AA118" s="975">
        <v>37.778025346074017</v>
      </c>
      <c r="AB118" s="16"/>
      <c r="AC118" s="227"/>
      <c r="AD118" s="16"/>
      <c r="AE118" s="16"/>
      <c r="AF118" s="16"/>
      <c r="AG118" s="926">
        <f t="shared" si="127"/>
        <v>37.778025346074017</v>
      </c>
      <c r="AH118" s="894">
        <f t="shared" si="129"/>
        <v>102.83501070189526</v>
      </c>
      <c r="AI118" s="15">
        <f t="shared" si="137"/>
        <v>102.83501070189526</v>
      </c>
      <c r="AJ118" s="15">
        <f t="shared" si="137"/>
        <v>0</v>
      </c>
      <c r="AK118" s="15">
        <f t="shared" si="137"/>
        <v>0</v>
      </c>
      <c r="AL118" s="15">
        <f t="shared" si="137"/>
        <v>0</v>
      </c>
      <c r="AM118" s="15">
        <f t="shared" si="137"/>
        <v>0</v>
      </c>
      <c r="AN118" s="15"/>
      <c r="AO118" s="15">
        <f t="shared" si="141"/>
        <v>102.83501070189526</v>
      </c>
      <c r="AP118" s="15">
        <f t="shared" si="142"/>
        <v>102.83501070189526</v>
      </c>
      <c r="AQ118" s="15">
        <f t="shared" si="85"/>
        <v>102.83501070189526</v>
      </c>
      <c r="AR118" s="127">
        <f t="shared" si="115"/>
        <v>0</v>
      </c>
      <c r="AS118" s="112">
        <f t="shared" si="143"/>
        <v>339269.15390726482</v>
      </c>
      <c r="AT118" s="112">
        <f t="shared" si="138"/>
        <v>0</v>
      </c>
      <c r="AU118" s="112">
        <f t="shared" si="138"/>
        <v>0</v>
      </c>
      <c r="AV118" s="112">
        <f t="shared" si="138"/>
        <v>0</v>
      </c>
      <c r="AW118" s="112">
        <f t="shared" si="138"/>
        <v>0</v>
      </c>
      <c r="AX118" s="112">
        <f t="shared" si="86"/>
        <v>339269.15390726482</v>
      </c>
      <c r="AY118" s="112">
        <f t="shared" si="87"/>
        <v>339269.15390726482</v>
      </c>
      <c r="AZ118" s="112">
        <f t="shared" si="146"/>
        <v>340894.35841639747</v>
      </c>
      <c r="BA118" s="112">
        <f t="shared" si="146"/>
        <v>0</v>
      </c>
      <c r="BB118" s="112">
        <f t="shared" si="144"/>
        <v>0</v>
      </c>
      <c r="BC118" s="112">
        <f t="shared" si="144"/>
        <v>0</v>
      </c>
      <c r="BD118" s="112">
        <f t="shared" si="145"/>
        <v>0</v>
      </c>
      <c r="BE118" s="112">
        <f t="shared" si="88"/>
        <v>340894.35841639747</v>
      </c>
      <c r="BF118" s="112">
        <f t="shared" si="89"/>
        <v>340894.35841639747</v>
      </c>
      <c r="BG118" s="126"/>
      <c r="BH118" s="126"/>
      <c r="BI118" s="112">
        <f t="shared" si="84"/>
        <v>0</v>
      </c>
      <c r="BJ118" s="112"/>
      <c r="BK118" s="112"/>
      <c r="BL118" s="112">
        <f t="shared" si="150"/>
        <v>214633.40380651123</v>
      </c>
      <c r="BM118" s="112">
        <f t="shared" si="150"/>
        <v>0</v>
      </c>
      <c r="BN118" s="112">
        <f t="shared" si="150"/>
        <v>0</v>
      </c>
      <c r="BO118" s="112">
        <f t="shared" si="150"/>
        <v>0</v>
      </c>
      <c r="BP118" s="112">
        <f t="shared" si="150"/>
        <v>0</v>
      </c>
      <c r="BQ118" s="112">
        <f t="shared" si="130"/>
        <v>214633.40380651123</v>
      </c>
      <c r="BR118" s="112">
        <f t="shared" si="131"/>
        <v>214633.40380651123</v>
      </c>
      <c r="BS118" s="112">
        <f t="shared" si="151"/>
        <v>125232.79401332288</v>
      </c>
      <c r="BT118" s="112">
        <f t="shared" si="151"/>
        <v>0</v>
      </c>
      <c r="BU118" s="112">
        <f t="shared" si="151"/>
        <v>0</v>
      </c>
      <c r="BV118" s="112">
        <f t="shared" si="132"/>
        <v>0</v>
      </c>
      <c r="BW118" s="112">
        <f t="shared" si="97"/>
        <v>0</v>
      </c>
      <c r="BX118" s="112">
        <f t="shared" si="133"/>
        <v>125232.79401332288</v>
      </c>
      <c r="BY118" s="112">
        <f t="shared" si="134"/>
        <v>125232.79401332288</v>
      </c>
      <c r="BZ118" s="113">
        <f t="shared" si="95"/>
        <v>0</v>
      </c>
      <c r="CA118" s="113">
        <f t="shared" si="95"/>
        <v>0</v>
      </c>
      <c r="CB118" s="113">
        <f t="shared" si="135"/>
        <v>0</v>
      </c>
      <c r="CC118" s="119" t="e">
        <f t="shared" si="96"/>
        <v>#DIV/0!</v>
      </c>
      <c r="CD118" s="119" t="e">
        <f t="shared" si="96"/>
        <v>#DIV/0!</v>
      </c>
      <c r="CE118" s="119" t="e">
        <f t="shared" si="116"/>
        <v>#DIV/0!</v>
      </c>
      <c r="CF118" s="113" t="e">
        <f t="shared" si="98"/>
        <v>#DIV/0!</v>
      </c>
      <c r="CG118" s="619">
        <f t="shared" si="99"/>
        <v>0</v>
      </c>
      <c r="CH118" s="132" t="e">
        <f t="shared" si="117"/>
        <v>#DIV/0!</v>
      </c>
      <c r="CI118" s="625"/>
      <c r="CJ118" s="208">
        <f t="shared" si="118"/>
        <v>215.66156440307455</v>
      </c>
      <c r="CK118" s="208">
        <f t="shared" si="100"/>
        <v>125.23279401332289</v>
      </c>
      <c r="CL118" s="208">
        <f t="shared" si="128"/>
        <v>340.89435841639744</v>
      </c>
      <c r="CM118" s="18">
        <f t="shared" si="119"/>
        <v>340.89435841639749</v>
      </c>
      <c r="CN118" s="18">
        <f t="shared" si="120"/>
        <v>0</v>
      </c>
      <c r="CO118" s="112">
        <f t="shared" si="101"/>
        <v>339866.19781983411</v>
      </c>
      <c r="CP118" s="112">
        <f t="shared" si="102"/>
        <v>339269.15390726482</v>
      </c>
      <c r="CQ118" s="112">
        <f t="shared" si="103"/>
        <v>339269.15390726482</v>
      </c>
      <c r="CR118" s="112">
        <f t="shared" si="104"/>
        <v>214633.40380651123</v>
      </c>
      <c r="CS118" s="112">
        <f t="shared" si="105"/>
        <v>340894.35841639747</v>
      </c>
      <c r="CT118" s="112">
        <f t="shared" si="106"/>
        <v>340894.35841639747</v>
      </c>
      <c r="CU118" s="112">
        <f t="shared" si="107"/>
        <v>125232.79401332288</v>
      </c>
      <c r="CV118" s="112">
        <f t="shared" si="121"/>
        <v>680163.51232366229</v>
      </c>
      <c r="CW118" s="843">
        <f t="shared" si="122"/>
        <v>6614.1239999999998</v>
      </c>
      <c r="CX118" s="112">
        <f t="shared" si="108"/>
        <v>0</v>
      </c>
      <c r="CY118" s="112">
        <f t="shared" si="109"/>
        <v>0</v>
      </c>
      <c r="CZ118" s="112"/>
      <c r="DA118" s="112">
        <f t="shared" si="110"/>
        <v>339269.15390726482</v>
      </c>
      <c r="DB118" s="112">
        <f t="shared" si="111"/>
        <v>340894.35841639747</v>
      </c>
      <c r="DC118" s="625"/>
      <c r="DD118" s="128" t="e">
        <f t="shared" si="123"/>
        <v>#DIV/0!</v>
      </c>
      <c r="DE118" s="625"/>
      <c r="DF118" s="625"/>
      <c r="DG118" s="625"/>
      <c r="DH118" s="797">
        <v>106.096</v>
      </c>
      <c r="DI118" s="797">
        <v>0</v>
      </c>
      <c r="DJ118" s="797">
        <f t="shared" si="124"/>
        <v>106.096</v>
      </c>
      <c r="DK118" s="625"/>
      <c r="DL118" s="618">
        <f t="shared" si="112"/>
        <v>0</v>
      </c>
      <c r="DM118" s="618">
        <f t="shared" si="113"/>
        <v>0</v>
      </c>
      <c r="DN118" s="618">
        <f t="shared" si="114"/>
        <v>0</v>
      </c>
      <c r="DO118" s="123"/>
    </row>
    <row r="119" spans="1:119" customFormat="1" ht="100.5" customHeight="1">
      <c r="A119" s="20">
        <f t="shared" si="125"/>
        <v>101</v>
      </c>
      <c r="B119" s="1281" t="s">
        <v>42</v>
      </c>
      <c r="C119" s="1285" t="s">
        <v>129</v>
      </c>
      <c r="D119" s="967" t="s">
        <v>141</v>
      </c>
      <c r="E119" s="617">
        <v>4632024035</v>
      </c>
      <c r="F119" s="1280" t="s">
        <v>8</v>
      </c>
      <c r="G119" s="1245" t="s">
        <v>956</v>
      </c>
      <c r="H119" s="866">
        <v>3299.1600000000003</v>
      </c>
      <c r="I119" s="825">
        <v>3299.1600000000003</v>
      </c>
      <c r="J119" s="756"/>
      <c r="K119" s="756"/>
      <c r="L119" s="872">
        <v>3299.1600000000003</v>
      </c>
      <c r="M119" s="867"/>
      <c r="N119" s="1207">
        <f t="shared" si="147"/>
        <v>3314.9639999999995</v>
      </c>
      <c r="O119" s="1208">
        <f t="shared" si="148"/>
        <v>3314.9639999999995</v>
      </c>
      <c r="P119" s="963"/>
      <c r="Q119" s="963"/>
      <c r="R119" s="1208">
        <f t="shared" si="149"/>
        <v>3314.9639999999995</v>
      </c>
      <c r="S119" s="910"/>
      <c r="T119" s="973">
        <v>118.49734422937908</v>
      </c>
      <c r="U119" s="974"/>
      <c r="V119" s="977"/>
      <c r="W119" s="974"/>
      <c r="X119" s="974"/>
      <c r="Y119" s="974"/>
      <c r="Z119" s="978">
        <f t="shared" si="126"/>
        <v>118.49734422937908</v>
      </c>
      <c r="AA119" s="975">
        <v>68.80997473749197</v>
      </c>
      <c r="AB119" s="16"/>
      <c r="AC119" s="227"/>
      <c r="AD119" s="16"/>
      <c r="AE119" s="16"/>
      <c r="AF119" s="16"/>
      <c r="AG119" s="926">
        <f t="shared" si="127"/>
        <v>68.80997473749197</v>
      </c>
      <c r="AH119" s="894">
        <f t="shared" si="129"/>
        <v>187.30731896687104</v>
      </c>
      <c r="AI119" s="15">
        <f t="shared" si="137"/>
        <v>187.30731896687104</v>
      </c>
      <c r="AJ119" s="15">
        <f t="shared" si="137"/>
        <v>0</v>
      </c>
      <c r="AK119" s="15">
        <f t="shared" si="137"/>
        <v>0</v>
      </c>
      <c r="AL119" s="15">
        <f t="shared" si="137"/>
        <v>0</v>
      </c>
      <c r="AM119" s="15">
        <f t="shared" si="137"/>
        <v>0</v>
      </c>
      <c r="AN119" s="15"/>
      <c r="AO119" s="15">
        <f t="shared" si="141"/>
        <v>187.30731896687104</v>
      </c>
      <c r="AP119" s="15">
        <f t="shared" si="142"/>
        <v>187.30731896687104</v>
      </c>
      <c r="AQ119" s="15">
        <f t="shared" si="85"/>
        <v>187.30731896687104</v>
      </c>
      <c r="AR119" s="127">
        <f t="shared" si="115"/>
        <v>0</v>
      </c>
      <c r="AS119" s="112">
        <f t="shared" si="143"/>
        <v>617956.81444274227</v>
      </c>
      <c r="AT119" s="112">
        <f t="shared" si="138"/>
        <v>0</v>
      </c>
      <c r="AU119" s="112">
        <f t="shared" si="138"/>
        <v>0</v>
      </c>
      <c r="AV119" s="112">
        <f t="shared" si="138"/>
        <v>0</v>
      </c>
      <c r="AW119" s="112">
        <f t="shared" si="138"/>
        <v>0</v>
      </c>
      <c r="AX119" s="112">
        <f t="shared" si="86"/>
        <v>617956.81444274227</v>
      </c>
      <c r="AY119" s="112">
        <f t="shared" si="87"/>
        <v>617956.81444274227</v>
      </c>
      <c r="AZ119" s="112">
        <f t="shared" si="146"/>
        <v>620917.01931169454</v>
      </c>
      <c r="BA119" s="112">
        <f t="shared" si="146"/>
        <v>0</v>
      </c>
      <c r="BB119" s="112">
        <f t="shared" si="144"/>
        <v>0</v>
      </c>
      <c r="BC119" s="112">
        <f t="shared" si="144"/>
        <v>0</v>
      </c>
      <c r="BD119" s="112">
        <f t="shared" si="145"/>
        <v>0</v>
      </c>
      <c r="BE119" s="112">
        <f t="shared" si="88"/>
        <v>620917.01931169454</v>
      </c>
      <c r="BF119" s="112">
        <f t="shared" si="89"/>
        <v>620917.01931169454</v>
      </c>
      <c r="BG119" s="126"/>
      <c r="BH119" s="126"/>
      <c r="BI119" s="112">
        <f t="shared" si="84"/>
        <v>0</v>
      </c>
      <c r="BJ119" s="112"/>
      <c r="BK119" s="112"/>
      <c r="BL119" s="112">
        <f t="shared" si="150"/>
        <v>390941.69818779832</v>
      </c>
      <c r="BM119" s="112">
        <f t="shared" si="150"/>
        <v>0</v>
      </c>
      <c r="BN119" s="112">
        <f t="shared" si="150"/>
        <v>0</v>
      </c>
      <c r="BO119" s="112">
        <f t="shared" si="150"/>
        <v>0</v>
      </c>
      <c r="BP119" s="112">
        <f t="shared" si="150"/>
        <v>0</v>
      </c>
      <c r="BQ119" s="112">
        <f t="shared" si="130"/>
        <v>390941.69818779832</v>
      </c>
      <c r="BR119" s="112">
        <f t="shared" si="131"/>
        <v>390941.69818779832</v>
      </c>
      <c r="BS119" s="112">
        <f t="shared" si="151"/>
        <v>228102.58909569529</v>
      </c>
      <c r="BT119" s="112">
        <f t="shared" si="151"/>
        <v>0</v>
      </c>
      <c r="BU119" s="112">
        <f t="shared" si="151"/>
        <v>0</v>
      </c>
      <c r="BV119" s="112">
        <f t="shared" si="132"/>
        <v>0</v>
      </c>
      <c r="BW119" s="112">
        <f t="shared" si="97"/>
        <v>0</v>
      </c>
      <c r="BX119" s="112">
        <f t="shared" si="133"/>
        <v>228102.58909569529</v>
      </c>
      <c r="BY119" s="112">
        <f t="shared" si="134"/>
        <v>228102.58909569529</v>
      </c>
      <c r="BZ119" s="113">
        <f t="shared" si="95"/>
        <v>0</v>
      </c>
      <c r="CA119" s="113">
        <f t="shared" si="95"/>
        <v>0</v>
      </c>
      <c r="CB119" s="113">
        <f t="shared" si="135"/>
        <v>0</v>
      </c>
      <c r="CC119" s="119" t="e">
        <f t="shared" si="96"/>
        <v>#DIV/0!</v>
      </c>
      <c r="CD119" s="119" t="e">
        <f t="shared" si="96"/>
        <v>#DIV/0!</v>
      </c>
      <c r="CE119" s="119" t="e">
        <f t="shared" si="116"/>
        <v>#DIV/0!</v>
      </c>
      <c r="CF119" s="113" t="e">
        <f t="shared" si="98"/>
        <v>#DIV/0!</v>
      </c>
      <c r="CG119" s="619">
        <f t="shared" si="99"/>
        <v>0</v>
      </c>
      <c r="CH119" s="132" t="e">
        <f t="shared" si="117"/>
        <v>#DIV/0!</v>
      </c>
      <c r="CI119" s="625"/>
      <c r="CJ119" s="208">
        <f t="shared" si="118"/>
        <v>392.81443021599932</v>
      </c>
      <c r="CK119" s="208">
        <f t="shared" si="100"/>
        <v>228.10258909569529</v>
      </c>
      <c r="CL119" s="208">
        <f t="shared" si="128"/>
        <v>620.91701931169462</v>
      </c>
      <c r="CM119" s="18">
        <f t="shared" si="119"/>
        <v>620.9170193116945</v>
      </c>
      <c r="CN119" s="18">
        <f t="shared" si="120"/>
        <v>0</v>
      </c>
      <c r="CO119" s="112">
        <f t="shared" si="101"/>
        <v>619044.28728349367</v>
      </c>
      <c r="CP119" s="112">
        <f t="shared" si="102"/>
        <v>617956.81444274227</v>
      </c>
      <c r="CQ119" s="112">
        <f t="shared" si="103"/>
        <v>617956.81444274227</v>
      </c>
      <c r="CR119" s="112">
        <f t="shared" si="104"/>
        <v>390941.69818779832</v>
      </c>
      <c r="CS119" s="112">
        <f t="shared" si="105"/>
        <v>620917.01931169454</v>
      </c>
      <c r="CT119" s="112">
        <f t="shared" si="106"/>
        <v>620917.01931169454</v>
      </c>
      <c r="CU119" s="112">
        <f t="shared" si="107"/>
        <v>228102.58909569529</v>
      </c>
      <c r="CV119" s="112">
        <f t="shared" si="121"/>
        <v>1238873.8337544368</v>
      </c>
      <c r="CW119" s="843">
        <f t="shared" si="122"/>
        <v>6614.1239999999998</v>
      </c>
      <c r="CX119" s="112">
        <f t="shared" si="108"/>
        <v>0</v>
      </c>
      <c r="CY119" s="112">
        <f t="shared" si="109"/>
        <v>0</v>
      </c>
      <c r="CZ119" s="112"/>
      <c r="DA119" s="112">
        <f t="shared" si="110"/>
        <v>617956.81444274227</v>
      </c>
      <c r="DB119" s="112">
        <f t="shared" si="111"/>
        <v>620917.01931169454</v>
      </c>
      <c r="DC119" s="625"/>
      <c r="DD119" s="128" t="e">
        <f t="shared" si="123"/>
        <v>#DIV/0!</v>
      </c>
      <c r="DE119" s="625"/>
      <c r="DF119" s="625"/>
      <c r="DG119" s="625"/>
      <c r="DH119" s="797">
        <v>193.24700000000001</v>
      </c>
      <c r="DI119" s="797">
        <v>0</v>
      </c>
      <c r="DJ119" s="797">
        <f t="shared" si="124"/>
        <v>193.24700000000001</v>
      </c>
      <c r="DK119" s="625"/>
      <c r="DL119" s="618">
        <f t="shared" si="112"/>
        <v>0</v>
      </c>
      <c r="DM119" s="618">
        <f t="shared" si="113"/>
        <v>0</v>
      </c>
      <c r="DN119" s="618">
        <f t="shared" si="114"/>
        <v>0</v>
      </c>
      <c r="DO119" s="123"/>
    </row>
    <row r="120" spans="1:119" customFormat="1" ht="100.5" customHeight="1">
      <c r="A120" s="20">
        <f t="shared" si="125"/>
        <v>102</v>
      </c>
      <c r="B120" s="1281" t="s">
        <v>42</v>
      </c>
      <c r="C120" s="1285" t="s">
        <v>130</v>
      </c>
      <c r="D120" s="967" t="s">
        <v>141</v>
      </c>
      <c r="E120" s="617">
        <v>4632024035</v>
      </c>
      <c r="F120" s="1280" t="s">
        <v>8</v>
      </c>
      <c r="G120" s="1245" t="s">
        <v>956</v>
      </c>
      <c r="H120" s="866">
        <v>3299.1600000000003</v>
      </c>
      <c r="I120" s="825">
        <v>3299.1600000000003</v>
      </c>
      <c r="J120" s="756"/>
      <c r="K120" s="756"/>
      <c r="L120" s="872">
        <v>3299.1600000000003</v>
      </c>
      <c r="M120" s="867"/>
      <c r="N120" s="1207">
        <f t="shared" si="147"/>
        <v>3314.9639999999995</v>
      </c>
      <c r="O120" s="1208">
        <f t="shared" si="148"/>
        <v>3314.9639999999995</v>
      </c>
      <c r="P120" s="963"/>
      <c r="Q120" s="963"/>
      <c r="R120" s="1208">
        <f t="shared" si="149"/>
        <v>3314.9639999999995</v>
      </c>
      <c r="S120" s="910"/>
      <c r="T120" s="973">
        <v>147.54133359450398</v>
      </c>
      <c r="U120" s="974"/>
      <c r="V120" s="977"/>
      <c r="W120" s="974"/>
      <c r="X120" s="974"/>
      <c r="Y120" s="974"/>
      <c r="Z120" s="978">
        <f t="shared" si="126"/>
        <v>147.54133359450398</v>
      </c>
      <c r="AA120" s="975">
        <v>85.675164624132151</v>
      </c>
      <c r="AB120" s="16"/>
      <c r="AC120" s="227"/>
      <c r="AD120" s="16"/>
      <c r="AE120" s="16"/>
      <c r="AF120" s="16"/>
      <c r="AG120" s="926">
        <f t="shared" si="127"/>
        <v>85.675164624132151</v>
      </c>
      <c r="AH120" s="894">
        <f t="shared" si="129"/>
        <v>233.21649821863613</v>
      </c>
      <c r="AI120" s="15">
        <f t="shared" si="137"/>
        <v>233.21649821863613</v>
      </c>
      <c r="AJ120" s="15">
        <f t="shared" si="137"/>
        <v>0</v>
      </c>
      <c r="AK120" s="15">
        <f t="shared" si="137"/>
        <v>0</v>
      </c>
      <c r="AL120" s="15">
        <f t="shared" si="137"/>
        <v>0</v>
      </c>
      <c r="AM120" s="15">
        <f t="shared" si="137"/>
        <v>0</v>
      </c>
      <c r="AN120" s="15"/>
      <c r="AO120" s="15">
        <f t="shared" si="141"/>
        <v>233.21649821863613</v>
      </c>
      <c r="AP120" s="15">
        <f t="shared" si="142"/>
        <v>233.21649821863613</v>
      </c>
      <c r="AQ120" s="15">
        <f t="shared" si="85"/>
        <v>233.21649821863613</v>
      </c>
      <c r="AR120" s="127">
        <f t="shared" si="115"/>
        <v>0</v>
      </c>
      <c r="AS120" s="112">
        <f t="shared" si="143"/>
        <v>769418.54226299562</v>
      </c>
      <c r="AT120" s="112">
        <f t="shared" si="138"/>
        <v>0</v>
      </c>
      <c r="AU120" s="112">
        <f t="shared" si="138"/>
        <v>0</v>
      </c>
      <c r="AV120" s="112">
        <f t="shared" si="138"/>
        <v>0</v>
      </c>
      <c r="AW120" s="112">
        <f t="shared" si="138"/>
        <v>0</v>
      </c>
      <c r="AX120" s="112">
        <f t="shared" si="86"/>
        <v>769418.54226299562</v>
      </c>
      <c r="AY120" s="112">
        <f t="shared" si="87"/>
        <v>769418.54226299562</v>
      </c>
      <c r="AZ120" s="112">
        <f t="shared" si="146"/>
        <v>773104.29580084281</v>
      </c>
      <c r="BA120" s="112">
        <f t="shared" si="146"/>
        <v>0</v>
      </c>
      <c r="BB120" s="112">
        <f t="shared" si="144"/>
        <v>0</v>
      </c>
      <c r="BC120" s="112">
        <f t="shared" si="144"/>
        <v>0</v>
      </c>
      <c r="BD120" s="112">
        <f t="shared" si="145"/>
        <v>0</v>
      </c>
      <c r="BE120" s="112">
        <f t="shared" si="88"/>
        <v>773104.29580084281</v>
      </c>
      <c r="BF120" s="112">
        <f t="shared" si="89"/>
        <v>773104.29580084281</v>
      </c>
      <c r="BG120" s="126"/>
      <c r="BH120" s="126"/>
      <c r="BI120" s="112">
        <f t="shared" si="84"/>
        <v>0</v>
      </c>
      <c r="BJ120" s="112"/>
      <c r="BK120" s="112"/>
      <c r="BL120" s="112">
        <f t="shared" si="150"/>
        <v>486762.46614164382</v>
      </c>
      <c r="BM120" s="112">
        <f t="shared" si="150"/>
        <v>0</v>
      </c>
      <c r="BN120" s="112">
        <f t="shared" si="150"/>
        <v>0</v>
      </c>
      <c r="BO120" s="112">
        <f t="shared" si="150"/>
        <v>0</v>
      </c>
      <c r="BP120" s="112">
        <f t="shared" si="150"/>
        <v>0</v>
      </c>
      <c r="BQ120" s="112">
        <f t="shared" si="130"/>
        <v>486762.46614164382</v>
      </c>
      <c r="BR120" s="112">
        <f t="shared" si="131"/>
        <v>486762.46614164382</v>
      </c>
      <c r="BS120" s="112">
        <f t="shared" si="151"/>
        <v>284010.08642307157</v>
      </c>
      <c r="BT120" s="112">
        <f t="shared" si="151"/>
        <v>0</v>
      </c>
      <c r="BU120" s="112">
        <f t="shared" si="151"/>
        <v>0</v>
      </c>
      <c r="BV120" s="112">
        <f t="shared" si="132"/>
        <v>0</v>
      </c>
      <c r="BW120" s="112">
        <f t="shared" si="97"/>
        <v>0</v>
      </c>
      <c r="BX120" s="112">
        <f t="shared" si="133"/>
        <v>284010.08642307157</v>
      </c>
      <c r="BY120" s="112">
        <f t="shared" si="134"/>
        <v>284010.08642307157</v>
      </c>
      <c r="BZ120" s="113">
        <f t="shared" si="95"/>
        <v>0</v>
      </c>
      <c r="CA120" s="113">
        <f t="shared" si="95"/>
        <v>0</v>
      </c>
      <c r="CB120" s="113">
        <f t="shared" si="135"/>
        <v>0</v>
      </c>
      <c r="CC120" s="119" t="e">
        <f t="shared" si="96"/>
        <v>#DIV/0!</v>
      </c>
      <c r="CD120" s="119" t="e">
        <f t="shared" si="96"/>
        <v>#DIV/0!</v>
      </c>
      <c r="CE120" s="119" t="e">
        <f t="shared" si="116"/>
        <v>#DIV/0!</v>
      </c>
      <c r="CF120" s="113" t="e">
        <f t="shared" si="98"/>
        <v>#DIV/0!</v>
      </c>
      <c r="CG120" s="619">
        <f t="shared" si="99"/>
        <v>0</v>
      </c>
      <c r="CH120" s="132" t="e">
        <f t="shared" si="117"/>
        <v>#DIV/0!</v>
      </c>
      <c r="CI120" s="625"/>
      <c r="CJ120" s="208">
        <f t="shared" si="118"/>
        <v>489.09420937777122</v>
      </c>
      <c r="CK120" s="208">
        <f t="shared" si="100"/>
        <v>284.01008642307158</v>
      </c>
      <c r="CL120" s="208">
        <f t="shared" si="128"/>
        <v>773.10429580084281</v>
      </c>
      <c r="CM120" s="18">
        <f t="shared" si="119"/>
        <v>773.10429580084281</v>
      </c>
      <c r="CN120" s="18">
        <f t="shared" si="120"/>
        <v>0</v>
      </c>
      <c r="CO120" s="112">
        <f t="shared" si="101"/>
        <v>770772.55256471538</v>
      </c>
      <c r="CP120" s="112">
        <f t="shared" si="102"/>
        <v>769418.54226299562</v>
      </c>
      <c r="CQ120" s="112">
        <f t="shared" si="103"/>
        <v>769418.54226299562</v>
      </c>
      <c r="CR120" s="112">
        <f t="shared" si="104"/>
        <v>486762.46614164382</v>
      </c>
      <c r="CS120" s="112">
        <f t="shared" si="105"/>
        <v>773104.29580084281</v>
      </c>
      <c r="CT120" s="112">
        <f t="shared" si="106"/>
        <v>773104.29580084281</v>
      </c>
      <c r="CU120" s="112">
        <f t="shared" si="107"/>
        <v>284010.08642307157</v>
      </c>
      <c r="CV120" s="112">
        <f t="shared" si="121"/>
        <v>1542522.8380638384</v>
      </c>
      <c r="CW120" s="843">
        <f t="shared" si="122"/>
        <v>6614.1239999999998</v>
      </c>
      <c r="CX120" s="112">
        <f t="shared" si="108"/>
        <v>0</v>
      </c>
      <c r="CY120" s="112">
        <f t="shared" si="109"/>
        <v>0</v>
      </c>
      <c r="CZ120" s="112"/>
      <c r="DA120" s="112">
        <f t="shared" si="110"/>
        <v>769418.54226299562</v>
      </c>
      <c r="DB120" s="112">
        <f t="shared" si="111"/>
        <v>773104.29580084281</v>
      </c>
      <c r="DC120" s="625"/>
      <c r="DD120" s="128" t="e">
        <f t="shared" si="123"/>
        <v>#DIV/0!</v>
      </c>
      <c r="DE120" s="625"/>
      <c r="DF120" s="625"/>
      <c r="DG120" s="625"/>
      <c r="DH120" s="797">
        <v>240.61199999999999</v>
      </c>
      <c r="DI120" s="797">
        <v>0</v>
      </c>
      <c r="DJ120" s="797">
        <f t="shared" si="124"/>
        <v>240.61199999999999</v>
      </c>
      <c r="DK120" s="625"/>
      <c r="DL120" s="618">
        <f t="shared" si="112"/>
        <v>0</v>
      </c>
      <c r="DM120" s="618">
        <f t="shared" si="113"/>
        <v>0</v>
      </c>
      <c r="DN120" s="618">
        <f t="shared" si="114"/>
        <v>0</v>
      </c>
      <c r="DO120" s="123"/>
    </row>
    <row r="121" spans="1:119" customFormat="1" ht="100.5" customHeight="1">
      <c r="A121" s="20">
        <f t="shared" si="125"/>
        <v>103</v>
      </c>
      <c r="B121" s="1281" t="s">
        <v>42</v>
      </c>
      <c r="C121" s="1285" t="s">
        <v>131</v>
      </c>
      <c r="D121" s="967" t="s">
        <v>141</v>
      </c>
      <c r="E121" s="617">
        <v>4632024035</v>
      </c>
      <c r="F121" s="1280" t="s">
        <v>8</v>
      </c>
      <c r="G121" s="1245" t="s">
        <v>956</v>
      </c>
      <c r="H121" s="866">
        <v>3299.1600000000003</v>
      </c>
      <c r="I121" s="825">
        <v>3299.1600000000003</v>
      </c>
      <c r="J121" s="756"/>
      <c r="K121" s="756"/>
      <c r="L121" s="872">
        <v>3299.1600000000003</v>
      </c>
      <c r="M121" s="867"/>
      <c r="N121" s="1207">
        <f t="shared" si="147"/>
        <v>3314.9639999999995</v>
      </c>
      <c r="O121" s="1208">
        <f t="shared" si="148"/>
        <v>3314.9639999999995</v>
      </c>
      <c r="P121" s="963"/>
      <c r="Q121" s="963"/>
      <c r="R121" s="1208">
        <f t="shared" si="149"/>
        <v>3314.9639999999995</v>
      </c>
      <c r="S121" s="910"/>
      <c r="T121" s="973">
        <v>145.21800829805133</v>
      </c>
      <c r="U121" s="974"/>
      <c r="V121" s="977"/>
      <c r="W121" s="974"/>
      <c r="X121" s="974"/>
      <c r="Y121" s="974"/>
      <c r="Z121" s="978">
        <f t="shared" si="126"/>
        <v>145.21800829805133</v>
      </c>
      <c r="AA121" s="975">
        <v>84.325949433200933</v>
      </c>
      <c r="AB121" s="16"/>
      <c r="AC121" s="227"/>
      <c r="AD121" s="16"/>
      <c r="AE121" s="16"/>
      <c r="AF121" s="16"/>
      <c r="AG121" s="926">
        <f t="shared" si="127"/>
        <v>84.325949433200933</v>
      </c>
      <c r="AH121" s="894">
        <f t="shared" si="129"/>
        <v>229.54395773125225</v>
      </c>
      <c r="AI121" s="15">
        <f t="shared" si="137"/>
        <v>229.54395773125225</v>
      </c>
      <c r="AJ121" s="15">
        <f t="shared" si="137"/>
        <v>0</v>
      </c>
      <c r="AK121" s="15">
        <f t="shared" si="137"/>
        <v>0</v>
      </c>
      <c r="AL121" s="15">
        <f t="shared" si="137"/>
        <v>0</v>
      </c>
      <c r="AM121" s="15">
        <f t="shared" si="137"/>
        <v>0</v>
      </c>
      <c r="AN121" s="15"/>
      <c r="AO121" s="15">
        <f t="shared" si="141"/>
        <v>229.54395773125225</v>
      </c>
      <c r="AP121" s="15">
        <f t="shared" si="142"/>
        <v>229.54395773125225</v>
      </c>
      <c r="AQ121" s="15">
        <f t="shared" si="85"/>
        <v>229.54395773125225</v>
      </c>
      <c r="AR121" s="127">
        <f t="shared" si="115"/>
        <v>0</v>
      </c>
      <c r="AS121" s="112">
        <f t="shared" si="143"/>
        <v>757302.24358863826</v>
      </c>
      <c r="AT121" s="112">
        <f t="shared" si="138"/>
        <v>0</v>
      </c>
      <c r="AU121" s="112">
        <f t="shared" si="138"/>
        <v>0</v>
      </c>
      <c r="AV121" s="112">
        <f t="shared" si="138"/>
        <v>0</v>
      </c>
      <c r="AW121" s="112">
        <f t="shared" si="138"/>
        <v>0</v>
      </c>
      <c r="AX121" s="112">
        <f t="shared" si="86"/>
        <v>757302.24358863826</v>
      </c>
      <c r="AY121" s="112">
        <f t="shared" si="87"/>
        <v>757302.24358863826</v>
      </c>
      <c r="AZ121" s="112">
        <f t="shared" si="146"/>
        <v>760929.95629662275</v>
      </c>
      <c r="BA121" s="112">
        <f t="shared" si="146"/>
        <v>0</v>
      </c>
      <c r="BB121" s="112">
        <f t="shared" si="144"/>
        <v>0</v>
      </c>
      <c r="BC121" s="112">
        <f t="shared" si="144"/>
        <v>0</v>
      </c>
      <c r="BD121" s="112">
        <f t="shared" si="145"/>
        <v>0</v>
      </c>
      <c r="BE121" s="112">
        <f t="shared" si="88"/>
        <v>760929.95629662275</v>
      </c>
      <c r="BF121" s="112">
        <f t="shared" si="89"/>
        <v>760929.95629662275</v>
      </c>
      <c r="BG121" s="126"/>
      <c r="BH121" s="126"/>
      <c r="BI121" s="112">
        <f t="shared" si="84"/>
        <v>0</v>
      </c>
      <c r="BJ121" s="112"/>
      <c r="BK121" s="112"/>
      <c r="BL121" s="112">
        <f t="shared" si="150"/>
        <v>479097.44425659906</v>
      </c>
      <c r="BM121" s="112">
        <f t="shared" si="150"/>
        <v>0</v>
      </c>
      <c r="BN121" s="112">
        <f t="shared" si="150"/>
        <v>0</v>
      </c>
      <c r="BO121" s="112">
        <f t="shared" si="150"/>
        <v>0</v>
      </c>
      <c r="BP121" s="112">
        <f t="shared" si="150"/>
        <v>0</v>
      </c>
      <c r="BQ121" s="112">
        <f t="shared" si="130"/>
        <v>479097.44425659906</v>
      </c>
      <c r="BR121" s="112">
        <f t="shared" si="131"/>
        <v>479097.44425659906</v>
      </c>
      <c r="BS121" s="112">
        <f t="shared" si="151"/>
        <v>279537.48663688143</v>
      </c>
      <c r="BT121" s="112">
        <f t="shared" si="151"/>
        <v>0</v>
      </c>
      <c r="BU121" s="112">
        <f t="shared" si="151"/>
        <v>0</v>
      </c>
      <c r="BV121" s="112">
        <f t="shared" si="132"/>
        <v>0</v>
      </c>
      <c r="BW121" s="112">
        <f t="shared" si="97"/>
        <v>0</v>
      </c>
      <c r="BX121" s="112">
        <f t="shared" si="133"/>
        <v>279537.48663688143</v>
      </c>
      <c r="BY121" s="112">
        <f t="shared" si="134"/>
        <v>279537.48663688143</v>
      </c>
      <c r="BZ121" s="113">
        <f t="shared" si="95"/>
        <v>0</v>
      </c>
      <c r="CA121" s="113">
        <f t="shared" si="95"/>
        <v>0</v>
      </c>
      <c r="CB121" s="113">
        <f t="shared" si="135"/>
        <v>0</v>
      </c>
      <c r="CC121" s="119" t="e">
        <f t="shared" si="96"/>
        <v>#DIV/0!</v>
      </c>
      <c r="CD121" s="119" t="e">
        <f t="shared" si="96"/>
        <v>#DIV/0!</v>
      </c>
      <c r="CE121" s="119" t="e">
        <f t="shared" si="116"/>
        <v>#DIV/0!</v>
      </c>
      <c r="CF121" s="113" t="e">
        <f t="shared" si="98"/>
        <v>#DIV/0!</v>
      </c>
      <c r="CG121" s="619">
        <f t="shared" si="99"/>
        <v>0</v>
      </c>
      <c r="CH121" s="132" t="e">
        <f t="shared" si="117"/>
        <v>#DIV/0!</v>
      </c>
      <c r="CI121" s="625"/>
      <c r="CJ121" s="208">
        <f t="shared" si="118"/>
        <v>481.39246965974132</v>
      </c>
      <c r="CK121" s="208">
        <f t="shared" si="100"/>
        <v>279.53748663688145</v>
      </c>
      <c r="CL121" s="208">
        <f t="shared" si="128"/>
        <v>760.92995629662278</v>
      </c>
      <c r="CM121" s="18">
        <f t="shared" si="119"/>
        <v>760.92995629662278</v>
      </c>
      <c r="CN121" s="18">
        <f t="shared" si="120"/>
        <v>0</v>
      </c>
      <c r="CO121" s="112">
        <f t="shared" si="101"/>
        <v>758634.93089348054</v>
      </c>
      <c r="CP121" s="112">
        <f t="shared" si="102"/>
        <v>757302.24358863826</v>
      </c>
      <c r="CQ121" s="112">
        <f t="shared" si="103"/>
        <v>757302.24358863826</v>
      </c>
      <c r="CR121" s="112">
        <f t="shared" si="104"/>
        <v>479097.44425659906</v>
      </c>
      <c r="CS121" s="112">
        <f t="shared" si="105"/>
        <v>760929.95629662275</v>
      </c>
      <c r="CT121" s="112">
        <f t="shared" si="106"/>
        <v>760929.95629662275</v>
      </c>
      <c r="CU121" s="112">
        <f t="shared" si="107"/>
        <v>279537.48663688143</v>
      </c>
      <c r="CV121" s="112">
        <f t="shared" si="121"/>
        <v>1518232.199885261</v>
      </c>
      <c r="CW121" s="843">
        <f t="shared" si="122"/>
        <v>6614.1239999999998</v>
      </c>
      <c r="CX121" s="112">
        <f t="shared" si="108"/>
        <v>0</v>
      </c>
      <c r="CY121" s="112">
        <f t="shared" si="109"/>
        <v>0</v>
      </c>
      <c r="CZ121" s="112"/>
      <c r="DA121" s="112">
        <f t="shared" si="110"/>
        <v>757302.24358863826</v>
      </c>
      <c r="DB121" s="112">
        <f t="shared" si="111"/>
        <v>760929.95629662275</v>
      </c>
      <c r="DC121" s="625"/>
      <c r="DD121" s="128" t="e">
        <f t="shared" si="123"/>
        <v>#DIV/0!</v>
      </c>
      <c r="DE121" s="625"/>
      <c r="DF121" s="625"/>
      <c r="DG121" s="625"/>
      <c r="DH121" s="797">
        <v>236.82300000000001</v>
      </c>
      <c r="DI121" s="797">
        <v>0</v>
      </c>
      <c r="DJ121" s="797">
        <f t="shared" si="124"/>
        <v>236.82300000000001</v>
      </c>
      <c r="DK121" s="625"/>
      <c r="DL121" s="618">
        <f t="shared" si="112"/>
        <v>0</v>
      </c>
      <c r="DM121" s="618">
        <f t="shared" si="113"/>
        <v>0</v>
      </c>
      <c r="DN121" s="618">
        <f t="shared" si="114"/>
        <v>0</v>
      </c>
      <c r="DO121" s="123"/>
    </row>
    <row r="122" spans="1:119" customFormat="1" ht="100.5" customHeight="1">
      <c r="A122" s="20">
        <f t="shared" si="125"/>
        <v>104</v>
      </c>
      <c r="B122" s="1278" t="s">
        <v>43</v>
      </c>
      <c r="C122" s="1278" t="s">
        <v>53</v>
      </c>
      <c r="D122" s="783" t="s">
        <v>256</v>
      </c>
      <c r="E122" s="1280">
        <v>4633002394</v>
      </c>
      <c r="F122" s="1280" t="s">
        <v>8</v>
      </c>
      <c r="G122" s="847" t="s">
        <v>966</v>
      </c>
      <c r="H122" s="874">
        <v>1977.48</v>
      </c>
      <c r="I122" s="756">
        <v>1977.48</v>
      </c>
      <c r="J122" s="756">
        <v>1977.48</v>
      </c>
      <c r="K122" s="756">
        <v>1834.44</v>
      </c>
      <c r="L122" s="756">
        <v>1977.48</v>
      </c>
      <c r="M122" s="873"/>
      <c r="N122" s="1034">
        <v>2092.2199999999998</v>
      </c>
      <c r="O122" s="964">
        <v>2092.2199999999998</v>
      </c>
      <c r="P122" s="964">
        <v>2092.2199999999998</v>
      </c>
      <c r="Q122" s="964">
        <v>2036.22</v>
      </c>
      <c r="R122" s="964">
        <v>2092.2199999999998</v>
      </c>
      <c r="S122" s="913"/>
      <c r="T122" s="1072">
        <v>35138</v>
      </c>
      <c r="U122" s="825">
        <v>200562.57699999999</v>
      </c>
      <c r="V122" s="1002">
        <v>48177.97100000007</v>
      </c>
      <c r="W122" s="981">
        <v>24527</v>
      </c>
      <c r="X122" s="16"/>
      <c r="Y122" s="16"/>
      <c r="Z122" s="930">
        <v>308405.54800000007</v>
      </c>
      <c r="AA122" s="1073">
        <v>26552</v>
      </c>
      <c r="AB122" s="825">
        <v>144060.519</v>
      </c>
      <c r="AC122" s="1002">
        <v>47934.513999999996</v>
      </c>
      <c r="AD122" s="16">
        <v>16363</v>
      </c>
      <c r="AE122" s="16"/>
      <c r="AF122" s="16"/>
      <c r="AG122" s="930">
        <v>234910.033</v>
      </c>
      <c r="AH122" s="898">
        <v>543315.58100000001</v>
      </c>
      <c r="AI122" s="16">
        <v>61690</v>
      </c>
      <c r="AJ122" s="16">
        <v>344623.09600000002</v>
      </c>
      <c r="AK122" s="16">
        <v>96112.485000000073</v>
      </c>
      <c r="AL122" s="16">
        <v>40890</v>
      </c>
      <c r="AM122" s="16">
        <v>0</v>
      </c>
      <c r="AN122" s="16"/>
      <c r="AO122" s="16">
        <v>543315.58100000012</v>
      </c>
      <c r="AP122" s="16">
        <v>543315.58100000012</v>
      </c>
      <c r="AQ122" s="16">
        <v>543315.58100000012</v>
      </c>
      <c r="AR122" s="1074">
        <v>2248.3053133333274</v>
      </c>
      <c r="AS122" s="1075">
        <v>2236.9439866666576</v>
      </c>
      <c r="AT122" s="1074">
        <v>4485.2492999999849</v>
      </c>
      <c r="AU122" s="1076"/>
      <c r="AV122" s="1076"/>
      <c r="AW122" s="1077">
        <v>645252.25563656003</v>
      </c>
      <c r="AX122" s="1077">
        <v>491483.46924325998</v>
      </c>
      <c r="AY122" s="1078">
        <v>1136735.7248798199</v>
      </c>
      <c r="AZ122" s="126">
        <v>1101349272.3023002</v>
      </c>
      <c r="BA122" s="126">
        <v>1060647765.2614802</v>
      </c>
      <c r="BB122" s="126">
        <v>1074395695.1158803</v>
      </c>
      <c r="BC122" s="126">
        <v>602974426.08720016</v>
      </c>
      <c r="BD122" s="126">
        <v>1131353425.71982</v>
      </c>
      <c r="BE122" s="126">
        <v>1136735724.8798201</v>
      </c>
      <c r="BF122" s="126">
        <v>488799136.45925999</v>
      </c>
      <c r="BG122" s="1038">
        <f>(O122-P122)*U122/1.2/1000+(O122-Q122)*V122/1.2/1000</f>
        <v>2248.3053133333278</v>
      </c>
      <c r="BH122" s="1039">
        <f>(O122-P122)*AB122/1.2/1000+(O122-Q122)*AC122/1.2/1000</f>
        <v>2236.9439866666576</v>
      </c>
      <c r="BI122" s="1038">
        <f>BG122+BH122+0.320374950022597</f>
        <v>4485.5696749500075</v>
      </c>
      <c r="BJ122" s="1261">
        <v>1136735.7248798199</v>
      </c>
      <c r="BK122" s="1261">
        <f>949143.2964*1.2</f>
        <v>1138971.9556799999</v>
      </c>
      <c r="BL122" s="126">
        <v>1074395695.1158803</v>
      </c>
      <c r="BM122" s="126">
        <v>1136735724.8798201</v>
      </c>
      <c r="BN122" s="625"/>
      <c r="BO122" s="680">
        <v>105.80233428403827</v>
      </c>
      <c r="BP122" s="625"/>
      <c r="BQ122" s="625"/>
      <c r="BR122" s="625"/>
      <c r="BS122" s="684">
        <v>531967.75699999998</v>
      </c>
      <c r="BT122" s="822">
        <v>432453.34099999996</v>
      </c>
      <c r="BU122" s="822">
        <v>99514.416000000027</v>
      </c>
      <c r="BV122" s="625"/>
      <c r="BW122" s="1063">
        <v>0</v>
      </c>
      <c r="BX122" s="1063">
        <v>0</v>
      </c>
      <c r="BY122" s="1063">
        <v>0</v>
      </c>
      <c r="BZ122" s="123"/>
      <c r="CA122" s="32"/>
      <c r="CB122" s="32"/>
      <c r="CC122" s="32"/>
      <c r="CD122" s="119">
        <f t="shared" si="96"/>
        <v>0</v>
      </c>
      <c r="CE122" s="119">
        <f t="shared" si="116"/>
        <v>0</v>
      </c>
      <c r="CF122" s="119">
        <f t="shared" si="98"/>
        <v>0</v>
      </c>
      <c r="CG122" s="619">
        <f t="shared" si="99"/>
        <v>893575306.8023001</v>
      </c>
      <c r="CH122" s="132">
        <f t="shared" si="117"/>
        <v>2027.4635072004769</v>
      </c>
      <c r="CI122" s="106"/>
      <c r="CJ122" s="661">
        <f t="shared" si="118"/>
        <v>645252.25563656003</v>
      </c>
      <c r="CK122" s="661">
        <f t="shared" si="100"/>
        <v>491483.46924325998</v>
      </c>
      <c r="CL122" s="684">
        <f t="shared" si="128"/>
        <v>1136735.7248798199</v>
      </c>
      <c r="CM122" s="18">
        <f t="shared" si="119"/>
        <v>1136735.7248798199</v>
      </c>
      <c r="CN122" s="18">
        <f t="shared" si="120"/>
        <v>0</v>
      </c>
      <c r="CO122" s="126">
        <f t="shared" si="101"/>
        <v>1101349272.3023002</v>
      </c>
      <c r="CP122" s="126">
        <f t="shared" si="102"/>
        <v>1060647765.2614802</v>
      </c>
      <c r="CQ122" s="126">
        <f t="shared" si="103"/>
        <v>1074395695.1158803</v>
      </c>
      <c r="CR122" s="126">
        <f t="shared" si="104"/>
        <v>602974426.08720016</v>
      </c>
      <c r="CS122" s="126">
        <f t="shared" si="105"/>
        <v>1131353425.71982</v>
      </c>
      <c r="CT122" s="126">
        <f t="shared" si="106"/>
        <v>1136735724.8798201</v>
      </c>
      <c r="CU122" s="126">
        <f t="shared" si="107"/>
        <v>488799136.45925999</v>
      </c>
      <c r="CV122" s="126">
        <f t="shared" si="121"/>
        <v>2192001190.9813004</v>
      </c>
      <c r="CW122" s="843">
        <f t="shared" si="122"/>
        <v>4034.4898391222473</v>
      </c>
      <c r="CX122" s="126">
        <f t="shared" si="108"/>
        <v>857797866.86148012</v>
      </c>
      <c r="CY122" s="126">
        <f t="shared" si="109"/>
        <v>916733498.11982012</v>
      </c>
      <c r="CZ122" s="126"/>
      <c r="DA122" s="126">
        <f t="shared" si="110"/>
        <v>1074395695.1158803</v>
      </c>
      <c r="DB122" s="126">
        <f t="shared" si="111"/>
        <v>1136735724.8798201</v>
      </c>
      <c r="DC122" s="106"/>
      <c r="DD122" s="128">
        <f t="shared" si="123"/>
        <v>105.80233428403827</v>
      </c>
      <c r="DE122" s="106"/>
      <c r="DF122" s="106"/>
      <c r="DG122" s="106"/>
      <c r="DH122" s="684">
        <v>531967.75699999998</v>
      </c>
      <c r="DI122" s="797">
        <v>432453.34099999996</v>
      </c>
      <c r="DJ122" s="797">
        <f t="shared" si="124"/>
        <v>99514.416000000027</v>
      </c>
      <c r="DK122" s="106"/>
      <c r="DL122" s="618">
        <f t="shared" si="112"/>
        <v>0</v>
      </c>
      <c r="DM122" s="618">
        <f t="shared" si="113"/>
        <v>0</v>
      </c>
      <c r="DN122" s="618">
        <f t="shared" si="114"/>
        <v>0</v>
      </c>
      <c r="DO122" s="115"/>
    </row>
    <row r="123" spans="1:119" customFormat="1" ht="100.5" customHeight="1">
      <c r="A123" s="1081">
        <f t="shared" si="125"/>
        <v>105</v>
      </c>
      <c r="B123" s="1281" t="s">
        <v>43</v>
      </c>
      <c r="C123" s="1281" t="s">
        <v>53</v>
      </c>
      <c r="D123" s="1106" t="s">
        <v>276</v>
      </c>
      <c r="E123" s="1106">
        <v>4633001577</v>
      </c>
      <c r="F123" s="1082" t="s">
        <v>8</v>
      </c>
      <c r="G123" s="1083" t="s">
        <v>932</v>
      </c>
      <c r="H123" s="1084">
        <v>2286.8200000000002</v>
      </c>
      <c r="I123" s="1085">
        <v>0</v>
      </c>
      <c r="J123" s="1085">
        <v>0</v>
      </c>
      <c r="K123" s="1085">
        <v>0</v>
      </c>
      <c r="L123" s="1107">
        <v>2286.8200000000002</v>
      </c>
      <c r="M123" s="1086">
        <v>0</v>
      </c>
      <c r="N123" s="1087">
        <v>2140.0289343047111</v>
      </c>
      <c r="O123" s="1088">
        <v>0</v>
      </c>
      <c r="P123" s="1088">
        <v>0</v>
      </c>
      <c r="Q123" s="1088">
        <v>0</v>
      </c>
      <c r="R123" s="1108">
        <v>2140.0289343047111</v>
      </c>
      <c r="S123" s="1109">
        <v>0</v>
      </c>
      <c r="T123" s="1110">
        <v>0</v>
      </c>
      <c r="U123" s="1097">
        <v>0</v>
      </c>
      <c r="V123" s="1097">
        <v>0</v>
      </c>
      <c r="W123" s="1097">
        <v>8559</v>
      </c>
      <c r="X123" s="1097">
        <v>0</v>
      </c>
      <c r="Y123" s="1097">
        <v>0</v>
      </c>
      <c r="Z123" s="1092">
        <f t="shared" si="126"/>
        <v>8559</v>
      </c>
      <c r="AA123" s="1111">
        <v>0</v>
      </c>
      <c r="AB123" s="1097">
        <v>0</v>
      </c>
      <c r="AC123" s="1097">
        <v>0</v>
      </c>
      <c r="AD123" s="1097">
        <v>4267</v>
      </c>
      <c r="AE123" s="1097">
        <v>0</v>
      </c>
      <c r="AF123" s="1097">
        <v>0</v>
      </c>
      <c r="AG123" s="1092">
        <f>SUM(AA123:AF123)</f>
        <v>4267</v>
      </c>
      <c r="AH123" s="1095">
        <f t="shared" si="129"/>
        <v>12826</v>
      </c>
      <c r="AI123" s="1097">
        <f t="shared" si="137"/>
        <v>0</v>
      </c>
      <c r="AJ123" s="1097">
        <f t="shared" si="137"/>
        <v>0</v>
      </c>
      <c r="AK123" s="1097">
        <f t="shared" si="137"/>
        <v>0</v>
      </c>
      <c r="AL123" s="1097">
        <f t="shared" si="137"/>
        <v>12826</v>
      </c>
      <c r="AM123" s="1097">
        <f t="shared" si="137"/>
        <v>0</v>
      </c>
      <c r="AN123" s="1097"/>
      <c r="AO123" s="1097">
        <f t="shared" si="141"/>
        <v>12826</v>
      </c>
      <c r="AP123" s="1097">
        <f t="shared" si="142"/>
        <v>12826</v>
      </c>
      <c r="AQ123" s="1097">
        <f t="shared" si="85"/>
        <v>12826</v>
      </c>
      <c r="AR123" s="1098">
        <f t="shared" si="115"/>
        <v>0</v>
      </c>
      <c r="AS123" s="1097">
        <f>I123*AI123</f>
        <v>0</v>
      </c>
      <c r="AT123" s="1097">
        <f t="shared" si="138"/>
        <v>0</v>
      </c>
      <c r="AU123" s="1097">
        <f t="shared" si="138"/>
        <v>0</v>
      </c>
      <c r="AV123" s="1097">
        <f t="shared" si="138"/>
        <v>29330753.32</v>
      </c>
      <c r="AW123" s="1097">
        <f t="shared" si="138"/>
        <v>0</v>
      </c>
      <c r="AX123" s="1097">
        <f t="shared" si="86"/>
        <v>29330753.32</v>
      </c>
      <c r="AY123" s="1097">
        <f t="shared" si="87"/>
        <v>29330753.32</v>
      </c>
      <c r="AZ123" s="1097">
        <f t="shared" si="146"/>
        <v>0</v>
      </c>
      <c r="BA123" s="1097">
        <f t="shared" si="146"/>
        <v>0</v>
      </c>
      <c r="BB123" s="1097">
        <f t="shared" si="144"/>
        <v>0</v>
      </c>
      <c r="BC123" s="1097">
        <f t="shared" si="144"/>
        <v>27448011.111392226</v>
      </c>
      <c r="BD123" s="1097">
        <f t="shared" si="145"/>
        <v>0</v>
      </c>
      <c r="BE123" s="1097">
        <f t="shared" si="88"/>
        <v>27448011.111392226</v>
      </c>
      <c r="BF123" s="1097">
        <f t="shared" si="89"/>
        <v>27448011.111392226</v>
      </c>
      <c r="BG123" s="1097"/>
      <c r="BH123" s="1097"/>
      <c r="BI123" s="1097">
        <f t="shared" si="84"/>
        <v>0</v>
      </c>
      <c r="BJ123" s="1096">
        <v>22873.342592826855</v>
      </c>
      <c r="BK123" s="1096">
        <v>40032.648631964978</v>
      </c>
      <c r="BL123" s="1097">
        <f>I123*T123</f>
        <v>0</v>
      </c>
      <c r="BM123" s="1097">
        <f>J123*U123</f>
        <v>0</v>
      </c>
      <c r="BN123" s="1097">
        <f>K123*V123</f>
        <v>0</v>
      </c>
      <c r="BO123" s="1097">
        <f>L123*W123</f>
        <v>19572892.380000003</v>
      </c>
      <c r="BP123" s="1097">
        <f t="shared" si="150"/>
        <v>0</v>
      </c>
      <c r="BQ123" s="1097">
        <f>BL123+BM123+BN123+BO123+BP123</f>
        <v>19572892.380000003</v>
      </c>
      <c r="BR123" s="1097">
        <f>BQ123-BP123</f>
        <v>19572892.380000003</v>
      </c>
      <c r="BS123" s="1097">
        <f>O123*AA123</f>
        <v>0</v>
      </c>
      <c r="BT123" s="1097">
        <f>P123*AB123</f>
        <v>0</v>
      </c>
      <c r="BU123" s="1097">
        <f>Q123*AC123</f>
        <v>0</v>
      </c>
      <c r="BV123" s="1097">
        <f>R123*W123</f>
        <v>18316507.648714021</v>
      </c>
      <c r="BW123" s="1097">
        <f>S123*AE123</f>
        <v>0</v>
      </c>
      <c r="BX123" s="1097">
        <f>BS123+BT123+BU123+BV123+BW123</f>
        <v>18316507.648714021</v>
      </c>
      <c r="BY123" s="1097">
        <f>BX123-BW123</f>
        <v>18316507.648714021</v>
      </c>
      <c r="BZ123" s="1099">
        <f>BM123+BT123</f>
        <v>0</v>
      </c>
      <c r="CA123" s="1099">
        <f>BN123+BU123</f>
        <v>0</v>
      </c>
      <c r="CB123" s="1099">
        <f>BZ123+CA123</f>
        <v>0</v>
      </c>
      <c r="CC123" s="1100" t="e">
        <f>BZ123/AJ123</f>
        <v>#DIV/0!</v>
      </c>
      <c r="CD123" s="1100" t="e">
        <f t="shared" si="96"/>
        <v>#DIV/0!</v>
      </c>
      <c r="CE123" s="1100" t="e">
        <f t="shared" si="116"/>
        <v>#DIV/0!</v>
      </c>
      <c r="CF123" s="1099" t="e">
        <f t="shared" si="98"/>
        <v>#DIV/0!</v>
      </c>
      <c r="CG123" s="1101">
        <f t="shared" si="99"/>
        <v>0</v>
      </c>
      <c r="CH123" s="1102" t="e">
        <f t="shared" si="117"/>
        <v>#DIV/0!</v>
      </c>
      <c r="CJ123" s="1097">
        <f t="shared" si="118"/>
        <v>18316.507648714021</v>
      </c>
      <c r="CK123" s="1097">
        <f t="shared" si="100"/>
        <v>9131.5034626782017</v>
      </c>
      <c r="CL123" s="1097">
        <f t="shared" si="128"/>
        <v>27448.011111392225</v>
      </c>
      <c r="CM123" s="18">
        <f t="shared" si="119"/>
        <v>27448.011111392225</v>
      </c>
      <c r="CN123" s="18">
        <f t="shared" si="120"/>
        <v>0</v>
      </c>
      <c r="CO123" s="1097">
        <f t="shared" si="101"/>
        <v>28704395.842678204</v>
      </c>
      <c r="CP123" s="1097">
        <f t="shared" si="102"/>
        <v>29330753.32</v>
      </c>
      <c r="CQ123" s="1097">
        <f t="shared" si="103"/>
        <v>29330753.32</v>
      </c>
      <c r="CR123" s="1097">
        <f t="shared" si="104"/>
        <v>19572892.380000003</v>
      </c>
      <c r="CS123" s="1097">
        <f t="shared" si="105"/>
        <v>27448011.111392226</v>
      </c>
      <c r="CT123" s="1097">
        <f t="shared" si="106"/>
        <v>27448011.111392226</v>
      </c>
      <c r="CU123" s="1097">
        <f t="shared" si="107"/>
        <v>9131503.4626782015</v>
      </c>
      <c r="CV123" s="1097">
        <f t="shared" si="121"/>
        <v>56778764.431392223</v>
      </c>
      <c r="CW123" s="1103">
        <f t="shared" si="122"/>
        <v>4426.8489343047113</v>
      </c>
      <c r="CX123" s="1097">
        <f t="shared" si="108"/>
        <v>0</v>
      </c>
      <c r="CY123" s="1097">
        <f t="shared" si="109"/>
        <v>0</v>
      </c>
      <c r="CZ123" s="1097"/>
      <c r="DA123" s="1097">
        <f t="shared" si="110"/>
        <v>29330753.32</v>
      </c>
      <c r="DB123" s="1097">
        <f t="shared" si="111"/>
        <v>27448011.111392226</v>
      </c>
      <c r="DD123" s="1104" t="e">
        <f t="shared" si="123"/>
        <v>#DIV/0!</v>
      </c>
      <c r="DH123" s="1097">
        <v>20195</v>
      </c>
      <c r="DI123" s="1097">
        <v>0</v>
      </c>
      <c r="DJ123" s="1097">
        <f t="shared" si="124"/>
        <v>20195</v>
      </c>
      <c r="DL123" s="1105">
        <f t="shared" si="112"/>
        <v>0</v>
      </c>
      <c r="DM123" s="1105">
        <f t="shared" si="113"/>
        <v>0</v>
      </c>
      <c r="DN123" s="1105">
        <f t="shared" si="114"/>
        <v>0</v>
      </c>
    </row>
    <row r="124" spans="1:119" customFormat="1" ht="100.5" customHeight="1">
      <c r="A124" s="695">
        <f t="shared" si="125"/>
        <v>106</v>
      </c>
      <c r="B124" s="1281" t="s">
        <v>43</v>
      </c>
      <c r="C124" s="1281" t="s">
        <v>53</v>
      </c>
      <c r="D124" s="729" t="s">
        <v>44</v>
      </c>
      <c r="E124" s="730">
        <v>4633016372</v>
      </c>
      <c r="F124" s="731" t="s">
        <v>45</v>
      </c>
      <c r="G124" s="1253" t="s">
        <v>958</v>
      </c>
      <c r="H124" s="870">
        <v>2084.9</v>
      </c>
      <c r="I124" s="827"/>
      <c r="J124" s="827"/>
      <c r="K124" s="827"/>
      <c r="L124" s="827">
        <v>2084.9</v>
      </c>
      <c r="M124" s="877">
        <v>0</v>
      </c>
      <c r="N124" s="859">
        <v>2370.98</v>
      </c>
      <c r="O124" s="698"/>
      <c r="P124" s="698"/>
      <c r="Q124" s="698"/>
      <c r="R124" s="698">
        <v>2370.98</v>
      </c>
      <c r="S124" s="915"/>
      <c r="T124" s="940">
        <v>0</v>
      </c>
      <c r="U124" s="18">
        <v>0</v>
      </c>
      <c r="V124" s="18">
        <v>0</v>
      </c>
      <c r="W124" s="18">
        <v>330.29</v>
      </c>
      <c r="X124" s="18">
        <v>0</v>
      </c>
      <c r="Y124" s="18">
        <v>0</v>
      </c>
      <c r="Z124" s="934">
        <f t="shared" si="126"/>
        <v>330.29</v>
      </c>
      <c r="AA124" s="902">
        <v>0</v>
      </c>
      <c r="AB124" s="18">
        <v>0</v>
      </c>
      <c r="AC124" s="18">
        <v>0</v>
      </c>
      <c r="AD124" s="18">
        <v>250</v>
      </c>
      <c r="AE124" s="18">
        <v>0</v>
      </c>
      <c r="AF124" s="18">
        <v>0</v>
      </c>
      <c r="AG124" s="934">
        <f>SUM(AA124:AF124)</f>
        <v>250</v>
      </c>
      <c r="AH124" s="953">
        <f t="shared" si="129"/>
        <v>580.29</v>
      </c>
      <c r="AI124" s="18">
        <f t="shared" si="137"/>
        <v>0</v>
      </c>
      <c r="AJ124" s="18">
        <f t="shared" si="137"/>
        <v>0</v>
      </c>
      <c r="AK124" s="18">
        <f t="shared" si="137"/>
        <v>0</v>
      </c>
      <c r="AL124" s="18">
        <f t="shared" si="137"/>
        <v>580.29</v>
      </c>
      <c r="AM124" s="18">
        <f t="shared" si="137"/>
        <v>0</v>
      </c>
      <c r="AN124" s="18"/>
      <c r="AO124" s="18">
        <f t="shared" si="141"/>
        <v>580.29</v>
      </c>
      <c r="AP124" s="18">
        <f t="shared" si="142"/>
        <v>580.29</v>
      </c>
      <c r="AQ124" s="18">
        <f t="shared" si="85"/>
        <v>580.29</v>
      </c>
      <c r="AR124" s="99">
        <f t="shared" si="115"/>
        <v>0</v>
      </c>
      <c r="AS124" s="18">
        <f>I124*AI124</f>
        <v>0</v>
      </c>
      <c r="AT124" s="18">
        <f>J124*AJ124</f>
        <v>0</v>
      </c>
      <c r="AU124" s="18">
        <f>K124*AK124</f>
        <v>0</v>
      </c>
      <c r="AV124" s="18">
        <f>L124*AL124</f>
        <v>1209846.621</v>
      </c>
      <c r="AW124" s="18">
        <f>M124*AM124</f>
        <v>0</v>
      </c>
      <c r="AX124" s="18">
        <f t="shared" si="86"/>
        <v>1209846.621</v>
      </c>
      <c r="AY124" s="18">
        <f t="shared" si="87"/>
        <v>1209846.621</v>
      </c>
      <c r="AZ124" s="18">
        <f t="shared" si="146"/>
        <v>0</v>
      </c>
      <c r="BA124" s="18">
        <f t="shared" si="146"/>
        <v>0</v>
      </c>
      <c r="BB124" s="18">
        <f t="shared" si="144"/>
        <v>0</v>
      </c>
      <c r="BC124" s="18">
        <f t="shared" si="144"/>
        <v>1375855.9841999998</v>
      </c>
      <c r="BD124" s="18">
        <f t="shared" si="145"/>
        <v>0</v>
      </c>
      <c r="BE124" s="18">
        <f t="shared" si="88"/>
        <v>1375855.9841999998</v>
      </c>
      <c r="BF124" s="18">
        <f t="shared" si="89"/>
        <v>1375855.9841999998</v>
      </c>
      <c r="BG124" s="18"/>
      <c r="BH124" s="18"/>
      <c r="BI124" s="18">
        <f t="shared" si="84"/>
        <v>0</v>
      </c>
      <c r="BJ124" s="18">
        <v>860.58</v>
      </c>
      <c r="BK124" s="18">
        <v>1056.29</v>
      </c>
      <c r="BL124" s="18">
        <f t="shared" si="150"/>
        <v>0</v>
      </c>
      <c r="BM124" s="18">
        <f t="shared" si="150"/>
        <v>0</v>
      </c>
      <c r="BN124" s="18">
        <f t="shared" si="150"/>
        <v>0</v>
      </c>
      <c r="BO124" s="18">
        <f t="shared" si="150"/>
        <v>688621.62100000004</v>
      </c>
      <c r="BP124" s="18">
        <f t="shared" si="150"/>
        <v>0</v>
      </c>
      <c r="BQ124" s="18">
        <f t="shared" si="130"/>
        <v>688621.62100000004</v>
      </c>
      <c r="BR124" s="18">
        <f t="shared" si="131"/>
        <v>688621.62100000004</v>
      </c>
      <c r="BS124" s="18">
        <f t="shared" si="151"/>
        <v>0</v>
      </c>
      <c r="BT124" s="18">
        <f t="shared" si="151"/>
        <v>0</v>
      </c>
      <c r="BU124" s="18">
        <f t="shared" si="151"/>
        <v>0</v>
      </c>
      <c r="BV124" s="18">
        <f t="shared" si="132"/>
        <v>783110.98420000006</v>
      </c>
      <c r="BW124" s="18">
        <f t="shared" si="97"/>
        <v>0</v>
      </c>
      <c r="BX124" s="18">
        <f t="shared" si="133"/>
        <v>783110.98420000006</v>
      </c>
      <c r="BY124" s="18">
        <f t="shared" si="134"/>
        <v>783110.98420000006</v>
      </c>
      <c r="BZ124" s="161">
        <f t="shared" si="95"/>
        <v>0</v>
      </c>
      <c r="CA124" s="161">
        <f t="shared" si="95"/>
        <v>0</v>
      </c>
      <c r="CB124" s="161">
        <f t="shared" si="135"/>
        <v>0</v>
      </c>
      <c r="CC124" s="162" t="e">
        <f t="shared" si="96"/>
        <v>#DIV/0!</v>
      </c>
      <c r="CD124" s="162" t="e">
        <f t="shared" si="96"/>
        <v>#DIV/0!</v>
      </c>
      <c r="CE124" s="162" t="e">
        <f t="shared" si="116"/>
        <v>#DIV/0!</v>
      </c>
      <c r="CF124" s="161" t="e">
        <f t="shared" si="98"/>
        <v>#DIV/0!</v>
      </c>
      <c r="CG124" s="651">
        <f t="shared" si="99"/>
        <v>0</v>
      </c>
      <c r="CH124" s="652" t="e">
        <f t="shared" si="117"/>
        <v>#DIV/0!</v>
      </c>
      <c r="CJ124" s="208">
        <f t="shared" si="118"/>
        <v>783.11098420000008</v>
      </c>
      <c r="CK124" s="208">
        <f t="shared" si="100"/>
        <v>592.745</v>
      </c>
      <c r="CL124" s="99">
        <f t="shared" si="128"/>
        <v>1375.8559842</v>
      </c>
      <c r="CM124" s="18">
        <f t="shared" si="119"/>
        <v>1375.8559841999997</v>
      </c>
      <c r="CN124" s="18">
        <f t="shared" si="120"/>
        <v>0</v>
      </c>
      <c r="CO124" s="18">
        <f t="shared" si="101"/>
        <v>1281366.621</v>
      </c>
      <c r="CP124" s="18">
        <f t="shared" si="102"/>
        <v>1209846.621</v>
      </c>
      <c r="CQ124" s="18">
        <f t="shared" si="103"/>
        <v>1209846.621</v>
      </c>
      <c r="CR124" s="18">
        <f t="shared" si="104"/>
        <v>688621.62100000004</v>
      </c>
      <c r="CS124" s="18">
        <f t="shared" si="105"/>
        <v>1375855.9841999998</v>
      </c>
      <c r="CT124" s="18">
        <f t="shared" si="106"/>
        <v>1375855.9841999998</v>
      </c>
      <c r="CU124" s="18">
        <f t="shared" si="107"/>
        <v>592745</v>
      </c>
      <c r="CV124" s="18">
        <f t="shared" si="121"/>
        <v>2585702.6052000001</v>
      </c>
      <c r="CW124" s="843">
        <f t="shared" si="122"/>
        <v>4455.88</v>
      </c>
      <c r="CX124" s="18">
        <f t="shared" si="108"/>
        <v>0</v>
      </c>
      <c r="CY124" s="18">
        <f t="shared" si="109"/>
        <v>0</v>
      </c>
      <c r="CZ124" s="18"/>
      <c r="DA124" s="18">
        <f t="shared" si="110"/>
        <v>1209846.621</v>
      </c>
      <c r="DB124" s="18">
        <f t="shared" si="111"/>
        <v>1375855.9841999998</v>
      </c>
      <c r="DD124" s="653" t="e">
        <f t="shared" si="123"/>
        <v>#DIV/0!</v>
      </c>
      <c r="DH124" s="18">
        <v>548.33000000000004</v>
      </c>
      <c r="DI124" s="18">
        <v>0</v>
      </c>
      <c r="DJ124" s="18">
        <f t="shared" si="124"/>
        <v>548.33000000000004</v>
      </c>
      <c r="DL124" s="701">
        <f t="shared" si="112"/>
        <v>0</v>
      </c>
      <c r="DM124" s="701">
        <f t="shared" si="113"/>
        <v>0</v>
      </c>
      <c r="DN124" s="701">
        <f t="shared" si="114"/>
        <v>0</v>
      </c>
    </row>
    <row r="125" spans="1:119" customFormat="1" ht="100.5" customHeight="1">
      <c r="A125" s="695">
        <f t="shared" si="125"/>
        <v>107</v>
      </c>
      <c r="B125" s="1281" t="s">
        <v>43</v>
      </c>
      <c r="C125" s="1281" t="s">
        <v>53</v>
      </c>
      <c r="D125" s="729" t="s">
        <v>44</v>
      </c>
      <c r="E125" s="730">
        <v>4633016372</v>
      </c>
      <c r="F125" s="696" t="s">
        <v>8</v>
      </c>
      <c r="G125" s="1254"/>
      <c r="H125" s="870">
        <v>2313.92</v>
      </c>
      <c r="I125" s="827"/>
      <c r="J125" s="827"/>
      <c r="K125" s="827"/>
      <c r="L125" s="887">
        <v>2313.92</v>
      </c>
      <c r="M125" s="888">
        <v>0</v>
      </c>
      <c r="N125" s="859">
        <v>2503.9699999999998</v>
      </c>
      <c r="O125" s="698"/>
      <c r="P125" s="698"/>
      <c r="Q125" s="698"/>
      <c r="R125" s="29">
        <v>2503.9699999999998</v>
      </c>
      <c r="S125" s="915"/>
      <c r="T125" s="940">
        <v>0</v>
      </c>
      <c r="U125" s="18">
        <v>0</v>
      </c>
      <c r="V125" s="18">
        <v>0</v>
      </c>
      <c r="W125" s="18">
        <v>7264.84</v>
      </c>
      <c r="X125" s="18">
        <v>0</v>
      </c>
      <c r="Y125" s="18">
        <v>0</v>
      </c>
      <c r="Z125" s="934">
        <f t="shared" si="126"/>
        <v>7264.84</v>
      </c>
      <c r="AA125" s="902">
        <v>0</v>
      </c>
      <c r="AB125" s="18">
        <v>0</v>
      </c>
      <c r="AC125" s="18">
        <v>0</v>
      </c>
      <c r="AD125" s="29">
        <v>4742.6549999999997</v>
      </c>
      <c r="AE125" s="18">
        <v>0</v>
      </c>
      <c r="AF125" s="18">
        <v>0</v>
      </c>
      <c r="AG125" s="934">
        <f>SUM(AA125:AF125)</f>
        <v>4742.6549999999997</v>
      </c>
      <c r="AH125" s="953">
        <f t="shared" si="129"/>
        <v>12007.494999999999</v>
      </c>
      <c r="AI125" s="18">
        <f t="shared" si="137"/>
        <v>0</v>
      </c>
      <c r="AJ125" s="18">
        <f t="shared" si="137"/>
        <v>0</v>
      </c>
      <c r="AK125" s="18">
        <f t="shared" si="137"/>
        <v>0</v>
      </c>
      <c r="AL125" s="18">
        <f t="shared" si="137"/>
        <v>12007.494999999999</v>
      </c>
      <c r="AM125" s="18">
        <f t="shared" si="137"/>
        <v>0</v>
      </c>
      <c r="AN125" s="18"/>
      <c r="AO125" s="18">
        <f t="shared" si="141"/>
        <v>12007.494999999999</v>
      </c>
      <c r="AP125" s="18">
        <f t="shared" si="142"/>
        <v>12007.494999999999</v>
      </c>
      <c r="AQ125" s="18">
        <f t="shared" si="85"/>
        <v>12007.494999999999</v>
      </c>
      <c r="AR125" s="99">
        <f t="shared" si="115"/>
        <v>0</v>
      </c>
      <c r="AS125" s="18">
        <f t="shared" ref="AS125:AW144" si="152">I125*AI125</f>
        <v>0</v>
      </c>
      <c r="AT125" s="18">
        <f t="shared" si="152"/>
        <v>0</v>
      </c>
      <c r="AU125" s="18">
        <f t="shared" si="152"/>
        <v>0</v>
      </c>
      <c r="AV125" s="18">
        <f t="shared" si="152"/>
        <v>27784382.830399998</v>
      </c>
      <c r="AW125" s="18">
        <f t="shared" si="152"/>
        <v>0</v>
      </c>
      <c r="AX125" s="18">
        <f t="shared" si="86"/>
        <v>27784382.830399998</v>
      </c>
      <c r="AY125" s="18">
        <f t="shared" si="87"/>
        <v>27784382.830399998</v>
      </c>
      <c r="AZ125" s="18">
        <f t="shared" si="146"/>
        <v>0</v>
      </c>
      <c r="BA125" s="18">
        <f t="shared" si="146"/>
        <v>0</v>
      </c>
      <c r="BB125" s="18">
        <f t="shared" si="144"/>
        <v>0</v>
      </c>
      <c r="BC125" s="18">
        <f t="shared" si="144"/>
        <v>30066407.255149994</v>
      </c>
      <c r="BD125" s="18">
        <f t="shared" si="145"/>
        <v>0</v>
      </c>
      <c r="BE125" s="18">
        <f t="shared" si="88"/>
        <v>30066407.255149994</v>
      </c>
      <c r="BF125" s="18">
        <f t="shared" si="89"/>
        <v>30066407.255149994</v>
      </c>
      <c r="BG125" s="18"/>
      <c r="BH125" s="18"/>
      <c r="BI125" s="18">
        <f t="shared" si="84"/>
        <v>0</v>
      </c>
      <c r="BJ125" s="18">
        <v>20369.669999999998</v>
      </c>
      <c r="BK125" s="18">
        <v>25916.69</v>
      </c>
      <c r="BL125" s="18">
        <f t="shared" si="150"/>
        <v>0</v>
      </c>
      <c r="BM125" s="18">
        <f t="shared" si="150"/>
        <v>0</v>
      </c>
      <c r="BN125" s="18">
        <f t="shared" si="150"/>
        <v>0</v>
      </c>
      <c r="BO125" s="18">
        <f t="shared" si="150"/>
        <v>16810258.572799999</v>
      </c>
      <c r="BP125" s="18">
        <f t="shared" si="150"/>
        <v>0</v>
      </c>
      <c r="BQ125" s="18">
        <f t="shared" si="130"/>
        <v>16810258.572799999</v>
      </c>
      <c r="BR125" s="18">
        <f t="shared" si="131"/>
        <v>16810258.572799999</v>
      </c>
      <c r="BS125" s="18">
        <f t="shared" si="151"/>
        <v>0</v>
      </c>
      <c r="BT125" s="18">
        <f t="shared" si="151"/>
        <v>0</v>
      </c>
      <c r="BU125" s="18">
        <f t="shared" si="151"/>
        <v>0</v>
      </c>
      <c r="BV125" s="18">
        <f t="shared" si="132"/>
        <v>18190941.414799999</v>
      </c>
      <c r="BW125" s="18">
        <f t="shared" si="97"/>
        <v>0</v>
      </c>
      <c r="BX125" s="18">
        <f t="shared" si="133"/>
        <v>18190941.414799999</v>
      </c>
      <c r="BY125" s="18">
        <f t="shared" si="134"/>
        <v>18190941.414799999</v>
      </c>
      <c r="BZ125" s="161">
        <f t="shared" si="95"/>
        <v>0</v>
      </c>
      <c r="CA125" s="161">
        <f t="shared" si="95"/>
        <v>0</v>
      </c>
      <c r="CB125" s="161">
        <f t="shared" si="135"/>
        <v>0</v>
      </c>
      <c r="CC125" s="162" t="e">
        <f t="shared" si="96"/>
        <v>#DIV/0!</v>
      </c>
      <c r="CD125" s="162" t="e">
        <f t="shared" si="96"/>
        <v>#DIV/0!</v>
      </c>
      <c r="CE125" s="162" t="e">
        <f t="shared" si="116"/>
        <v>#DIV/0!</v>
      </c>
      <c r="CF125" s="161" t="e">
        <f t="shared" si="98"/>
        <v>#DIV/0!</v>
      </c>
      <c r="CG125" s="651">
        <f t="shared" si="99"/>
        <v>0</v>
      </c>
      <c r="CH125" s="652" t="e">
        <f t="shared" si="117"/>
        <v>#DIV/0!</v>
      </c>
      <c r="CJ125" s="208">
        <f t="shared" si="118"/>
        <v>18190.9414148</v>
      </c>
      <c r="CK125" s="208">
        <f t="shared" si="100"/>
        <v>11875.465840349998</v>
      </c>
      <c r="CL125" s="759">
        <f>CJ125+CK125-0.04</f>
        <v>30066.367255149999</v>
      </c>
      <c r="CM125" s="18">
        <f t="shared" si="119"/>
        <v>30066.407255149996</v>
      </c>
      <c r="CN125" s="18">
        <f t="shared" si="120"/>
        <v>3.9999999997235136E-2</v>
      </c>
      <c r="CO125" s="18">
        <f t="shared" si="101"/>
        <v>28685724.413149998</v>
      </c>
      <c r="CP125" s="18">
        <f t="shared" si="102"/>
        <v>27784382.830399998</v>
      </c>
      <c r="CQ125" s="18">
        <f t="shared" si="103"/>
        <v>27784382.830399998</v>
      </c>
      <c r="CR125" s="18">
        <f t="shared" si="104"/>
        <v>16810258.572799999</v>
      </c>
      <c r="CS125" s="18">
        <f t="shared" si="105"/>
        <v>30066407.255149994</v>
      </c>
      <c r="CT125" s="18">
        <f t="shared" si="106"/>
        <v>30066407.255149994</v>
      </c>
      <c r="CU125" s="18">
        <f t="shared" si="107"/>
        <v>11875465.840349998</v>
      </c>
      <c r="CV125" s="18">
        <f t="shared" si="121"/>
        <v>57850790.085549995</v>
      </c>
      <c r="CW125" s="843">
        <f t="shared" si="122"/>
        <v>4817.8900000000003</v>
      </c>
      <c r="CX125" s="18">
        <f t="shared" si="108"/>
        <v>0</v>
      </c>
      <c r="CY125" s="18">
        <f t="shared" si="109"/>
        <v>0</v>
      </c>
      <c r="CZ125" s="18"/>
      <c r="DA125" s="18">
        <f t="shared" si="110"/>
        <v>27784382.830399998</v>
      </c>
      <c r="DB125" s="18">
        <f t="shared" si="111"/>
        <v>30066407.255149994</v>
      </c>
      <c r="DD125" s="653" t="e">
        <f t="shared" si="123"/>
        <v>#DIV/0!</v>
      </c>
      <c r="DH125" s="18">
        <v>11712.75</v>
      </c>
      <c r="DI125" s="18">
        <v>0</v>
      </c>
      <c r="DJ125" s="18">
        <f t="shared" si="124"/>
        <v>11712.75</v>
      </c>
      <c r="DL125" s="701">
        <f t="shared" si="112"/>
        <v>0</v>
      </c>
      <c r="DM125" s="701">
        <f t="shared" si="113"/>
        <v>0</v>
      </c>
      <c r="DN125" s="701">
        <f t="shared" si="114"/>
        <v>0</v>
      </c>
    </row>
    <row r="126" spans="1:119" customFormat="1" ht="100.5" customHeight="1">
      <c r="A126" s="695">
        <f t="shared" si="125"/>
        <v>108</v>
      </c>
      <c r="B126" s="1281" t="s">
        <v>43</v>
      </c>
      <c r="C126" s="1281" t="s">
        <v>53</v>
      </c>
      <c r="D126" s="696" t="s">
        <v>46</v>
      </c>
      <c r="E126" s="696">
        <v>4633022993</v>
      </c>
      <c r="F126" s="696" t="s">
        <v>8</v>
      </c>
      <c r="G126" s="848" t="s">
        <v>959</v>
      </c>
      <c r="H126" s="870">
        <v>1650.08</v>
      </c>
      <c r="I126" s="827"/>
      <c r="J126" s="827">
        <v>1650.08</v>
      </c>
      <c r="K126" s="827">
        <v>1650.08</v>
      </c>
      <c r="L126" s="827"/>
      <c r="M126" s="877"/>
      <c r="N126" s="854">
        <v>1701.14</v>
      </c>
      <c r="O126" s="714"/>
      <c r="P126" s="714">
        <v>1701.14</v>
      </c>
      <c r="Q126" s="714">
        <v>1701.14</v>
      </c>
      <c r="R126" s="698"/>
      <c r="S126" s="915"/>
      <c r="T126" s="946"/>
      <c r="U126" s="29">
        <v>20076.650000000001</v>
      </c>
      <c r="V126" s="29">
        <v>6428.95</v>
      </c>
      <c r="W126" s="702"/>
      <c r="X126" s="702"/>
      <c r="Y126" s="702"/>
      <c r="Z126" s="934">
        <f>SUM(T126:W126)</f>
        <v>26505.600000000002</v>
      </c>
      <c r="AA126" s="906"/>
      <c r="AB126" s="29">
        <v>16426.349999999999</v>
      </c>
      <c r="AC126" s="29">
        <v>5260.05</v>
      </c>
      <c r="AD126" s="702"/>
      <c r="AE126" s="702"/>
      <c r="AF126" s="702">
        <v>0</v>
      </c>
      <c r="AG126" s="934">
        <f>SUM(AA126:AD126)</f>
        <v>21686.399999999998</v>
      </c>
      <c r="AH126" s="953">
        <f t="shared" si="129"/>
        <v>48192</v>
      </c>
      <c r="AI126" s="18">
        <f t="shared" si="137"/>
        <v>0</v>
      </c>
      <c r="AJ126" s="759">
        <f t="shared" si="137"/>
        <v>36503</v>
      </c>
      <c r="AK126" s="18">
        <f t="shared" si="137"/>
        <v>11689</v>
      </c>
      <c r="AL126" s="18">
        <f t="shared" si="137"/>
        <v>0</v>
      </c>
      <c r="AM126" s="18">
        <f t="shared" si="137"/>
        <v>0</v>
      </c>
      <c r="AN126" s="18"/>
      <c r="AO126" s="18">
        <f t="shared" si="141"/>
        <v>48192</v>
      </c>
      <c r="AP126" s="18">
        <f t="shared" si="142"/>
        <v>48192</v>
      </c>
      <c r="AQ126" s="702">
        <f t="shared" si="85"/>
        <v>48192</v>
      </c>
      <c r="AR126" s="99">
        <f t="shared" si="115"/>
        <v>0</v>
      </c>
      <c r="AS126" s="18">
        <f t="shared" si="152"/>
        <v>0</v>
      </c>
      <c r="AT126" s="18">
        <f t="shared" si="152"/>
        <v>60232870.239999995</v>
      </c>
      <c r="AU126" s="18">
        <f t="shared" si="152"/>
        <v>19287785.119999997</v>
      </c>
      <c r="AV126" s="18">
        <f t="shared" si="152"/>
        <v>0</v>
      </c>
      <c r="AW126" s="18">
        <f t="shared" si="152"/>
        <v>0</v>
      </c>
      <c r="AX126" s="18">
        <f t="shared" si="86"/>
        <v>79520655.359999985</v>
      </c>
      <c r="AY126" s="18">
        <f t="shared" si="87"/>
        <v>79520655.359999985</v>
      </c>
      <c r="AZ126" s="18">
        <f t="shared" si="146"/>
        <v>0</v>
      </c>
      <c r="BA126" s="18">
        <f t="shared" si="146"/>
        <v>62096713.420000002</v>
      </c>
      <c r="BB126" s="18">
        <f t="shared" si="144"/>
        <v>19884625.460000001</v>
      </c>
      <c r="BC126" s="18">
        <f t="shared" si="144"/>
        <v>0</v>
      </c>
      <c r="BD126" s="18">
        <f t="shared" si="145"/>
        <v>0</v>
      </c>
      <c r="BE126" s="18">
        <f t="shared" si="88"/>
        <v>81981338.879999995</v>
      </c>
      <c r="BF126" s="18">
        <f t="shared" si="89"/>
        <v>81981338.879999995</v>
      </c>
      <c r="BG126" s="18"/>
      <c r="BH126" s="18"/>
      <c r="BI126" s="18">
        <f t="shared" si="84"/>
        <v>0</v>
      </c>
      <c r="BJ126" s="747">
        <v>81981.56</v>
      </c>
      <c r="BK126" s="18">
        <v>85860.03</v>
      </c>
      <c r="BL126" s="18">
        <f t="shared" si="150"/>
        <v>0</v>
      </c>
      <c r="BM126" s="18">
        <f t="shared" si="150"/>
        <v>33128078.631999999</v>
      </c>
      <c r="BN126" s="18">
        <f t="shared" si="150"/>
        <v>10608281.816</v>
      </c>
      <c r="BO126" s="18">
        <f t="shared" si="150"/>
        <v>0</v>
      </c>
      <c r="BP126" s="18">
        <f t="shared" si="150"/>
        <v>0</v>
      </c>
      <c r="BQ126" s="18">
        <f t="shared" si="130"/>
        <v>43736360.447999999</v>
      </c>
      <c r="BR126" s="18">
        <f t="shared" si="131"/>
        <v>43736360.447999999</v>
      </c>
      <c r="BS126" s="18">
        <f t="shared" si="151"/>
        <v>0</v>
      </c>
      <c r="BT126" s="18">
        <f t="shared" si="151"/>
        <v>27943521.039000001</v>
      </c>
      <c r="BU126" s="18">
        <f t="shared" si="151"/>
        <v>8948081.4570000004</v>
      </c>
      <c r="BV126" s="18">
        <f t="shared" si="132"/>
        <v>0</v>
      </c>
      <c r="BW126" s="18">
        <f t="shared" si="97"/>
        <v>0</v>
      </c>
      <c r="BX126" s="18">
        <f t="shared" si="133"/>
        <v>36891602.495999999</v>
      </c>
      <c r="BY126" s="18">
        <f t="shared" si="134"/>
        <v>36891602.495999999</v>
      </c>
      <c r="BZ126" s="161">
        <f t="shared" si="95"/>
        <v>61071599.671000004</v>
      </c>
      <c r="CA126" s="161">
        <f t="shared" si="95"/>
        <v>19556363.273000002</v>
      </c>
      <c r="CB126" s="161">
        <f t="shared" si="135"/>
        <v>80627962.944000006</v>
      </c>
      <c r="CC126" s="162">
        <f t="shared" si="96"/>
        <v>1673.057</v>
      </c>
      <c r="CD126" s="162">
        <f t="shared" si="96"/>
        <v>1673.0570000000002</v>
      </c>
      <c r="CE126" s="162">
        <f t="shared" si="116"/>
        <v>1673.057</v>
      </c>
      <c r="CF126" s="162">
        <f t="shared" si="98"/>
        <v>1673.057</v>
      </c>
      <c r="CG126" s="651">
        <f t="shared" si="99"/>
        <v>0</v>
      </c>
      <c r="CH126" s="652">
        <f t="shared" si="117"/>
        <v>0</v>
      </c>
      <c r="CJ126" s="208">
        <f t="shared" si="118"/>
        <v>45089.736384000003</v>
      </c>
      <c r="CK126" s="208">
        <f>(N126*AG126/1000)+0.22</f>
        <v>36891.822496000001</v>
      </c>
      <c r="CL126" s="99">
        <f t="shared" si="128"/>
        <v>81981.558879999997</v>
      </c>
      <c r="CM126" s="18">
        <f t="shared" si="119"/>
        <v>81981.33888000001</v>
      </c>
      <c r="CN126" s="18">
        <f t="shared" si="120"/>
        <v>-0.21999999998661224</v>
      </c>
      <c r="CO126" s="18">
        <f t="shared" si="101"/>
        <v>80627962.944000006</v>
      </c>
      <c r="CP126" s="18">
        <f t="shared" si="102"/>
        <v>79520655.359999985</v>
      </c>
      <c r="CQ126" s="18">
        <f t="shared" si="103"/>
        <v>79520655.359999999</v>
      </c>
      <c r="CR126" s="18">
        <f t="shared" si="104"/>
        <v>43736360.447999999</v>
      </c>
      <c r="CS126" s="18">
        <f t="shared" si="105"/>
        <v>81981338.879999995</v>
      </c>
      <c r="CT126" s="18">
        <f t="shared" si="106"/>
        <v>81981338.88000001</v>
      </c>
      <c r="CU126" s="18">
        <f t="shared" si="107"/>
        <v>36891602.495999999</v>
      </c>
      <c r="CV126" s="18">
        <f t="shared" si="121"/>
        <v>161501994.23999998</v>
      </c>
      <c r="CW126" s="843">
        <f t="shared" si="122"/>
        <v>3351.22</v>
      </c>
      <c r="CX126" s="18">
        <f t="shared" si="108"/>
        <v>79520655.359999985</v>
      </c>
      <c r="CY126" s="18">
        <f t="shared" si="109"/>
        <v>81981338.879999995</v>
      </c>
      <c r="CZ126" s="18"/>
      <c r="DA126" s="18">
        <f t="shared" si="110"/>
        <v>79520655.359999985</v>
      </c>
      <c r="DB126" s="18">
        <f t="shared" si="111"/>
        <v>81981338.879999995</v>
      </c>
      <c r="DD126" s="653">
        <f t="shared" si="123"/>
        <v>103.09439542325222</v>
      </c>
      <c r="DH126" s="18">
        <v>50026</v>
      </c>
      <c r="DI126" s="18">
        <v>50026</v>
      </c>
      <c r="DJ126" s="18">
        <f t="shared" si="124"/>
        <v>0</v>
      </c>
      <c r="DL126" s="701">
        <f t="shared" si="112"/>
        <v>0</v>
      </c>
      <c r="DM126" s="701">
        <f t="shared" si="113"/>
        <v>0</v>
      </c>
      <c r="DN126" s="701">
        <f t="shared" si="114"/>
        <v>0</v>
      </c>
    </row>
    <row r="127" spans="1:119" customFormat="1" ht="100.5" customHeight="1">
      <c r="A127" s="1081">
        <f t="shared" si="125"/>
        <v>109</v>
      </c>
      <c r="B127" s="1281" t="s">
        <v>43</v>
      </c>
      <c r="C127" s="1281" t="s">
        <v>53</v>
      </c>
      <c r="D127" s="1082" t="s">
        <v>166</v>
      </c>
      <c r="E127" s="1082">
        <v>4633039010</v>
      </c>
      <c r="F127" s="1082" t="s">
        <v>8</v>
      </c>
      <c r="G127" s="1112" t="s">
        <v>931</v>
      </c>
      <c r="H127" s="1084">
        <v>1510.86</v>
      </c>
      <c r="I127" s="1085"/>
      <c r="J127" s="1085">
        <v>1510.86</v>
      </c>
      <c r="K127" s="1085">
        <v>1510.86</v>
      </c>
      <c r="L127" s="1085">
        <v>1510.86</v>
      </c>
      <c r="M127" s="1113">
        <v>0</v>
      </c>
      <c r="N127" s="1114">
        <v>1571.285756878892</v>
      </c>
      <c r="O127" s="1115">
        <v>0</v>
      </c>
      <c r="P127" s="1115">
        <v>1571.285756878892</v>
      </c>
      <c r="Q127" s="1115">
        <v>1571.285756878892</v>
      </c>
      <c r="R127" s="1115">
        <v>1571.285756878892</v>
      </c>
      <c r="S127" s="1089">
        <v>0</v>
      </c>
      <c r="T127" s="1110">
        <v>0</v>
      </c>
      <c r="U127" s="1097">
        <v>3828.9</v>
      </c>
      <c r="V127" s="1097">
        <v>447.99</v>
      </c>
      <c r="W127" s="1097">
        <v>157.97999999999999</v>
      </c>
      <c r="X127" s="1097">
        <v>0</v>
      </c>
      <c r="Y127" s="1097">
        <v>0</v>
      </c>
      <c r="Z127" s="1092">
        <f>SUM(T127:W127)</f>
        <v>4434.87</v>
      </c>
      <c r="AA127" s="1111">
        <v>0</v>
      </c>
      <c r="AB127" s="1097">
        <v>2897.4</v>
      </c>
      <c r="AC127" s="1097">
        <v>740.75</v>
      </c>
      <c r="AD127" s="1097">
        <v>131.72999999999999</v>
      </c>
      <c r="AE127" s="1097">
        <v>0</v>
      </c>
      <c r="AF127" s="1097">
        <v>0</v>
      </c>
      <c r="AG127" s="1092">
        <f t="shared" si="127"/>
        <v>3769.88</v>
      </c>
      <c r="AH127" s="1095">
        <f>Z127+AG127</f>
        <v>8204.75</v>
      </c>
      <c r="AI127" s="1097">
        <f t="shared" si="137"/>
        <v>0</v>
      </c>
      <c r="AJ127" s="1097">
        <f t="shared" si="137"/>
        <v>6726.3</v>
      </c>
      <c r="AK127" s="1097">
        <f t="shared" si="137"/>
        <v>1188.74</v>
      </c>
      <c r="AL127" s="1097">
        <f t="shared" si="137"/>
        <v>289.70999999999998</v>
      </c>
      <c r="AM127" s="1097">
        <f t="shared" si="137"/>
        <v>0</v>
      </c>
      <c r="AN127" s="1097">
        <v>0</v>
      </c>
      <c r="AO127" s="1097">
        <f t="shared" si="141"/>
        <v>8204.75</v>
      </c>
      <c r="AP127" s="1097">
        <f t="shared" si="142"/>
        <v>8204.75</v>
      </c>
      <c r="AQ127" s="1097">
        <f t="shared" si="85"/>
        <v>8204.75</v>
      </c>
      <c r="AR127" s="1098">
        <f t="shared" si="115"/>
        <v>0</v>
      </c>
      <c r="AS127" s="1097">
        <f t="shared" si="152"/>
        <v>0</v>
      </c>
      <c r="AT127" s="1097">
        <f t="shared" si="152"/>
        <v>10162497.617999999</v>
      </c>
      <c r="AU127" s="1097">
        <f t="shared" si="152"/>
        <v>1796019.7163999998</v>
      </c>
      <c r="AV127" s="1097">
        <f t="shared" si="152"/>
        <v>437711.25059999991</v>
      </c>
      <c r="AW127" s="1097">
        <f t="shared" si="152"/>
        <v>0</v>
      </c>
      <c r="AX127" s="1097">
        <f t="shared" si="86"/>
        <v>12396228.584999997</v>
      </c>
      <c r="AY127" s="1097">
        <f t="shared" si="87"/>
        <v>12396228.584999997</v>
      </c>
      <c r="AZ127" s="1097">
        <f t="shared" si="146"/>
        <v>0</v>
      </c>
      <c r="BA127" s="1097">
        <f t="shared" si="146"/>
        <v>10568939.386494491</v>
      </c>
      <c r="BB127" s="1097">
        <f t="shared" si="144"/>
        <v>1867850.2306322141</v>
      </c>
      <c r="BC127" s="1097">
        <f t="shared" si="144"/>
        <v>455217.19662538375</v>
      </c>
      <c r="BD127" s="1097">
        <f t="shared" si="145"/>
        <v>0</v>
      </c>
      <c r="BE127" s="1097">
        <f t="shared" si="88"/>
        <v>12892006.813752089</v>
      </c>
      <c r="BF127" s="1097">
        <f t="shared" si="89"/>
        <v>12892006.813752089</v>
      </c>
      <c r="BG127" s="1097">
        <v>0</v>
      </c>
      <c r="BH127" s="1097">
        <v>0</v>
      </c>
      <c r="BI127" s="1097">
        <f t="shared" si="84"/>
        <v>0</v>
      </c>
      <c r="BJ127" s="1096">
        <v>12892.00681375209</v>
      </c>
      <c r="BK127" s="1096">
        <v>16984.490160000001</v>
      </c>
      <c r="BL127" s="1097">
        <f t="shared" si="150"/>
        <v>0</v>
      </c>
      <c r="BM127" s="1097">
        <f t="shared" si="150"/>
        <v>5784931.8539999994</v>
      </c>
      <c r="BN127" s="1097">
        <f t="shared" si="150"/>
        <v>676850.17139999999</v>
      </c>
      <c r="BO127" s="1097">
        <f t="shared" si="150"/>
        <v>238685.66279999996</v>
      </c>
      <c r="BP127" s="1097">
        <f t="shared" si="150"/>
        <v>0</v>
      </c>
      <c r="BQ127" s="1097">
        <f t="shared" si="130"/>
        <v>6700467.6881999997</v>
      </c>
      <c r="BR127" s="1097">
        <f t="shared" si="131"/>
        <v>6700467.6881999997</v>
      </c>
      <c r="BS127" s="1097">
        <f t="shared" si="151"/>
        <v>0</v>
      </c>
      <c r="BT127" s="1097">
        <f t="shared" si="151"/>
        <v>4552643.3519809023</v>
      </c>
      <c r="BU127" s="1097">
        <f t="shared" si="151"/>
        <v>1163929.9244080393</v>
      </c>
      <c r="BV127" s="1097">
        <f t="shared" si="132"/>
        <v>248231.72387172736</v>
      </c>
      <c r="BW127" s="1097">
        <f t="shared" si="97"/>
        <v>0</v>
      </c>
      <c r="BX127" s="1097">
        <f t="shared" si="133"/>
        <v>5964805.0002606688</v>
      </c>
      <c r="BY127" s="1097">
        <f t="shared" si="134"/>
        <v>5964805.0002606688</v>
      </c>
      <c r="BZ127" s="1099">
        <f t="shared" si="95"/>
        <v>10337575.205980901</v>
      </c>
      <c r="CA127" s="1099">
        <f t="shared" si="95"/>
        <v>1840780.0958080394</v>
      </c>
      <c r="CB127" s="1099">
        <f t="shared" si="135"/>
        <v>12178355.301788941</v>
      </c>
      <c r="CC127" s="1100">
        <f t="shared" si="96"/>
        <v>1536.8888104873258</v>
      </c>
      <c r="CD127" s="1100">
        <f t="shared" si="96"/>
        <v>1548.5136327607713</v>
      </c>
      <c r="CE127" s="1100">
        <f t="shared" si="116"/>
        <v>1538.6347133797101</v>
      </c>
      <c r="CF127" s="1100">
        <f t="shared" si="98"/>
        <v>1538.6347133797101</v>
      </c>
      <c r="CG127" s="1101">
        <f t="shared" si="99"/>
        <v>0</v>
      </c>
      <c r="CH127" s="1102">
        <f t="shared" si="117"/>
        <v>0</v>
      </c>
      <c r="CJ127" s="1097">
        <f t="shared" si="118"/>
        <v>6968.4480646094917</v>
      </c>
      <c r="CK127" s="1097">
        <f t="shared" si="100"/>
        <v>5923.5587491425977</v>
      </c>
      <c r="CL127" s="1097">
        <f t="shared" si="128"/>
        <v>12892.00681375209</v>
      </c>
      <c r="CM127" s="18">
        <f t="shared" si="119"/>
        <v>12892.006813752088</v>
      </c>
      <c r="CN127" s="18">
        <f t="shared" si="120"/>
        <v>0</v>
      </c>
      <c r="CO127" s="1097">
        <f t="shared" si="101"/>
        <v>12624026.437342597</v>
      </c>
      <c r="CP127" s="1097">
        <f t="shared" si="102"/>
        <v>12396228.584999997</v>
      </c>
      <c r="CQ127" s="1097">
        <f t="shared" si="103"/>
        <v>12396228.585000001</v>
      </c>
      <c r="CR127" s="1097">
        <f t="shared" si="104"/>
        <v>6700467.6881999997</v>
      </c>
      <c r="CS127" s="1097">
        <f t="shared" si="105"/>
        <v>12892006.813752089</v>
      </c>
      <c r="CT127" s="1097">
        <f t="shared" si="106"/>
        <v>12892006.813752089</v>
      </c>
      <c r="CU127" s="1097">
        <f t="shared" si="107"/>
        <v>5923558.7491425974</v>
      </c>
      <c r="CV127" s="1097">
        <f t="shared" si="121"/>
        <v>25288235.398752086</v>
      </c>
      <c r="CW127" s="1103">
        <f t="shared" si="122"/>
        <v>3082.1457568788915</v>
      </c>
      <c r="CX127" s="1097">
        <f t="shared" si="108"/>
        <v>11958517.334399998</v>
      </c>
      <c r="CY127" s="1097">
        <f t="shared" si="109"/>
        <v>12436789.617126705</v>
      </c>
      <c r="CZ127" s="1097"/>
      <c r="DA127" s="1097">
        <f t="shared" si="110"/>
        <v>12396228.584999997</v>
      </c>
      <c r="DB127" s="1097">
        <f t="shared" si="111"/>
        <v>12892006.813752089</v>
      </c>
      <c r="DD127" s="1104">
        <f t="shared" si="123"/>
        <v>103.99942793368626</v>
      </c>
      <c r="DH127" s="1097">
        <v>8204.75</v>
      </c>
      <c r="DI127" s="1097">
        <v>7915.04</v>
      </c>
      <c r="DJ127" s="1097">
        <f t="shared" si="124"/>
        <v>289.71000000000004</v>
      </c>
      <c r="DL127" s="1105">
        <f t="shared" si="112"/>
        <v>0</v>
      </c>
      <c r="DM127" s="1105">
        <f t="shared" si="113"/>
        <v>0</v>
      </c>
      <c r="DN127" s="1105">
        <f t="shared" si="114"/>
        <v>0</v>
      </c>
    </row>
    <row r="128" spans="1:119" customFormat="1" ht="100.5" customHeight="1">
      <c r="A128" s="1041">
        <f t="shared" si="125"/>
        <v>110</v>
      </c>
      <c r="B128" s="1278" t="s">
        <v>47</v>
      </c>
      <c r="C128" s="1050" t="s">
        <v>56</v>
      </c>
      <c r="D128" s="1051" t="s">
        <v>48</v>
      </c>
      <c r="E128" s="1280">
        <v>4632121159</v>
      </c>
      <c r="F128" s="1280" t="s">
        <v>8</v>
      </c>
      <c r="G128" s="1245" t="s">
        <v>969</v>
      </c>
      <c r="H128" s="874">
        <v>1910.56</v>
      </c>
      <c r="I128" s="756">
        <v>1910.56</v>
      </c>
      <c r="J128" s="756">
        <v>1910.56</v>
      </c>
      <c r="K128" s="756">
        <v>0</v>
      </c>
      <c r="L128" s="756">
        <v>1910.56</v>
      </c>
      <c r="M128" s="873">
        <v>0</v>
      </c>
      <c r="N128" s="1217">
        <v>2115.6799999999998</v>
      </c>
      <c r="O128" s="756">
        <v>2115.6799999999998</v>
      </c>
      <c r="P128" s="756">
        <v>2115.6799999999998</v>
      </c>
      <c r="Q128" s="756"/>
      <c r="R128" s="756">
        <v>2115.6799999999998</v>
      </c>
      <c r="S128" s="873"/>
      <c r="T128" s="1042">
        <v>1858.19</v>
      </c>
      <c r="U128" s="697">
        <v>74380.7</v>
      </c>
      <c r="V128" s="740">
        <v>0</v>
      </c>
      <c r="W128" s="697">
        <v>5315.51</v>
      </c>
      <c r="X128" s="740">
        <v>0</v>
      </c>
      <c r="Y128" s="740"/>
      <c r="Z128" s="1043">
        <f>SUM(T128:W128)</f>
        <v>81554.399999999994</v>
      </c>
      <c r="AA128" s="857">
        <v>1651.81</v>
      </c>
      <c r="AB128" s="697">
        <v>66119.3</v>
      </c>
      <c r="AC128" s="740">
        <v>0</v>
      </c>
      <c r="AD128" s="697">
        <v>4720.04</v>
      </c>
      <c r="AE128" s="740">
        <v>0</v>
      </c>
      <c r="AF128" s="740">
        <v>0</v>
      </c>
      <c r="AG128" s="1043">
        <f>SUM(AA128:AD128)</f>
        <v>72491.149999999994</v>
      </c>
      <c r="AH128" s="1044">
        <f>Z128+AG128</f>
        <v>154045.54999999999</v>
      </c>
      <c r="AI128" s="697">
        <f>T128+AA128</f>
        <v>3510</v>
      </c>
      <c r="AJ128" s="697">
        <f>U128+AB128</f>
        <v>140500</v>
      </c>
      <c r="AK128" s="740">
        <f>V128+AC128</f>
        <v>0</v>
      </c>
      <c r="AL128" s="697">
        <f>W128+AD128</f>
        <v>10035.549999999999</v>
      </c>
      <c r="AM128" s="740">
        <f t="shared" si="137"/>
        <v>0</v>
      </c>
      <c r="AN128" s="740"/>
      <c r="AO128" s="697">
        <f>SUM(AI128:AN128)</f>
        <v>154045.54999999999</v>
      </c>
      <c r="AP128" s="697">
        <f>SUM(AI128:AM128)</f>
        <v>154045.54999999999</v>
      </c>
      <c r="AQ128" s="697">
        <f>SUM(AI128:AL128)</f>
        <v>154045.54999999999</v>
      </c>
      <c r="AR128" s="1045">
        <f t="shared" si="115"/>
        <v>0</v>
      </c>
      <c r="AS128" s="740">
        <f t="shared" si="152"/>
        <v>6706065.5999999996</v>
      </c>
      <c r="AT128" s="740">
        <f t="shared" si="152"/>
        <v>268433680</v>
      </c>
      <c r="AU128" s="740">
        <f t="shared" si="152"/>
        <v>0</v>
      </c>
      <c r="AV128" s="740">
        <f t="shared" si="152"/>
        <v>19173520.408</v>
      </c>
      <c r="AW128" s="740">
        <f t="shared" si="152"/>
        <v>0</v>
      </c>
      <c r="AX128" s="740">
        <f t="shared" si="86"/>
        <v>294313266.00800002</v>
      </c>
      <c r="AY128" s="740">
        <f t="shared" si="87"/>
        <v>294313266.00800002</v>
      </c>
      <c r="AZ128" s="740">
        <f t="shared" si="146"/>
        <v>7426036.7999999998</v>
      </c>
      <c r="BA128" s="740">
        <f t="shared" si="146"/>
        <v>297253040</v>
      </c>
      <c r="BB128" s="740">
        <f t="shared" si="144"/>
        <v>0</v>
      </c>
      <c r="BC128" s="740">
        <f t="shared" si="144"/>
        <v>21232012.423999995</v>
      </c>
      <c r="BD128" s="740">
        <f t="shared" si="145"/>
        <v>0</v>
      </c>
      <c r="BE128" s="740">
        <f t="shared" si="88"/>
        <v>325911089.22399998</v>
      </c>
      <c r="BF128" s="740">
        <f t="shared" si="89"/>
        <v>325911089.22399998</v>
      </c>
      <c r="BG128" s="740"/>
      <c r="BH128" s="740"/>
      <c r="BI128" s="740">
        <f t="shared" si="84"/>
        <v>0</v>
      </c>
      <c r="BJ128" s="1262">
        <v>325911.25590898877</v>
      </c>
      <c r="BK128" s="1262">
        <f>274328.534436467*1.2</f>
        <v>329194.24132376036</v>
      </c>
      <c r="BL128" s="740">
        <f>I128*T128</f>
        <v>3550183.4863999998</v>
      </c>
      <c r="BM128" s="740">
        <f>J128*U128</f>
        <v>142108790.192</v>
      </c>
      <c r="BN128" s="740">
        <f t="shared" si="150"/>
        <v>0</v>
      </c>
      <c r="BO128" s="740">
        <f>L128*W128</f>
        <v>10155600.785600001</v>
      </c>
      <c r="BP128" s="740">
        <f t="shared" si="150"/>
        <v>0</v>
      </c>
      <c r="BQ128" s="740">
        <f>BL128+BM128+BN128+BO128+BP128</f>
        <v>155814574.46400002</v>
      </c>
      <c r="BR128" s="740">
        <f>BQ128-BP128</f>
        <v>155814574.46400002</v>
      </c>
      <c r="BS128" s="740">
        <f>O128*AA128</f>
        <v>3494701.3807999995</v>
      </c>
      <c r="BT128" s="740">
        <f>P128*AB128</f>
        <v>139887280.62399998</v>
      </c>
      <c r="BU128" s="740">
        <f t="shared" si="151"/>
        <v>0</v>
      </c>
      <c r="BV128" s="740">
        <f>R128*W128</f>
        <v>11245918.196799999</v>
      </c>
      <c r="BW128" s="740">
        <f t="shared" si="97"/>
        <v>0</v>
      </c>
      <c r="BX128" s="740">
        <f>BS128+BT128+BU128+BV128+BW128</f>
        <v>154627900.20159999</v>
      </c>
      <c r="BY128" s="740">
        <f>BX128-BW128</f>
        <v>154627900.20159999</v>
      </c>
      <c r="BZ128" s="1046">
        <f t="shared" si="95"/>
        <v>281996070.81599998</v>
      </c>
      <c r="CA128" s="1046">
        <f t="shared" si="95"/>
        <v>0</v>
      </c>
      <c r="CB128" s="1046">
        <f t="shared" si="135"/>
        <v>281996070.81599998</v>
      </c>
      <c r="CC128" s="922">
        <f t="shared" si="96"/>
        <v>2007.0894719999999</v>
      </c>
      <c r="CD128" s="922" t="e">
        <f t="shared" si="96"/>
        <v>#DIV/0!</v>
      </c>
      <c r="CE128" s="922">
        <f t="shared" si="116"/>
        <v>2007.0894719999999</v>
      </c>
      <c r="CF128" s="922">
        <f t="shared" si="98"/>
        <v>2007.0894719999999</v>
      </c>
      <c r="CG128" s="1047">
        <f t="shared" si="99"/>
        <v>281996070.81599998</v>
      </c>
      <c r="CH128" s="1048">
        <f t="shared" si="117"/>
        <v>2007.0894719999999</v>
      </c>
      <c r="CJ128" s="1218">
        <f t="shared" si="118"/>
        <v>172543.01299199997</v>
      </c>
      <c r="CK128" s="1218">
        <f t="shared" si="100"/>
        <v>153368.07623199996</v>
      </c>
      <c r="CL128" s="1218">
        <f>CJ128+CK128+0.16668498882791</f>
        <v>325911.25590898877</v>
      </c>
      <c r="CM128" s="18">
        <f t="shared" si="119"/>
        <v>325911.089224</v>
      </c>
      <c r="CN128" s="18">
        <f t="shared" si="120"/>
        <v>-0.16668498876970261</v>
      </c>
      <c r="CO128" s="740">
        <f t="shared" si="101"/>
        <v>309182650.69599998</v>
      </c>
      <c r="CP128" s="740">
        <f t="shared" si="102"/>
        <v>294313266.00800002</v>
      </c>
      <c r="CQ128" s="740">
        <f t="shared" si="103"/>
        <v>294313266.00800002</v>
      </c>
      <c r="CR128" s="740">
        <f t="shared" si="104"/>
        <v>155814574.46400002</v>
      </c>
      <c r="CS128" s="740">
        <f t="shared" si="105"/>
        <v>325911089.22399998</v>
      </c>
      <c r="CT128" s="740">
        <f t="shared" si="106"/>
        <v>325911089.22399998</v>
      </c>
      <c r="CU128" s="740">
        <f t="shared" si="107"/>
        <v>153368076.23199999</v>
      </c>
      <c r="CV128" s="740">
        <f t="shared" si="121"/>
        <v>620224355.23199999</v>
      </c>
      <c r="CW128" s="1049">
        <f t="shared" si="122"/>
        <v>4026.2400000000002</v>
      </c>
      <c r="CX128" s="740">
        <f t="shared" si="108"/>
        <v>268433680</v>
      </c>
      <c r="CY128" s="740">
        <f t="shared" si="109"/>
        <v>297253040</v>
      </c>
      <c r="CZ128" s="740"/>
      <c r="DA128" s="740">
        <f t="shared" si="110"/>
        <v>294313266.00800002</v>
      </c>
      <c r="DB128" s="740">
        <f t="shared" si="111"/>
        <v>325911089.22399998</v>
      </c>
      <c r="DD128" s="728">
        <f t="shared" si="123"/>
        <v>110.73611925299389</v>
      </c>
      <c r="DH128" s="740">
        <v>154045.54999999999</v>
      </c>
      <c r="DI128" s="740">
        <v>140500</v>
      </c>
      <c r="DJ128" s="740">
        <f t="shared" si="124"/>
        <v>13545.549999999988</v>
      </c>
      <c r="DL128" s="770">
        <f t="shared" si="112"/>
        <v>0</v>
      </c>
      <c r="DM128" s="770">
        <f t="shared" si="113"/>
        <v>0</v>
      </c>
      <c r="DN128" s="770">
        <f t="shared" si="114"/>
        <v>0</v>
      </c>
    </row>
    <row r="129" spans="1:119" customFormat="1" ht="100.5" customHeight="1">
      <c r="A129" s="115">
        <f t="shared" si="125"/>
        <v>111</v>
      </c>
      <c r="B129" s="1281" t="s">
        <v>47</v>
      </c>
      <c r="C129" s="1281" t="s">
        <v>56</v>
      </c>
      <c r="D129" s="1280" t="s">
        <v>224</v>
      </c>
      <c r="E129" s="711">
        <v>4632113278</v>
      </c>
      <c r="F129" s="710" t="s">
        <v>8</v>
      </c>
      <c r="G129" s="852" t="s">
        <v>962</v>
      </c>
      <c r="H129" s="889">
        <v>1463.36</v>
      </c>
      <c r="I129" s="833"/>
      <c r="J129" s="833">
        <v>1463.36</v>
      </c>
      <c r="K129" s="833"/>
      <c r="L129" s="833"/>
      <c r="M129" s="890"/>
      <c r="N129" s="862">
        <v>1521.43</v>
      </c>
      <c r="O129" s="708"/>
      <c r="P129" s="708">
        <v>1521.43</v>
      </c>
      <c r="Q129" s="708"/>
      <c r="R129" s="708"/>
      <c r="S129" s="923"/>
      <c r="T129" s="948">
        <v>0</v>
      </c>
      <c r="U129" s="124">
        <v>2885.15</v>
      </c>
      <c r="V129" s="124">
        <v>0</v>
      </c>
      <c r="W129" s="124">
        <v>0</v>
      </c>
      <c r="X129" s="124"/>
      <c r="Y129" s="124"/>
      <c r="Z129" s="949">
        <f t="shared" si="126"/>
        <v>2885.15</v>
      </c>
      <c r="AA129" s="908">
        <v>0</v>
      </c>
      <c r="AB129" s="124">
        <v>2471.84</v>
      </c>
      <c r="AC129" s="124">
        <v>0</v>
      </c>
      <c r="AD129" s="124">
        <v>0</v>
      </c>
      <c r="AE129" s="124"/>
      <c r="AF129" s="124">
        <v>0</v>
      </c>
      <c r="AG129" s="949">
        <f t="shared" si="127"/>
        <v>2471.84</v>
      </c>
      <c r="AH129" s="956">
        <f t="shared" si="129"/>
        <v>5356.99</v>
      </c>
      <c r="AI129" s="112">
        <f t="shared" si="137"/>
        <v>0</v>
      </c>
      <c r="AJ129" s="112">
        <f t="shared" si="137"/>
        <v>5356.99</v>
      </c>
      <c r="AK129" s="112">
        <f t="shared" si="137"/>
        <v>0</v>
      </c>
      <c r="AL129" s="112">
        <f t="shared" si="137"/>
        <v>0</v>
      </c>
      <c r="AM129" s="112">
        <f t="shared" si="137"/>
        <v>0</v>
      </c>
      <c r="AN129" s="112"/>
      <c r="AO129" s="112">
        <f t="shared" si="141"/>
        <v>5356.99</v>
      </c>
      <c r="AP129" s="112">
        <f t="shared" si="142"/>
        <v>5356.99</v>
      </c>
      <c r="AQ129" s="709">
        <f t="shared" si="85"/>
        <v>5356.99</v>
      </c>
      <c r="AR129" s="127">
        <f t="shared" si="115"/>
        <v>0</v>
      </c>
      <c r="AS129" s="112">
        <f t="shared" si="152"/>
        <v>0</v>
      </c>
      <c r="AT129" s="112">
        <f t="shared" si="152"/>
        <v>7839204.8863999993</v>
      </c>
      <c r="AU129" s="112">
        <f t="shared" si="152"/>
        <v>0</v>
      </c>
      <c r="AV129" s="112">
        <f t="shared" si="152"/>
        <v>0</v>
      </c>
      <c r="AW129" s="112">
        <f t="shared" si="152"/>
        <v>0</v>
      </c>
      <c r="AX129" s="112">
        <f t="shared" si="86"/>
        <v>7839204.8863999993</v>
      </c>
      <c r="AY129" s="112">
        <f t="shared" si="87"/>
        <v>7839204.8863999993</v>
      </c>
      <c r="AZ129" s="112">
        <f t="shared" si="146"/>
        <v>0</v>
      </c>
      <c r="BA129" s="112">
        <f t="shared" si="146"/>
        <v>8150285.2956999997</v>
      </c>
      <c r="BB129" s="112">
        <f t="shared" si="144"/>
        <v>0</v>
      </c>
      <c r="BC129" s="112">
        <f t="shared" si="144"/>
        <v>0</v>
      </c>
      <c r="BD129" s="112">
        <f t="shared" si="145"/>
        <v>0</v>
      </c>
      <c r="BE129" s="112">
        <f t="shared" si="88"/>
        <v>8150285.2956999997</v>
      </c>
      <c r="BF129" s="112">
        <f t="shared" si="89"/>
        <v>8150285.2956999997</v>
      </c>
      <c r="BG129" s="124">
        <v>0</v>
      </c>
      <c r="BH129" s="124">
        <v>0</v>
      </c>
      <c r="BI129" s="112">
        <f t="shared" si="84"/>
        <v>0</v>
      </c>
      <c r="BJ129" s="112">
        <v>8150.27</v>
      </c>
      <c r="BK129" s="124">
        <v>10239.700000000001</v>
      </c>
      <c r="BL129" s="112">
        <f t="shared" si="150"/>
        <v>0</v>
      </c>
      <c r="BM129" s="112">
        <f t="shared" si="150"/>
        <v>4222013.1040000003</v>
      </c>
      <c r="BN129" s="112">
        <f t="shared" si="150"/>
        <v>0</v>
      </c>
      <c r="BO129" s="112">
        <f t="shared" si="150"/>
        <v>0</v>
      </c>
      <c r="BP129" s="112">
        <f t="shared" si="150"/>
        <v>0</v>
      </c>
      <c r="BQ129" s="112">
        <f t="shared" si="130"/>
        <v>4222013.1040000003</v>
      </c>
      <c r="BR129" s="112">
        <f t="shared" si="131"/>
        <v>4222013.1040000003</v>
      </c>
      <c r="BS129" s="112">
        <f t="shared" si="151"/>
        <v>0</v>
      </c>
      <c r="BT129" s="112">
        <f t="shared" si="151"/>
        <v>3760731.5312000006</v>
      </c>
      <c r="BU129" s="112">
        <f t="shared" si="151"/>
        <v>0</v>
      </c>
      <c r="BV129" s="112">
        <f t="shared" si="132"/>
        <v>0</v>
      </c>
      <c r="BW129" s="112">
        <f t="shared" si="97"/>
        <v>0</v>
      </c>
      <c r="BX129" s="112">
        <f t="shared" si="133"/>
        <v>3760731.5312000006</v>
      </c>
      <c r="BY129" s="112">
        <f t="shared" si="134"/>
        <v>3760731.5312000006</v>
      </c>
      <c r="BZ129" s="113">
        <f t="shared" si="95"/>
        <v>7982744.6352000013</v>
      </c>
      <c r="CA129" s="113">
        <f t="shared" si="95"/>
        <v>0</v>
      </c>
      <c r="CB129" s="113">
        <f t="shared" si="135"/>
        <v>7982744.6352000013</v>
      </c>
      <c r="CC129" s="119">
        <f t="shared" si="96"/>
        <v>1490.1548509890818</v>
      </c>
      <c r="CD129" s="119" t="e">
        <f t="shared" si="96"/>
        <v>#DIV/0!</v>
      </c>
      <c r="CE129" s="119">
        <f t="shared" si="116"/>
        <v>1490.1548509890818</v>
      </c>
      <c r="CF129" s="119">
        <f t="shared" si="98"/>
        <v>1490.1548509890818</v>
      </c>
      <c r="CG129" s="619">
        <f t="shared" si="99"/>
        <v>0</v>
      </c>
      <c r="CH129" s="132">
        <f t="shared" si="117"/>
        <v>0</v>
      </c>
      <c r="CJ129" s="208">
        <f t="shared" si="118"/>
        <v>4389.5537645000004</v>
      </c>
      <c r="CK129" s="208">
        <f t="shared" si="100"/>
        <v>3760.7315312000005</v>
      </c>
      <c r="CL129" s="127">
        <f>CJ129+CK129-0.02</f>
        <v>8150.2652957000009</v>
      </c>
      <c r="CM129" s="18">
        <f t="shared" si="119"/>
        <v>8150.2852956999996</v>
      </c>
      <c r="CN129" s="18">
        <f t="shared" si="120"/>
        <v>1.9999999998617568E-2</v>
      </c>
      <c r="CO129" s="112">
        <f t="shared" si="101"/>
        <v>7982744.6352000013</v>
      </c>
      <c r="CP129" s="112">
        <f t="shared" si="102"/>
        <v>7839204.8863999993</v>
      </c>
      <c r="CQ129" s="112">
        <f t="shared" si="103"/>
        <v>7839204.8863999993</v>
      </c>
      <c r="CR129" s="112">
        <f t="shared" si="104"/>
        <v>4222013.1040000003</v>
      </c>
      <c r="CS129" s="112">
        <f t="shared" si="105"/>
        <v>8150285.2956999997</v>
      </c>
      <c r="CT129" s="112">
        <f t="shared" si="106"/>
        <v>8150285.2956999997</v>
      </c>
      <c r="CU129" s="112">
        <f t="shared" si="107"/>
        <v>3760731.5312000006</v>
      </c>
      <c r="CV129" s="112">
        <f t="shared" si="121"/>
        <v>15989490.182099998</v>
      </c>
      <c r="CW129" s="843">
        <f t="shared" si="122"/>
        <v>2984.79</v>
      </c>
      <c r="CX129" s="112">
        <f t="shared" si="108"/>
        <v>7839204.8863999993</v>
      </c>
      <c r="CY129" s="112">
        <f t="shared" si="109"/>
        <v>8150285.2956999997</v>
      </c>
      <c r="CZ129" s="112"/>
      <c r="DA129" s="112">
        <f t="shared" si="110"/>
        <v>7839204.8863999993</v>
      </c>
      <c r="DB129" s="112">
        <f t="shared" si="111"/>
        <v>8150285.2956999997</v>
      </c>
      <c r="DD129" s="128">
        <f t="shared" si="123"/>
        <v>103.96826481521977</v>
      </c>
      <c r="DH129" s="112">
        <v>4597.9430000000002</v>
      </c>
      <c r="DI129" s="797">
        <v>4597.9430000000002</v>
      </c>
      <c r="DJ129" s="797">
        <f t="shared" si="124"/>
        <v>0</v>
      </c>
      <c r="DL129" s="118">
        <f t="shared" si="112"/>
        <v>0</v>
      </c>
      <c r="DM129" s="118">
        <f t="shared" si="113"/>
        <v>0</v>
      </c>
      <c r="DN129" s="118">
        <f t="shared" si="114"/>
        <v>0</v>
      </c>
    </row>
    <row r="130" spans="1:119" customFormat="1" ht="100.5" customHeight="1">
      <c r="A130" s="20">
        <f t="shared" si="125"/>
        <v>112</v>
      </c>
      <c r="B130" s="1281" t="s">
        <v>47</v>
      </c>
      <c r="C130" s="1281" t="s">
        <v>56</v>
      </c>
      <c r="D130" s="1280" t="s">
        <v>162</v>
      </c>
      <c r="E130" s="1280">
        <v>5261077695</v>
      </c>
      <c r="F130" s="1280" t="s">
        <v>8</v>
      </c>
      <c r="G130" s="849" t="s">
        <v>943</v>
      </c>
      <c r="H130" s="891">
        <v>2359.3560000000002</v>
      </c>
      <c r="I130" s="758">
        <v>2359.3560000000002</v>
      </c>
      <c r="J130" s="758">
        <v>2359.36</v>
      </c>
      <c r="K130" s="758">
        <v>2359.36</v>
      </c>
      <c r="L130" s="758"/>
      <c r="M130" s="892"/>
      <c r="N130" s="863">
        <v>2617.2537028118982</v>
      </c>
      <c r="O130" s="820">
        <f>N130</f>
        <v>2617.2537028118982</v>
      </c>
      <c r="P130" s="608">
        <f>O130</f>
        <v>2617.2537028118982</v>
      </c>
      <c r="Q130" s="608">
        <f>P130</f>
        <v>2617.2537028118982</v>
      </c>
      <c r="R130" s="608">
        <v>0</v>
      </c>
      <c r="S130" s="1204">
        <v>0</v>
      </c>
      <c r="T130" s="1205">
        <v>1095</v>
      </c>
      <c r="U130" s="606">
        <v>52.94</v>
      </c>
      <c r="V130" s="605">
        <v>25.62</v>
      </c>
      <c r="W130" s="606">
        <v>0</v>
      </c>
      <c r="X130" s="606">
        <v>0</v>
      </c>
      <c r="Y130" s="606">
        <v>1087.72</v>
      </c>
      <c r="Z130" s="930">
        <f>SUM(T130:W130)</f>
        <v>1173.56</v>
      </c>
      <c r="AA130" s="1206">
        <v>718.34</v>
      </c>
      <c r="AB130" s="606">
        <v>39.71</v>
      </c>
      <c r="AC130" s="605">
        <v>25.62</v>
      </c>
      <c r="AD130" s="606">
        <v>0</v>
      </c>
      <c r="AE130" s="606">
        <v>0</v>
      </c>
      <c r="AF130" s="606">
        <v>839.65</v>
      </c>
      <c r="AG130" s="930">
        <f>SUM(AA130:AD130)</f>
        <v>783.67000000000007</v>
      </c>
      <c r="AH130" s="898">
        <f t="shared" si="129"/>
        <v>1957.23</v>
      </c>
      <c r="AI130" s="16">
        <f t="shared" si="137"/>
        <v>1813.3400000000001</v>
      </c>
      <c r="AJ130" s="16">
        <f t="shared" si="137"/>
        <v>92.65</v>
      </c>
      <c r="AK130" s="16">
        <f t="shared" si="137"/>
        <v>51.24</v>
      </c>
      <c r="AL130" s="16">
        <f t="shared" si="137"/>
        <v>0</v>
      </c>
      <c r="AM130" s="16">
        <f t="shared" si="137"/>
        <v>0</v>
      </c>
      <c r="AN130" s="16"/>
      <c r="AO130" s="16">
        <f t="shared" si="141"/>
        <v>1957.2300000000002</v>
      </c>
      <c r="AP130" s="16">
        <f t="shared" si="142"/>
        <v>1957.2300000000002</v>
      </c>
      <c r="AQ130" s="16">
        <f t="shared" si="85"/>
        <v>1957.2300000000002</v>
      </c>
      <c r="AR130" s="164">
        <f t="shared" si="115"/>
        <v>0</v>
      </c>
      <c r="AS130" s="163">
        <f t="shared" si="152"/>
        <v>4278314.6090400005</v>
      </c>
      <c r="AT130" s="163">
        <f t="shared" si="152"/>
        <v>218594.70400000003</v>
      </c>
      <c r="AU130" s="163">
        <f t="shared" si="152"/>
        <v>120893.6064</v>
      </c>
      <c r="AV130" s="163">
        <f t="shared" si="152"/>
        <v>0</v>
      </c>
      <c r="AW130" s="163">
        <f t="shared" si="152"/>
        <v>0</v>
      </c>
      <c r="AX130" s="163">
        <f t="shared" si="86"/>
        <v>4617802.9194400003</v>
      </c>
      <c r="AY130" s="163">
        <f t="shared" si="87"/>
        <v>4617802.9194400003</v>
      </c>
      <c r="AZ130" s="163">
        <f t="shared" si="146"/>
        <v>4745970.8294569282</v>
      </c>
      <c r="BA130" s="163">
        <f t="shared" si="146"/>
        <v>242488.55556552237</v>
      </c>
      <c r="BB130" s="163">
        <f t="shared" si="144"/>
        <v>134108.07973208168</v>
      </c>
      <c r="BC130" s="163">
        <f t="shared" si="144"/>
        <v>0</v>
      </c>
      <c r="BD130" s="163">
        <f t="shared" si="145"/>
        <v>0</v>
      </c>
      <c r="BE130" s="163">
        <f t="shared" si="88"/>
        <v>5122567.4647545321</v>
      </c>
      <c r="BF130" s="163">
        <f t="shared" si="89"/>
        <v>5122567.4647545321</v>
      </c>
      <c r="BG130" s="163">
        <v>0</v>
      </c>
      <c r="BH130" s="163">
        <v>0</v>
      </c>
      <c r="BI130" s="163">
        <f t="shared" si="84"/>
        <v>0</v>
      </c>
      <c r="BJ130" s="738">
        <v>8472.5</v>
      </c>
      <c r="BK130" s="163">
        <v>12797.49</v>
      </c>
      <c r="BL130" s="18">
        <f t="shared" si="150"/>
        <v>2583494.8200000003</v>
      </c>
      <c r="BM130" s="18">
        <f t="shared" si="150"/>
        <v>124904.5184</v>
      </c>
      <c r="BN130" s="18">
        <f t="shared" si="150"/>
        <v>60446.803200000002</v>
      </c>
      <c r="BO130" s="18">
        <f t="shared" si="150"/>
        <v>0</v>
      </c>
      <c r="BP130" s="18">
        <f t="shared" si="150"/>
        <v>0</v>
      </c>
      <c r="BQ130" s="18">
        <f t="shared" si="130"/>
        <v>2768846.1416000002</v>
      </c>
      <c r="BR130" s="18">
        <f t="shared" si="131"/>
        <v>2768846.1416000002</v>
      </c>
      <c r="BS130" s="18">
        <f t="shared" si="151"/>
        <v>1880078.0248778991</v>
      </c>
      <c r="BT130" s="18">
        <f t="shared" si="151"/>
        <v>103931.14453866048</v>
      </c>
      <c r="BU130" s="18">
        <f t="shared" si="151"/>
        <v>67054.039866040839</v>
      </c>
      <c r="BV130" s="18">
        <f t="shared" si="132"/>
        <v>0</v>
      </c>
      <c r="BW130" s="18">
        <f t="shared" si="97"/>
        <v>0</v>
      </c>
      <c r="BX130" s="18">
        <f t="shared" si="133"/>
        <v>2051063.2092826006</v>
      </c>
      <c r="BY130" s="18">
        <f t="shared" si="134"/>
        <v>2051063.2092826006</v>
      </c>
      <c r="BZ130" s="161">
        <f t="shared" si="95"/>
        <v>228835.66293866048</v>
      </c>
      <c r="CA130" s="161">
        <f t="shared" si="95"/>
        <v>127500.84306604083</v>
      </c>
      <c r="CB130" s="161">
        <f t="shared" si="135"/>
        <v>356336.50600470131</v>
      </c>
      <c r="CC130" s="162">
        <f t="shared" si="96"/>
        <v>2469.8938255656822</v>
      </c>
      <c r="CD130" s="162">
        <f t="shared" si="96"/>
        <v>2488.3068514059491</v>
      </c>
      <c r="CE130" s="162">
        <f t="shared" si="116"/>
        <v>2476.4508027291768</v>
      </c>
      <c r="CF130" s="162">
        <f t="shared" si="98"/>
        <v>2476.4508027291768</v>
      </c>
      <c r="CG130" s="651">
        <f t="shared" si="99"/>
        <v>356336.19176470133</v>
      </c>
      <c r="CH130" s="652">
        <f t="shared" si="117"/>
        <v>2476.4486188387054</v>
      </c>
      <c r="CJ130" s="208">
        <f t="shared" si="118"/>
        <v>3071.5042554719307</v>
      </c>
      <c r="CK130" s="208">
        <f t="shared" si="100"/>
        <v>2051.0632092826004</v>
      </c>
      <c r="CL130" s="18">
        <f t="shared" si="128"/>
        <v>5122.5674647545311</v>
      </c>
      <c r="CM130" s="18">
        <f t="shared" si="119"/>
        <v>5122.5674647545311</v>
      </c>
      <c r="CN130" s="18">
        <f t="shared" si="120"/>
        <v>0</v>
      </c>
      <c r="CO130" s="18">
        <f t="shared" si="101"/>
        <v>4819909.0366425999</v>
      </c>
      <c r="CP130" s="18">
        <f t="shared" si="102"/>
        <v>4617802.9194400003</v>
      </c>
      <c r="CQ130" s="18">
        <f t="shared" si="103"/>
        <v>4617802.9194400003</v>
      </c>
      <c r="CR130" s="18">
        <f t="shared" si="104"/>
        <v>2768846.1416000002</v>
      </c>
      <c r="CS130" s="18">
        <f t="shared" si="105"/>
        <v>5122567.4647545321</v>
      </c>
      <c r="CT130" s="18">
        <f t="shared" si="106"/>
        <v>5122567.4647545321</v>
      </c>
      <c r="CU130" s="18">
        <f t="shared" si="107"/>
        <v>2051063.2092826006</v>
      </c>
      <c r="CV130" s="18">
        <f t="shared" si="121"/>
        <v>9740370.3841945324</v>
      </c>
      <c r="CW130" s="843">
        <f t="shared" si="122"/>
        <v>4976.6099968805565</v>
      </c>
      <c r="CX130" s="18">
        <f t="shared" si="108"/>
        <v>339488.31040000002</v>
      </c>
      <c r="CY130" s="18">
        <f t="shared" si="109"/>
        <v>376596.63529760402</v>
      </c>
      <c r="CZ130" s="18"/>
      <c r="DA130" s="18">
        <f t="shared" si="110"/>
        <v>4617802.3438800005</v>
      </c>
      <c r="DB130" s="18">
        <f t="shared" si="111"/>
        <v>5122567.4647545321</v>
      </c>
      <c r="DD130" s="653">
        <f t="shared" si="123"/>
        <v>110.93066351942467</v>
      </c>
      <c r="DH130" s="18">
        <v>1957.23</v>
      </c>
      <c r="DI130" s="18">
        <v>143.89000000000001</v>
      </c>
      <c r="DJ130" s="18">
        <f t="shared" si="124"/>
        <v>1813.34</v>
      </c>
      <c r="DL130" s="618">
        <f t="shared" si="112"/>
        <v>0</v>
      </c>
      <c r="DM130" s="618">
        <f t="shared" si="113"/>
        <v>0</v>
      </c>
      <c r="DN130" s="618">
        <f t="shared" si="114"/>
        <v>0</v>
      </c>
    </row>
    <row r="131" spans="1:119" customFormat="1" ht="100.5" customHeight="1">
      <c r="A131" s="20">
        <f t="shared" si="125"/>
        <v>113</v>
      </c>
      <c r="B131" s="1281" t="s">
        <v>47</v>
      </c>
      <c r="C131" s="1281" t="s">
        <v>56</v>
      </c>
      <c r="D131" s="1280" t="s">
        <v>254</v>
      </c>
      <c r="E131" s="1295">
        <v>4632000330</v>
      </c>
      <c r="F131" s="696" t="s">
        <v>8</v>
      </c>
      <c r="G131" s="1253" t="s">
        <v>954</v>
      </c>
      <c r="H131" s="870">
        <v>2985.3240000000001</v>
      </c>
      <c r="I131" s="827">
        <v>2985.3240000000001</v>
      </c>
      <c r="J131" s="827">
        <v>2125.0100000000002</v>
      </c>
      <c r="K131" s="827">
        <v>0</v>
      </c>
      <c r="L131" s="827">
        <v>2985.3240000000001</v>
      </c>
      <c r="M131" s="878">
        <v>2559.9959999999996</v>
      </c>
      <c r="N131" s="857">
        <f>2833.66*1.2</f>
        <v>3400.3919999999998</v>
      </c>
      <c r="O131" s="697">
        <f>N131</f>
        <v>3400.3919999999998</v>
      </c>
      <c r="P131" s="697">
        <f>1930.214946*1.2</f>
        <v>2316.2579351999998</v>
      </c>
      <c r="Q131" s="697">
        <v>0</v>
      </c>
      <c r="R131" s="697">
        <f>O131</f>
        <v>3400.3919999999998</v>
      </c>
      <c r="S131" s="916">
        <f>2308.26*1.2</f>
        <v>2769.9120000000003</v>
      </c>
      <c r="T131" s="940">
        <v>349</v>
      </c>
      <c r="U131" s="18">
        <v>362</v>
      </c>
      <c r="V131" s="18">
        <v>0</v>
      </c>
      <c r="W131" s="18">
        <v>247</v>
      </c>
      <c r="X131" s="18">
        <v>55718</v>
      </c>
      <c r="Y131" s="18">
        <v>0</v>
      </c>
      <c r="Z131" s="934">
        <f>SUM(T131:W131)</f>
        <v>958</v>
      </c>
      <c r="AA131" s="902">
        <v>304</v>
      </c>
      <c r="AB131" s="18">
        <v>272</v>
      </c>
      <c r="AC131" s="18">
        <v>0</v>
      </c>
      <c r="AD131" s="18">
        <v>199</v>
      </c>
      <c r="AE131" s="18">
        <v>41755</v>
      </c>
      <c r="AF131" s="18">
        <v>0</v>
      </c>
      <c r="AG131" s="934">
        <f>SUM(AA131:AD131)</f>
        <v>775</v>
      </c>
      <c r="AH131" s="953">
        <f>Z131+AG131</f>
        <v>1733</v>
      </c>
      <c r="AI131" s="18">
        <f t="shared" si="137"/>
        <v>653</v>
      </c>
      <c r="AJ131" s="18">
        <f t="shared" si="137"/>
        <v>634</v>
      </c>
      <c r="AK131" s="18">
        <f t="shared" si="137"/>
        <v>0</v>
      </c>
      <c r="AL131" s="18">
        <f t="shared" si="137"/>
        <v>446</v>
      </c>
      <c r="AM131" s="18">
        <f t="shared" si="137"/>
        <v>97473</v>
      </c>
      <c r="AN131" s="18"/>
      <c r="AO131" s="18">
        <f>SUM(AI131:AN131)</f>
        <v>99206</v>
      </c>
      <c r="AP131" s="15">
        <f>SUM(AI131:AM131)</f>
        <v>99206</v>
      </c>
      <c r="AQ131" s="15">
        <f>SUM(AI131:AL131)</f>
        <v>1733</v>
      </c>
      <c r="AR131" s="127">
        <f t="shared" si="115"/>
        <v>0</v>
      </c>
      <c r="AS131" s="112">
        <f t="shared" si="152"/>
        <v>1949416.5720000002</v>
      </c>
      <c r="AT131" s="112">
        <f t="shared" si="152"/>
        <v>1347256.34</v>
      </c>
      <c r="AU131" s="112">
        <f t="shared" si="152"/>
        <v>0</v>
      </c>
      <c r="AV131" s="112">
        <f t="shared" si="152"/>
        <v>1331454.504</v>
      </c>
      <c r="AW131" s="112">
        <f t="shared" si="152"/>
        <v>249530490.10799995</v>
      </c>
      <c r="AX131" s="112">
        <f t="shared" si="86"/>
        <v>254158617.52399996</v>
      </c>
      <c r="AY131" s="112">
        <f t="shared" si="87"/>
        <v>4628127.4160000002</v>
      </c>
      <c r="AZ131" s="112">
        <f t="shared" si="146"/>
        <v>2220455.9759999998</v>
      </c>
      <c r="BA131" s="112">
        <f t="shared" si="146"/>
        <v>1468507.5309167998</v>
      </c>
      <c r="BB131" s="112">
        <f t="shared" si="144"/>
        <v>0</v>
      </c>
      <c r="BC131" s="112">
        <f t="shared" si="144"/>
        <v>1516574.8319999999</v>
      </c>
      <c r="BD131" s="112">
        <f t="shared" si="145"/>
        <v>269991632.37600005</v>
      </c>
      <c r="BE131" s="112">
        <f t="shared" si="88"/>
        <v>275197170.71491683</v>
      </c>
      <c r="BF131" s="112">
        <f t="shared" si="89"/>
        <v>5205538.3389167991</v>
      </c>
      <c r="BG131" s="18"/>
      <c r="BH131" s="18"/>
      <c r="BI131" s="18">
        <v>572.78675907706372</v>
      </c>
      <c r="BJ131" s="18">
        <v>224993.44176867258</v>
      </c>
      <c r="BK131" s="18">
        <v>245109.18740854409</v>
      </c>
      <c r="BL131" s="112">
        <f>I131*T131</f>
        <v>1041878.076</v>
      </c>
      <c r="BM131" s="112">
        <f>J131*U131</f>
        <v>769253.62000000011</v>
      </c>
      <c r="BN131" s="112">
        <f>K131*V131</f>
        <v>0</v>
      </c>
      <c r="BO131" s="112">
        <f>L131*W131</f>
        <v>737375.02800000005</v>
      </c>
      <c r="BP131" s="112">
        <f>M131*X131</f>
        <v>142637857.12799999</v>
      </c>
      <c r="BQ131" s="112">
        <f>BL131+BM131+BN131+BO131+BP131</f>
        <v>145186363.852</v>
      </c>
      <c r="BR131" s="112">
        <f>BQ131-BP131</f>
        <v>2548506.7240000069</v>
      </c>
      <c r="BS131" s="112">
        <f>O131*AA131</f>
        <v>1033719.1679999999</v>
      </c>
      <c r="BT131" s="112">
        <f>P131*AB131</f>
        <v>630022.15837439999</v>
      </c>
      <c r="BU131" s="112">
        <f t="shared" si="151"/>
        <v>0</v>
      </c>
      <c r="BV131" s="112">
        <f>R131*W131</f>
        <v>839896.82399999991</v>
      </c>
      <c r="BW131" s="112">
        <f>S131*AE131</f>
        <v>115657675.56000002</v>
      </c>
      <c r="BX131" s="112">
        <f>BS131+BT131+BU131+BV131+BW131</f>
        <v>118161313.71037441</v>
      </c>
      <c r="BY131" s="112">
        <f>BX131-BW131</f>
        <v>2503638.1503743976</v>
      </c>
      <c r="BZ131" s="113">
        <f t="shared" si="95"/>
        <v>1399275.7783744</v>
      </c>
      <c r="CA131" s="113">
        <f t="shared" si="95"/>
        <v>0</v>
      </c>
      <c r="CB131" s="113">
        <f t="shared" si="135"/>
        <v>1399275.7783744</v>
      </c>
      <c r="CC131" s="119">
        <f t="shared" si="96"/>
        <v>2207.0595873413249</v>
      </c>
      <c r="CD131" s="119" t="e">
        <f t="shared" si="96"/>
        <v>#DIV/0!</v>
      </c>
      <c r="CE131" s="119">
        <f t="shared" si="116"/>
        <v>2207.0595873413249</v>
      </c>
      <c r="CF131" s="113">
        <f t="shared" si="98"/>
        <v>2207.0595873413249</v>
      </c>
      <c r="CG131" s="619">
        <f t="shared" si="99"/>
        <v>2005593.912</v>
      </c>
      <c r="CH131" s="132">
        <f t="shared" si="117"/>
        <v>3163.3973375394321</v>
      </c>
      <c r="CI131" s="106"/>
      <c r="CJ131" s="208">
        <f t="shared" si="118"/>
        <v>3257.5755359999998</v>
      </c>
      <c r="CK131" s="208">
        <f t="shared" si="100"/>
        <v>2635.3037999999997</v>
      </c>
      <c r="CL131" s="112">
        <f t="shared" si="128"/>
        <v>5892.879336</v>
      </c>
      <c r="CM131" s="18">
        <f t="shared" si="119"/>
        <v>5892.879336</v>
      </c>
      <c r="CN131" s="18">
        <f t="shared" si="120"/>
        <v>0</v>
      </c>
      <c r="CO131" s="112">
        <f t="shared" si="101"/>
        <v>5495244.1919999998</v>
      </c>
      <c r="CP131" s="112">
        <f t="shared" si="102"/>
        <v>4628127.4160000002</v>
      </c>
      <c r="CQ131" s="112">
        <f t="shared" si="103"/>
        <v>4628127.4160000002</v>
      </c>
      <c r="CR131" s="112">
        <f t="shared" si="104"/>
        <v>2548506.7239999999</v>
      </c>
      <c r="CS131" s="112">
        <f t="shared" si="105"/>
        <v>5205538.3389167991</v>
      </c>
      <c r="CT131" s="112">
        <f t="shared" si="106"/>
        <v>5205538.3389167991</v>
      </c>
      <c r="CU131" s="112">
        <f t="shared" si="107"/>
        <v>2340419.3343743999</v>
      </c>
      <c r="CV131" s="112">
        <f t="shared" si="121"/>
        <v>9833665.7549167983</v>
      </c>
      <c r="CW131" s="843">
        <f t="shared" si="122"/>
        <v>5674.3599278227339</v>
      </c>
      <c r="CX131" s="112">
        <f t="shared" si="108"/>
        <v>1347256.34</v>
      </c>
      <c r="CY131" s="112">
        <f t="shared" si="109"/>
        <v>1468507.5309167998</v>
      </c>
      <c r="CZ131" s="112"/>
      <c r="DA131" s="112">
        <f t="shared" si="110"/>
        <v>5173566.4919999996</v>
      </c>
      <c r="DB131" s="112">
        <f t="shared" si="111"/>
        <v>5892879.3359999992</v>
      </c>
      <c r="DC131" s="106"/>
      <c r="DD131" s="128">
        <f t="shared" si="123"/>
        <v>160.01769403438101</v>
      </c>
      <c r="DE131" s="106"/>
      <c r="DF131" s="106"/>
      <c r="DG131" s="106"/>
      <c r="DH131" s="112">
        <v>1733</v>
      </c>
      <c r="DI131" s="797">
        <v>634</v>
      </c>
      <c r="DJ131" s="797">
        <f t="shared" si="124"/>
        <v>1099</v>
      </c>
      <c r="DK131" s="106"/>
      <c r="DL131" s="618">
        <f t="shared" si="112"/>
        <v>142637.857128</v>
      </c>
      <c r="DM131" s="618">
        <f t="shared" si="113"/>
        <v>115657.67556000002</v>
      </c>
      <c r="DN131" s="618">
        <f t="shared" si="114"/>
        <v>258295.53268800001</v>
      </c>
      <c r="DO131" s="106"/>
    </row>
    <row r="132" spans="1:119" customFormat="1" ht="100.5" customHeight="1">
      <c r="A132" s="20">
        <f t="shared" si="125"/>
        <v>114</v>
      </c>
      <c r="B132" s="1281" t="s">
        <v>47</v>
      </c>
      <c r="C132" s="1281" t="s">
        <v>56</v>
      </c>
      <c r="D132" s="1058" t="s">
        <v>154</v>
      </c>
      <c r="E132" s="1280">
        <v>7729314745</v>
      </c>
      <c r="F132" s="1280" t="s">
        <v>8</v>
      </c>
      <c r="G132" s="1245" t="s">
        <v>968</v>
      </c>
      <c r="H132" s="874">
        <v>3839.0039999999999</v>
      </c>
      <c r="I132" s="756">
        <v>3839.0039999999999</v>
      </c>
      <c r="J132" s="756"/>
      <c r="K132" s="756"/>
      <c r="L132" s="756"/>
      <c r="M132" s="873"/>
      <c r="N132" s="1034">
        <f>3489.52 *1.2</f>
        <v>4187.424</v>
      </c>
      <c r="O132" s="964">
        <f>3489.52 *1.2</f>
        <v>4187.424</v>
      </c>
      <c r="P132" s="38"/>
      <c r="Q132" s="38"/>
      <c r="R132" s="38"/>
      <c r="S132" s="913"/>
      <c r="T132" s="1215">
        <v>570.31467900000007</v>
      </c>
      <c r="U132" s="622"/>
      <c r="V132" s="671"/>
      <c r="W132" s="622"/>
      <c r="X132" s="622"/>
      <c r="Y132" s="622"/>
      <c r="Z132" s="919">
        <f t="shared" si="126"/>
        <v>570.31467900000007</v>
      </c>
      <c r="AA132" s="976">
        <v>373.37600699999996</v>
      </c>
      <c r="AB132" s="622"/>
      <c r="AC132" s="671"/>
      <c r="AD132" s="16"/>
      <c r="AE132" s="16"/>
      <c r="AF132" s="16"/>
      <c r="AG132" s="930">
        <f t="shared" si="127"/>
        <v>373.37600699999996</v>
      </c>
      <c r="AH132" s="898">
        <f t="shared" si="129"/>
        <v>943.69068600000003</v>
      </c>
      <c r="AI132" s="16">
        <f t="shared" si="137"/>
        <v>943.69068600000003</v>
      </c>
      <c r="AJ132" s="16">
        <f t="shared" si="137"/>
        <v>0</v>
      </c>
      <c r="AK132" s="16">
        <f t="shared" si="137"/>
        <v>0</v>
      </c>
      <c r="AL132" s="16">
        <f t="shared" si="137"/>
        <v>0</v>
      </c>
      <c r="AM132" s="16">
        <f t="shared" si="137"/>
        <v>0</v>
      </c>
      <c r="AN132" s="16"/>
      <c r="AO132" s="16">
        <f t="shared" si="141"/>
        <v>943.69068600000003</v>
      </c>
      <c r="AP132" s="16">
        <f t="shared" si="142"/>
        <v>943.69068600000003</v>
      </c>
      <c r="AQ132" s="662">
        <f t="shared" si="85"/>
        <v>943.69068600000003</v>
      </c>
      <c r="AR132" s="674">
        <f t="shared" si="115"/>
        <v>0</v>
      </c>
      <c r="AS132" s="126">
        <f t="shared" si="152"/>
        <v>3622832.3183167442</v>
      </c>
      <c r="AT132" s="126">
        <f t="shared" si="152"/>
        <v>0</v>
      </c>
      <c r="AU132" s="126">
        <f t="shared" si="152"/>
        <v>0</v>
      </c>
      <c r="AV132" s="126">
        <f t="shared" si="152"/>
        <v>0</v>
      </c>
      <c r="AW132" s="126">
        <f t="shared" si="152"/>
        <v>0</v>
      </c>
      <c r="AX132" s="126">
        <f t="shared" si="86"/>
        <v>3622832.3183167442</v>
      </c>
      <c r="AY132" s="126">
        <f t="shared" si="87"/>
        <v>3622832.3183167442</v>
      </c>
      <c r="AZ132" s="126">
        <f t="shared" si="146"/>
        <v>3951633.0271328641</v>
      </c>
      <c r="BA132" s="126">
        <f t="shared" si="146"/>
        <v>0</v>
      </c>
      <c r="BB132" s="126">
        <f t="shared" si="144"/>
        <v>0</v>
      </c>
      <c r="BC132" s="126">
        <f t="shared" si="144"/>
        <v>0</v>
      </c>
      <c r="BD132" s="126">
        <f t="shared" si="145"/>
        <v>0</v>
      </c>
      <c r="BE132" s="126">
        <f t="shared" si="88"/>
        <v>3951633.0271328641</v>
      </c>
      <c r="BF132" s="126">
        <f t="shared" si="89"/>
        <v>3951633.0271328641</v>
      </c>
      <c r="BG132" s="1059">
        <f>(O132-P132)/1.2*U132/1000+(O132-Q132)/1.2*V132/1000</f>
        <v>0</v>
      </c>
      <c r="BH132" s="1060">
        <f>(O132-P132)/1.2*AB132/1000+(O132-Q132)/1.2*AC132/1000</f>
        <v>0</v>
      </c>
      <c r="BI132" s="1059">
        <f>BG132+BH132</f>
        <v>0</v>
      </c>
      <c r="BJ132" s="1261">
        <v>49563.717546628141</v>
      </c>
      <c r="BK132" s="1216">
        <v>54280.085699999996</v>
      </c>
      <c r="BL132" s="126">
        <f t="shared" si="150"/>
        <v>2189440.3339397162</v>
      </c>
      <c r="BM132" s="126">
        <f t="shared" si="150"/>
        <v>0</v>
      </c>
      <c r="BN132" s="126">
        <f t="shared" si="150"/>
        <v>0</v>
      </c>
      <c r="BO132" s="126">
        <f t="shared" si="150"/>
        <v>0</v>
      </c>
      <c r="BP132" s="126">
        <f t="shared" si="150"/>
        <v>0</v>
      </c>
      <c r="BQ132" s="126">
        <f t="shared" si="130"/>
        <v>2189440.3339397162</v>
      </c>
      <c r="BR132" s="126">
        <f t="shared" si="131"/>
        <v>2189440.3339397162</v>
      </c>
      <c r="BS132" s="126">
        <f t="shared" si="151"/>
        <v>1563483.6527359679</v>
      </c>
      <c r="BT132" s="126">
        <f t="shared" si="151"/>
        <v>0</v>
      </c>
      <c r="BU132" s="126">
        <f t="shared" si="151"/>
        <v>0</v>
      </c>
      <c r="BV132" s="126">
        <f t="shared" si="132"/>
        <v>0</v>
      </c>
      <c r="BW132" s="126">
        <f t="shared" si="97"/>
        <v>0</v>
      </c>
      <c r="BX132" s="126">
        <f t="shared" si="133"/>
        <v>1563483.6527359679</v>
      </c>
      <c r="BY132" s="126">
        <f t="shared" si="134"/>
        <v>1563483.6527359679</v>
      </c>
      <c r="BZ132" s="675">
        <f t="shared" si="95"/>
        <v>0</v>
      </c>
      <c r="CA132" s="675">
        <f t="shared" si="95"/>
        <v>0</v>
      </c>
      <c r="CB132" s="675">
        <f t="shared" si="135"/>
        <v>0</v>
      </c>
      <c r="CC132" s="676" t="e">
        <f t="shared" si="96"/>
        <v>#DIV/0!</v>
      </c>
      <c r="CD132" s="676" t="e">
        <f t="shared" si="96"/>
        <v>#DIV/0!</v>
      </c>
      <c r="CE132" s="676" t="e">
        <f t="shared" si="116"/>
        <v>#DIV/0!</v>
      </c>
      <c r="CF132" s="675" t="e">
        <f t="shared" si="98"/>
        <v>#DIV/0!</v>
      </c>
      <c r="CG132" s="677">
        <f t="shared" si="99"/>
        <v>0</v>
      </c>
      <c r="CH132" s="678" t="e">
        <f t="shared" si="117"/>
        <v>#DIV/0!</v>
      </c>
      <c r="CI132" s="625"/>
      <c r="CJ132" s="1057">
        <f t="shared" si="118"/>
        <v>2388.1493743968963</v>
      </c>
      <c r="CK132" s="1057">
        <f t="shared" si="100"/>
        <v>1563.4836527359678</v>
      </c>
      <c r="CL132" s="1057">
        <f>CJ132+CK132</f>
        <v>3951.6330271328643</v>
      </c>
      <c r="CM132" s="18">
        <f t="shared" si="119"/>
        <v>3951.6330271328643</v>
      </c>
      <c r="CN132" s="18">
        <f t="shared" si="120"/>
        <v>0</v>
      </c>
      <c r="CO132" s="126">
        <f t="shared" si="101"/>
        <v>3752923.9866756843</v>
      </c>
      <c r="CP132" s="126">
        <f t="shared" si="102"/>
        <v>3622832.3183167442</v>
      </c>
      <c r="CQ132" s="126">
        <f t="shared" si="103"/>
        <v>3622832.3183167442</v>
      </c>
      <c r="CR132" s="126">
        <f t="shared" si="104"/>
        <v>2189440.3339397162</v>
      </c>
      <c r="CS132" s="126">
        <f t="shared" si="105"/>
        <v>3951633.0271328641</v>
      </c>
      <c r="CT132" s="126">
        <f t="shared" si="106"/>
        <v>3951633.0271328641</v>
      </c>
      <c r="CU132" s="126">
        <f t="shared" si="107"/>
        <v>1563483.6527359679</v>
      </c>
      <c r="CV132" s="126">
        <f t="shared" si="121"/>
        <v>7574465.3454496078</v>
      </c>
      <c r="CW132" s="1055">
        <f t="shared" si="122"/>
        <v>8026.4279999999999</v>
      </c>
      <c r="CX132" s="126">
        <f t="shared" si="108"/>
        <v>0</v>
      </c>
      <c r="CY132" s="126">
        <f t="shared" si="109"/>
        <v>0</v>
      </c>
      <c r="CZ132" s="126"/>
      <c r="DA132" s="126">
        <f t="shared" si="110"/>
        <v>3622832.3183167442</v>
      </c>
      <c r="DB132" s="126">
        <f t="shared" si="111"/>
        <v>3951633.0271328641</v>
      </c>
      <c r="DC132" s="625"/>
      <c r="DD132" s="680" t="e">
        <f t="shared" si="123"/>
        <v>#DIV/0!</v>
      </c>
      <c r="DE132" s="625"/>
      <c r="DF132" s="625"/>
      <c r="DG132" s="625"/>
      <c r="DH132" s="126">
        <v>943.69068600000003</v>
      </c>
      <c r="DI132" s="822">
        <v>0</v>
      </c>
      <c r="DJ132" s="822">
        <f t="shared" si="124"/>
        <v>943.69068600000003</v>
      </c>
      <c r="DK132" s="625"/>
      <c r="DL132" s="1063">
        <f t="shared" si="112"/>
        <v>0</v>
      </c>
      <c r="DM132" s="1063">
        <f t="shared" si="113"/>
        <v>0</v>
      </c>
      <c r="DN132" s="1063">
        <f t="shared" si="114"/>
        <v>0</v>
      </c>
      <c r="DO132" s="123"/>
    </row>
    <row r="133" spans="1:119" customFormat="1" ht="100.5" customHeight="1">
      <c r="A133" s="695">
        <f t="shared" si="125"/>
        <v>115</v>
      </c>
      <c r="B133" s="1281" t="s">
        <v>47</v>
      </c>
      <c r="C133" s="1281" t="s">
        <v>56</v>
      </c>
      <c r="D133" s="1280" t="s">
        <v>137</v>
      </c>
      <c r="E133" s="1295">
        <v>4632001454</v>
      </c>
      <c r="F133" s="696" t="s">
        <v>8</v>
      </c>
      <c r="G133" s="1253" t="s">
        <v>944</v>
      </c>
      <c r="H133" s="870">
        <v>3535.64</v>
      </c>
      <c r="I133" s="827">
        <v>0</v>
      </c>
      <c r="J133" s="827">
        <v>0</v>
      </c>
      <c r="K133" s="827">
        <v>0</v>
      </c>
      <c r="L133" s="827">
        <v>3535.64</v>
      </c>
      <c r="M133" s="878">
        <v>0</v>
      </c>
      <c r="N133" s="857">
        <v>3966.6</v>
      </c>
      <c r="O133" s="697">
        <v>0</v>
      </c>
      <c r="P133" s="697">
        <v>0</v>
      </c>
      <c r="Q133" s="697">
        <v>0</v>
      </c>
      <c r="R133" s="697">
        <f>N133</f>
        <v>3966.6</v>
      </c>
      <c r="S133" s="916">
        <v>0</v>
      </c>
      <c r="T133" s="1195">
        <v>0</v>
      </c>
      <c r="U133" s="716">
        <v>0</v>
      </c>
      <c r="V133" s="716">
        <v>0</v>
      </c>
      <c r="W133" s="715">
        <v>472</v>
      </c>
      <c r="X133" s="716">
        <v>0</v>
      </c>
      <c r="Y133" s="715">
        <v>3068.4500000000003</v>
      </c>
      <c r="Z133" s="936">
        <f t="shared" si="126"/>
        <v>472</v>
      </c>
      <c r="AA133" s="1053">
        <v>0</v>
      </c>
      <c r="AB133" s="716">
        <v>0</v>
      </c>
      <c r="AC133" s="716">
        <v>0</v>
      </c>
      <c r="AD133" s="715">
        <v>275</v>
      </c>
      <c r="AE133" s="716">
        <v>0</v>
      </c>
      <c r="AF133" s="715">
        <v>2510.5500000000002</v>
      </c>
      <c r="AG133" s="936">
        <f t="shared" si="127"/>
        <v>275</v>
      </c>
      <c r="AH133" s="954">
        <f t="shared" si="129"/>
        <v>747</v>
      </c>
      <c r="AI133" s="163">
        <f t="shared" si="137"/>
        <v>0</v>
      </c>
      <c r="AJ133" s="163">
        <f t="shared" si="137"/>
        <v>0</v>
      </c>
      <c r="AK133" s="163">
        <f t="shared" si="137"/>
        <v>0</v>
      </c>
      <c r="AL133" s="1054">
        <f t="shared" si="137"/>
        <v>747</v>
      </c>
      <c r="AM133" s="163">
        <f t="shared" si="137"/>
        <v>0</v>
      </c>
      <c r="AN133" s="163"/>
      <c r="AO133" s="1054">
        <f>SUM(AI133:AN133)</f>
        <v>747</v>
      </c>
      <c r="AP133" s="1054">
        <f t="shared" si="142"/>
        <v>747</v>
      </c>
      <c r="AQ133" s="1054">
        <f t="shared" si="85"/>
        <v>747</v>
      </c>
      <c r="AR133" s="164">
        <f t="shared" si="115"/>
        <v>0</v>
      </c>
      <c r="AS133" s="163">
        <f t="shared" si="152"/>
        <v>0</v>
      </c>
      <c r="AT133" s="163">
        <f t="shared" si="152"/>
        <v>0</v>
      </c>
      <c r="AU133" s="163">
        <f t="shared" si="152"/>
        <v>0</v>
      </c>
      <c r="AV133" s="163">
        <f t="shared" si="152"/>
        <v>2641123.08</v>
      </c>
      <c r="AW133" s="163">
        <f t="shared" si="152"/>
        <v>0</v>
      </c>
      <c r="AX133" s="163">
        <f t="shared" si="86"/>
        <v>2641123.08</v>
      </c>
      <c r="AY133" s="163">
        <f t="shared" si="87"/>
        <v>2641123.08</v>
      </c>
      <c r="AZ133" s="163">
        <f t="shared" si="146"/>
        <v>0</v>
      </c>
      <c r="BA133" s="163">
        <f t="shared" si="146"/>
        <v>0</v>
      </c>
      <c r="BB133" s="163">
        <f t="shared" si="144"/>
        <v>0</v>
      </c>
      <c r="BC133" s="163">
        <f t="shared" si="144"/>
        <v>2963050.1999999997</v>
      </c>
      <c r="BD133" s="163">
        <f t="shared" si="145"/>
        <v>0</v>
      </c>
      <c r="BE133" s="163">
        <f t="shared" si="88"/>
        <v>2963050.1999999997</v>
      </c>
      <c r="BF133" s="163">
        <f t="shared" si="89"/>
        <v>2963050.1999999997</v>
      </c>
      <c r="BG133" s="163">
        <v>0</v>
      </c>
      <c r="BH133" s="163">
        <v>0</v>
      </c>
      <c r="BI133" s="163">
        <f t="shared" ref="BI133:BI144" si="153">BG133+BH133</f>
        <v>0</v>
      </c>
      <c r="BJ133" s="738">
        <v>20388.32</v>
      </c>
      <c r="BK133" s="738">
        <v>15657.16</v>
      </c>
      <c r="BL133" s="18">
        <f t="shared" si="150"/>
        <v>0</v>
      </c>
      <c r="BM133" s="18">
        <f t="shared" si="150"/>
        <v>0</v>
      </c>
      <c r="BN133" s="18">
        <f t="shared" si="150"/>
        <v>0</v>
      </c>
      <c r="BO133" s="18">
        <f t="shared" si="150"/>
        <v>1668822.0799999998</v>
      </c>
      <c r="BP133" s="18">
        <f t="shared" si="150"/>
        <v>0</v>
      </c>
      <c r="BQ133" s="18">
        <f t="shared" si="130"/>
        <v>1668822.0799999998</v>
      </c>
      <c r="BR133" s="18">
        <f t="shared" si="131"/>
        <v>1668822.0799999998</v>
      </c>
      <c r="BS133" s="18">
        <f t="shared" si="151"/>
        <v>0</v>
      </c>
      <c r="BT133" s="18">
        <f t="shared" si="151"/>
        <v>0</v>
      </c>
      <c r="BU133" s="18">
        <f t="shared" si="151"/>
        <v>0</v>
      </c>
      <c r="BV133" s="18">
        <f t="shared" si="132"/>
        <v>1872235.2</v>
      </c>
      <c r="BW133" s="18">
        <f t="shared" si="97"/>
        <v>0</v>
      </c>
      <c r="BX133" s="18">
        <f t="shared" si="133"/>
        <v>1872235.2</v>
      </c>
      <c r="BY133" s="18">
        <f t="shared" si="134"/>
        <v>1872235.2</v>
      </c>
      <c r="BZ133" s="161">
        <f t="shared" si="95"/>
        <v>0</v>
      </c>
      <c r="CA133" s="161">
        <f t="shared" si="95"/>
        <v>0</v>
      </c>
      <c r="CB133" s="161">
        <f t="shared" si="135"/>
        <v>0</v>
      </c>
      <c r="CC133" s="162" t="e">
        <f t="shared" si="96"/>
        <v>#DIV/0!</v>
      </c>
      <c r="CD133" s="162" t="e">
        <f t="shared" si="96"/>
        <v>#DIV/0!</v>
      </c>
      <c r="CE133" s="162" t="e">
        <f t="shared" si="116"/>
        <v>#DIV/0!</v>
      </c>
      <c r="CF133" s="161" t="e">
        <f t="shared" si="98"/>
        <v>#DIV/0!</v>
      </c>
      <c r="CG133" s="651">
        <f t="shared" si="99"/>
        <v>0</v>
      </c>
      <c r="CH133" s="652" t="e">
        <f t="shared" si="117"/>
        <v>#DIV/0!</v>
      </c>
      <c r="CJ133" s="208">
        <f t="shared" si="118"/>
        <v>1872.2351999999998</v>
      </c>
      <c r="CK133" s="208">
        <f t="shared" si="100"/>
        <v>1090.8150000000001</v>
      </c>
      <c r="CL133" s="18">
        <f t="shared" si="128"/>
        <v>2963.0501999999997</v>
      </c>
      <c r="CM133" s="18">
        <f t="shared" si="119"/>
        <v>2963.0501999999997</v>
      </c>
      <c r="CN133" s="18">
        <f t="shared" si="120"/>
        <v>0</v>
      </c>
      <c r="CO133" s="18">
        <f t="shared" si="101"/>
        <v>2759637.08</v>
      </c>
      <c r="CP133" s="18">
        <f t="shared" si="102"/>
        <v>2641123.08</v>
      </c>
      <c r="CQ133" s="18">
        <f t="shared" si="103"/>
        <v>2641123.08</v>
      </c>
      <c r="CR133" s="18">
        <f t="shared" si="104"/>
        <v>1668822.0799999998</v>
      </c>
      <c r="CS133" s="18">
        <f t="shared" si="105"/>
        <v>2963050.1999999997</v>
      </c>
      <c r="CT133" s="18">
        <f t="shared" si="106"/>
        <v>2963050.1999999997</v>
      </c>
      <c r="CU133" s="18">
        <f t="shared" si="107"/>
        <v>1090815</v>
      </c>
      <c r="CV133" s="18">
        <f t="shared" si="121"/>
        <v>5604173.2799999993</v>
      </c>
      <c r="CW133" s="843">
        <f t="shared" si="122"/>
        <v>7502.2399999999989</v>
      </c>
      <c r="CX133" s="18">
        <f t="shared" si="108"/>
        <v>0</v>
      </c>
      <c r="CY133" s="18">
        <f t="shared" si="109"/>
        <v>0</v>
      </c>
      <c r="CZ133" s="18"/>
      <c r="DA133" s="18">
        <f t="shared" si="110"/>
        <v>2641123.08</v>
      </c>
      <c r="DB133" s="18">
        <f t="shared" si="111"/>
        <v>2963050.1999999997</v>
      </c>
      <c r="DD133" s="653" t="e">
        <f t="shared" si="123"/>
        <v>#DIV/0!</v>
      </c>
      <c r="DH133" s="18">
        <v>747</v>
      </c>
      <c r="DI133" s="18">
        <v>0</v>
      </c>
      <c r="DJ133" s="18">
        <f t="shared" si="124"/>
        <v>747</v>
      </c>
      <c r="DL133" s="701">
        <f t="shared" si="112"/>
        <v>0</v>
      </c>
      <c r="DM133" s="701">
        <f t="shared" si="113"/>
        <v>0</v>
      </c>
      <c r="DN133" s="701">
        <f t="shared" si="114"/>
        <v>0</v>
      </c>
    </row>
    <row r="134" spans="1:119" customFormat="1" ht="100.5" customHeight="1">
      <c r="A134" s="20">
        <f t="shared" si="125"/>
        <v>116</v>
      </c>
      <c r="B134" s="1281" t="s">
        <v>47</v>
      </c>
      <c r="C134" s="1281" t="s">
        <v>56</v>
      </c>
      <c r="D134" s="1280" t="s">
        <v>49</v>
      </c>
      <c r="E134" s="696">
        <v>4632033706</v>
      </c>
      <c r="F134" s="696" t="s">
        <v>184</v>
      </c>
      <c r="G134" s="1253" t="s">
        <v>960</v>
      </c>
      <c r="H134" s="870">
        <v>192.44399999999999</v>
      </c>
      <c r="I134" s="827">
        <v>0</v>
      </c>
      <c r="J134" s="827">
        <v>0</v>
      </c>
      <c r="K134" s="827">
        <v>0</v>
      </c>
      <c r="L134" s="827">
        <v>192.44399999999999</v>
      </c>
      <c r="M134" s="878">
        <v>0</v>
      </c>
      <c r="N134" s="859">
        <v>200.21</v>
      </c>
      <c r="O134" s="698"/>
      <c r="P134" s="698"/>
      <c r="Q134" s="698"/>
      <c r="R134" s="29">
        <v>200.21</v>
      </c>
      <c r="S134" s="910"/>
      <c r="T134" s="937"/>
      <c r="U134" s="15"/>
      <c r="V134" s="208"/>
      <c r="W134" s="15"/>
      <c r="X134" s="15"/>
      <c r="Y134" s="15"/>
      <c r="Z134" s="926">
        <f t="shared" si="126"/>
        <v>0</v>
      </c>
      <c r="AA134" s="900"/>
      <c r="AB134" s="15"/>
      <c r="AC134" s="208"/>
      <c r="AD134" s="15"/>
      <c r="AE134" s="15"/>
      <c r="AF134" s="15">
        <v>0</v>
      </c>
      <c r="AG134" s="926">
        <f t="shared" si="127"/>
        <v>0</v>
      </c>
      <c r="AH134" s="894">
        <f t="shared" si="129"/>
        <v>0</v>
      </c>
      <c r="AI134" s="15">
        <f t="shared" si="137"/>
        <v>0</v>
      </c>
      <c r="AJ134" s="15">
        <f t="shared" si="137"/>
        <v>0</v>
      </c>
      <c r="AK134" s="15">
        <f t="shared" si="137"/>
        <v>0</v>
      </c>
      <c r="AL134" s="15">
        <f t="shared" si="137"/>
        <v>0</v>
      </c>
      <c r="AM134" s="15">
        <f t="shared" si="137"/>
        <v>0</v>
      </c>
      <c r="AN134" s="15"/>
      <c r="AO134" s="15">
        <f t="shared" si="141"/>
        <v>0</v>
      </c>
      <c r="AP134" s="15">
        <f t="shared" si="142"/>
        <v>0</v>
      </c>
      <c r="AQ134" s="15">
        <f t="shared" ref="AQ134:AQ140" si="154">SUM(AI134:AL134)</f>
        <v>0</v>
      </c>
      <c r="AR134" s="127">
        <f t="shared" si="115"/>
        <v>0</v>
      </c>
      <c r="AS134" s="112">
        <f t="shared" si="152"/>
        <v>0</v>
      </c>
      <c r="AT134" s="112">
        <f t="shared" si="152"/>
        <v>0</v>
      </c>
      <c r="AU134" s="112">
        <f t="shared" si="152"/>
        <v>0</v>
      </c>
      <c r="AV134" s="112">
        <f t="shared" si="152"/>
        <v>0</v>
      </c>
      <c r="AW134" s="112">
        <f t="shared" si="152"/>
        <v>0</v>
      </c>
      <c r="AX134" s="112">
        <f t="shared" si="86"/>
        <v>0</v>
      </c>
      <c r="AY134" s="112">
        <f t="shared" si="87"/>
        <v>0</v>
      </c>
      <c r="AZ134" s="112">
        <f t="shared" si="146"/>
        <v>0</v>
      </c>
      <c r="BA134" s="112">
        <f t="shared" si="146"/>
        <v>0</v>
      </c>
      <c r="BB134" s="112">
        <f t="shared" si="144"/>
        <v>0</v>
      </c>
      <c r="BC134" s="112">
        <f t="shared" si="144"/>
        <v>0</v>
      </c>
      <c r="BD134" s="112">
        <f t="shared" si="145"/>
        <v>0</v>
      </c>
      <c r="BE134" s="112">
        <f t="shared" si="88"/>
        <v>0</v>
      </c>
      <c r="BF134" s="112">
        <f t="shared" si="89"/>
        <v>0</v>
      </c>
      <c r="BG134" s="112"/>
      <c r="BH134" s="112"/>
      <c r="BI134" s="112">
        <f t="shared" si="153"/>
        <v>0</v>
      </c>
      <c r="BJ134" s="124">
        <v>31739.463673411254</v>
      </c>
      <c r="BK134" s="124">
        <v>35384.579999999994</v>
      </c>
      <c r="BL134" s="112">
        <f t="shared" ref="BL134:BP144" si="155">I134*T134</f>
        <v>0</v>
      </c>
      <c r="BM134" s="112">
        <f t="shared" si="155"/>
        <v>0</v>
      </c>
      <c r="BN134" s="112">
        <f t="shared" si="155"/>
        <v>0</v>
      </c>
      <c r="BO134" s="112">
        <f t="shared" si="155"/>
        <v>0</v>
      </c>
      <c r="BP134" s="112">
        <v>0</v>
      </c>
      <c r="BQ134" s="112">
        <f t="shared" si="130"/>
        <v>0</v>
      </c>
      <c r="BR134" s="112">
        <f t="shared" si="131"/>
        <v>0</v>
      </c>
      <c r="BS134" s="112">
        <f t="shared" si="151"/>
        <v>0</v>
      </c>
      <c r="BT134" s="112">
        <f t="shared" si="151"/>
        <v>0</v>
      </c>
      <c r="BU134" s="112">
        <f t="shared" si="151"/>
        <v>0</v>
      </c>
      <c r="BV134" s="112">
        <f t="shared" si="132"/>
        <v>0</v>
      </c>
      <c r="BW134" s="112">
        <v>0</v>
      </c>
      <c r="BX134" s="112">
        <f t="shared" si="133"/>
        <v>0</v>
      </c>
      <c r="BY134" s="112">
        <f t="shared" si="134"/>
        <v>0</v>
      </c>
      <c r="BZ134" s="113">
        <f t="shared" si="95"/>
        <v>0</v>
      </c>
      <c r="CA134" s="113">
        <f t="shared" si="95"/>
        <v>0</v>
      </c>
      <c r="CB134" s="113">
        <f t="shared" si="135"/>
        <v>0</v>
      </c>
      <c r="CC134" s="119" t="e">
        <f t="shared" si="96"/>
        <v>#DIV/0!</v>
      </c>
      <c r="CD134" s="119" t="e">
        <f t="shared" si="96"/>
        <v>#DIV/0!</v>
      </c>
      <c r="CE134" s="119" t="e">
        <f t="shared" si="116"/>
        <v>#DIV/0!</v>
      </c>
      <c r="CF134" s="113" t="e">
        <f t="shared" si="98"/>
        <v>#DIV/0!</v>
      </c>
      <c r="CG134" s="619">
        <f t="shared" si="99"/>
        <v>0</v>
      </c>
      <c r="CH134" s="132" t="e">
        <f t="shared" si="117"/>
        <v>#DIV/0!</v>
      </c>
      <c r="CI134" s="106"/>
      <c r="CJ134" s="208">
        <f t="shared" si="118"/>
        <v>0</v>
      </c>
      <c r="CK134" s="208">
        <f t="shared" si="100"/>
        <v>0</v>
      </c>
      <c r="CL134" s="139">
        <v>38087.351999999999</v>
      </c>
      <c r="CM134" s="18">
        <f t="shared" si="119"/>
        <v>0</v>
      </c>
      <c r="CN134" s="18">
        <f t="shared" si="120"/>
        <v>-38087.351999999999</v>
      </c>
      <c r="CO134" s="112">
        <f t="shared" si="101"/>
        <v>0</v>
      </c>
      <c r="CP134" s="112">
        <f t="shared" si="102"/>
        <v>0</v>
      </c>
      <c r="CQ134" s="112">
        <f t="shared" si="103"/>
        <v>0</v>
      </c>
      <c r="CR134" s="112">
        <f t="shared" si="104"/>
        <v>0</v>
      </c>
      <c r="CS134" s="112">
        <f t="shared" si="105"/>
        <v>0</v>
      </c>
      <c r="CT134" s="112">
        <f t="shared" si="106"/>
        <v>0</v>
      </c>
      <c r="CU134" s="112">
        <f t="shared" si="107"/>
        <v>0</v>
      </c>
      <c r="CV134" s="112">
        <f t="shared" si="121"/>
        <v>0</v>
      </c>
      <c r="CW134" s="843" t="e">
        <f t="shared" si="122"/>
        <v>#DIV/0!</v>
      </c>
      <c r="CX134" s="112">
        <f t="shared" si="108"/>
        <v>0</v>
      </c>
      <c r="CY134" s="112">
        <f t="shared" si="109"/>
        <v>0</v>
      </c>
      <c r="CZ134" s="112"/>
      <c r="DA134" s="112">
        <f t="shared" si="110"/>
        <v>0</v>
      </c>
      <c r="DB134" s="112">
        <f t="shared" si="111"/>
        <v>0</v>
      </c>
      <c r="DC134" s="106"/>
      <c r="DD134" s="128" t="e">
        <f t="shared" si="123"/>
        <v>#DIV/0!</v>
      </c>
      <c r="DE134" s="106"/>
      <c r="DF134" s="106"/>
      <c r="DG134" s="106"/>
      <c r="DH134" s="112">
        <v>0</v>
      </c>
      <c r="DI134" s="797">
        <v>0</v>
      </c>
      <c r="DJ134" s="797">
        <f t="shared" si="124"/>
        <v>0</v>
      </c>
      <c r="DK134" s="106"/>
      <c r="DL134" s="618">
        <f t="shared" si="112"/>
        <v>0</v>
      </c>
      <c r="DM134" s="618">
        <f t="shared" si="113"/>
        <v>0</v>
      </c>
      <c r="DN134" s="618">
        <f t="shared" si="114"/>
        <v>0</v>
      </c>
      <c r="DO134" s="172"/>
    </row>
    <row r="135" spans="1:119" customFormat="1" ht="100.5" customHeight="1">
      <c r="A135" s="695">
        <f t="shared" si="125"/>
        <v>117</v>
      </c>
      <c r="B135" s="1281" t="s">
        <v>47</v>
      </c>
      <c r="C135" s="1281" t="s">
        <v>56</v>
      </c>
      <c r="D135" s="1280" t="s">
        <v>50</v>
      </c>
      <c r="E135" s="696">
        <v>4632032678</v>
      </c>
      <c r="F135" s="696" t="s">
        <v>8</v>
      </c>
      <c r="G135" s="1253" t="s">
        <v>945</v>
      </c>
      <c r="H135" s="870">
        <v>2405.5920000000001</v>
      </c>
      <c r="I135" s="827">
        <v>2405.5920000000001</v>
      </c>
      <c r="J135" s="827">
        <v>0</v>
      </c>
      <c r="K135" s="827">
        <v>0</v>
      </c>
      <c r="L135" s="827">
        <v>2405.5920000000001</v>
      </c>
      <c r="M135" s="878">
        <v>0</v>
      </c>
      <c r="N135" s="857">
        <v>2512.6109639158371</v>
      </c>
      <c r="O135" s="697">
        <f>N135</f>
        <v>2512.6109639158371</v>
      </c>
      <c r="P135" s="697">
        <v>0</v>
      </c>
      <c r="Q135" s="697">
        <v>0</v>
      </c>
      <c r="R135" s="697">
        <f>O135</f>
        <v>2512.6109639158371</v>
      </c>
      <c r="S135" s="916">
        <v>0</v>
      </c>
      <c r="T135" s="1195">
        <v>0</v>
      </c>
      <c r="U135" s="716">
        <v>0</v>
      </c>
      <c r="V135" s="716">
        <v>0</v>
      </c>
      <c r="W135" s="714">
        <v>5603.22</v>
      </c>
      <c r="X135" s="716">
        <v>0</v>
      </c>
      <c r="Y135" s="716">
        <v>0</v>
      </c>
      <c r="Z135" s="936">
        <f>SUM(T135:W135)</f>
        <v>5603.22</v>
      </c>
      <c r="AA135" s="1053">
        <v>0</v>
      </c>
      <c r="AB135" s="716">
        <v>0</v>
      </c>
      <c r="AC135" s="716">
        <v>0</v>
      </c>
      <c r="AD135" s="714">
        <v>4832.2</v>
      </c>
      <c r="AE135" s="716">
        <v>0</v>
      </c>
      <c r="AF135" s="716">
        <v>0</v>
      </c>
      <c r="AG135" s="936">
        <f>SUM(AA135:AD135)</f>
        <v>4832.2</v>
      </c>
      <c r="AH135" s="954">
        <f t="shared" si="129"/>
        <v>10435.42</v>
      </c>
      <c r="AI135" s="163">
        <f t="shared" si="137"/>
        <v>0</v>
      </c>
      <c r="AJ135" s="163">
        <f t="shared" si="137"/>
        <v>0</v>
      </c>
      <c r="AK135" s="163">
        <f t="shared" si="137"/>
        <v>0</v>
      </c>
      <c r="AL135" s="1054">
        <f t="shared" si="137"/>
        <v>10435.42</v>
      </c>
      <c r="AM135" s="163">
        <f t="shared" si="137"/>
        <v>0</v>
      </c>
      <c r="AN135" s="163"/>
      <c r="AO135" s="1054">
        <f t="shared" si="141"/>
        <v>10435.42</v>
      </c>
      <c r="AP135" s="1054">
        <f t="shared" si="142"/>
        <v>10435.42</v>
      </c>
      <c r="AQ135" s="1054">
        <f t="shared" si="154"/>
        <v>10435.42</v>
      </c>
      <c r="AR135" s="164">
        <f t="shared" si="115"/>
        <v>0</v>
      </c>
      <c r="AS135" s="163">
        <f t="shared" si="152"/>
        <v>0</v>
      </c>
      <c r="AT135" s="163">
        <f t="shared" si="152"/>
        <v>0</v>
      </c>
      <c r="AU135" s="163">
        <f t="shared" si="152"/>
        <v>0</v>
      </c>
      <c r="AV135" s="163">
        <f t="shared" si="152"/>
        <v>25103362.868640002</v>
      </c>
      <c r="AW135" s="163">
        <f t="shared" si="152"/>
        <v>0</v>
      </c>
      <c r="AX135" s="163">
        <f t="shared" si="86"/>
        <v>25103362.868640002</v>
      </c>
      <c r="AY135" s="163">
        <f t="shared" si="87"/>
        <v>25103362.868640002</v>
      </c>
      <c r="AZ135" s="163">
        <f t="shared" si="146"/>
        <v>0</v>
      </c>
      <c r="BA135" s="163">
        <f t="shared" si="146"/>
        <v>0</v>
      </c>
      <c r="BB135" s="163">
        <f t="shared" si="144"/>
        <v>0</v>
      </c>
      <c r="BC135" s="163">
        <f t="shared" si="144"/>
        <v>26220150.705066606</v>
      </c>
      <c r="BD135" s="163">
        <f t="shared" si="145"/>
        <v>0</v>
      </c>
      <c r="BE135" s="163">
        <f t="shared" si="88"/>
        <v>26220150.705066606</v>
      </c>
      <c r="BF135" s="163">
        <f t="shared" si="89"/>
        <v>26220150.705066606</v>
      </c>
      <c r="BG135" s="163">
        <v>0</v>
      </c>
      <c r="BH135" s="163">
        <v>0</v>
      </c>
      <c r="BI135" s="163">
        <f t="shared" si="153"/>
        <v>0</v>
      </c>
      <c r="BJ135" s="738">
        <v>21850.13</v>
      </c>
      <c r="BK135" s="738">
        <v>20739.099999999999</v>
      </c>
      <c r="BL135" s="18">
        <f t="shared" si="155"/>
        <v>0</v>
      </c>
      <c r="BM135" s="18">
        <f t="shared" si="155"/>
        <v>0</v>
      </c>
      <c r="BN135" s="18">
        <f t="shared" si="155"/>
        <v>0</v>
      </c>
      <c r="BO135" s="18">
        <f t="shared" si="155"/>
        <v>13479061.206240002</v>
      </c>
      <c r="BP135" s="18">
        <f t="shared" si="155"/>
        <v>0</v>
      </c>
      <c r="BQ135" s="18">
        <f t="shared" si="130"/>
        <v>13479061.206240002</v>
      </c>
      <c r="BR135" s="18">
        <f t="shared" si="131"/>
        <v>13479061.206240002</v>
      </c>
      <c r="BS135" s="18">
        <f t="shared" si="151"/>
        <v>0</v>
      </c>
      <c r="BT135" s="18">
        <f t="shared" si="151"/>
        <v>0</v>
      </c>
      <c r="BU135" s="18">
        <f t="shared" si="151"/>
        <v>0</v>
      </c>
      <c r="BV135" s="18">
        <f t="shared" si="132"/>
        <v>14078712.005232498</v>
      </c>
      <c r="BW135" s="18">
        <f t="shared" ref="BW135:BW145" si="156">S135*AE135</f>
        <v>0</v>
      </c>
      <c r="BX135" s="18">
        <f t="shared" si="133"/>
        <v>14078712.005232498</v>
      </c>
      <c r="BY135" s="18">
        <f t="shared" si="134"/>
        <v>14078712.005232498</v>
      </c>
      <c r="BZ135" s="161">
        <f t="shared" si="95"/>
        <v>0</v>
      </c>
      <c r="CA135" s="161">
        <f t="shared" si="95"/>
        <v>0</v>
      </c>
      <c r="CB135" s="161">
        <f t="shared" si="135"/>
        <v>0</v>
      </c>
      <c r="CC135" s="162" t="e">
        <f t="shared" si="96"/>
        <v>#DIV/0!</v>
      </c>
      <c r="CD135" s="162" t="e">
        <f t="shared" si="96"/>
        <v>#DIV/0!</v>
      </c>
      <c r="CE135" s="162" t="e">
        <f t="shared" si="116"/>
        <v>#DIV/0!</v>
      </c>
      <c r="CF135" s="161" t="e">
        <f t="shared" si="98"/>
        <v>#DIV/0!</v>
      </c>
      <c r="CG135" s="651">
        <f t="shared" si="99"/>
        <v>0</v>
      </c>
      <c r="CH135" s="652" t="e">
        <f t="shared" si="117"/>
        <v>#DIV/0!</v>
      </c>
      <c r="CJ135" s="208">
        <f t="shared" si="118"/>
        <v>14078.712005232497</v>
      </c>
      <c r="CK135" s="208">
        <f t="shared" si="100"/>
        <v>12141.438699834109</v>
      </c>
      <c r="CL135" s="18">
        <f t="shared" si="128"/>
        <v>26220.150705066604</v>
      </c>
      <c r="CM135" s="18">
        <f t="shared" si="119"/>
        <v>26220.150705066608</v>
      </c>
      <c r="CN135" s="18">
        <f t="shared" si="120"/>
        <v>0</v>
      </c>
      <c r="CO135" s="18">
        <f t="shared" si="101"/>
        <v>25620499.90607411</v>
      </c>
      <c r="CP135" s="18">
        <f t="shared" si="102"/>
        <v>25103362.868640002</v>
      </c>
      <c r="CQ135" s="18">
        <f t="shared" si="103"/>
        <v>25103362.868640002</v>
      </c>
      <c r="CR135" s="18">
        <f t="shared" si="104"/>
        <v>13479061.206240002</v>
      </c>
      <c r="CS135" s="18">
        <f t="shared" si="105"/>
        <v>26220150.705066606</v>
      </c>
      <c r="CT135" s="18">
        <f t="shared" si="106"/>
        <v>26220150.705066606</v>
      </c>
      <c r="CU135" s="18">
        <f t="shared" si="107"/>
        <v>12141438.699834108</v>
      </c>
      <c r="CV135" s="18">
        <f t="shared" si="121"/>
        <v>51323513.573706612</v>
      </c>
      <c r="CW135" s="843">
        <f t="shared" si="122"/>
        <v>4918.2029639158382</v>
      </c>
      <c r="CX135" s="18">
        <f t="shared" si="108"/>
        <v>0</v>
      </c>
      <c r="CY135" s="18">
        <f t="shared" si="109"/>
        <v>0</v>
      </c>
      <c r="CZ135" s="18"/>
      <c r="DA135" s="18">
        <f t="shared" si="110"/>
        <v>25103362.868640002</v>
      </c>
      <c r="DB135" s="18">
        <f t="shared" si="111"/>
        <v>26220150.705066606</v>
      </c>
      <c r="DD135" s="653" t="e">
        <f t="shared" si="123"/>
        <v>#DIV/0!</v>
      </c>
      <c r="DH135" s="18">
        <v>7442</v>
      </c>
      <c r="DI135" s="18">
        <v>0</v>
      </c>
      <c r="DJ135" s="18">
        <f t="shared" si="124"/>
        <v>7442</v>
      </c>
      <c r="DL135" s="701">
        <f t="shared" si="112"/>
        <v>0</v>
      </c>
      <c r="DM135" s="701">
        <f t="shared" si="113"/>
        <v>0</v>
      </c>
      <c r="DN135" s="701">
        <f t="shared" si="114"/>
        <v>0</v>
      </c>
    </row>
    <row r="136" spans="1:119" customFormat="1" ht="100.5" customHeight="1">
      <c r="A136" s="695">
        <f t="shared" si="125"/>
        <v>118</v>
      </c>
      <c r="B136" s="1281" t="s">
        <v>47</v>
      </c>
      <c r="C136" s="1281" t="s">
        <v>56</v>
      </c>
      <c r="D136" s="1280" t="s">
        <v>927</v>
      </c>
      <c r="E136" s="696">
        <v>4632077904</v>
      </c>
      <c r="F136" s="696" t="s">
        <v>8</v>
      </c>
      <c r="G136" s="1253" t="s">
        <v>946</v>
      </c>
      <c r="H136" s="870">
        <v>2437.36</v>
      </c>
      <c r="I136" s="827">
        <f>H136</f>
        <v>2437.36</v>
      </c>
      <c r="J136" s="827">
        <v>0</v>
      </c>
      <c r="K136" s="827">
        <v>0</v>
      </c>
      <c r="L136" s="827">
        <f>I136</f>
        <v>2437.36</v>
      </c>
      <c r="M136" s="878">
        <v>0</v>
      </c>
      <c r="N136" s="857">
        <v>2586.6799999999998</v>
      </c>
      <c r="O136" s="697">
        <f>N136</f>
        <v>2586.6799999999998</v>
      </c>
      <c r="P136" s="697">
        <v>0</v>
      </c>
      <c r="Q136" s="697">
        <v>0</v>
      </c>
      <c r="R136" s="697">
        <f>O136</f>
        <v>2586.6799999999998</v>
      </c>
      <c r="S136" s="916">
        <v>0</v>
      </c>
      <c r="T136" s="1195">
        <v>57</v>
      </c>
      <c r="U136" s="716">
        <v>0</v>
      </c>
      <c r="V136" s="716">
        <v>0</v>
      </c>
      <c r="W136" s="715">
        <v>720</v>
      </c>
      <c r="X136" s="716">
        <v>0</v>
      </c>
      <c r="Y136" s="716">
        <v>0</v>
      </c>
      <c r="Z136" s="936">
        <f>SUM(T136:W136)</f>
        <v>777</v>
      </c>
      <c r="AA136" s="1053">
        <v>51</v>
      </c>
      <c r="AB136" s="716">
        <v>0</v>
      </c>
      <c r="AC136" s="716">
        <v>0</v>
      </c>
      <c r="AD136" s="715">
        <v>515</v>
      </c>
      <c r="AE136" s="716">
        <v>0</v>
      </c>
      <c r="AF136" s="716">
        <v>0</v>
      </c>
      <c r="AG136" s="936">
        <f>SUM(AA136:AD136)</f>
        <v>566</v>
      </c>
      <c r="AH136" s="954">
        <f>Z136+AG136</f>
        <v>1343</v>
      </c>
      <c r="AI136" s="163">
        <f t="shared" si="137"/>
        <v>108</v>
      </c>
      <c r="AJ136" s="163">
        <f t="shared" si="137"/>
        <v>0</v>
      </c>
      <c r="AK136" s="163">
        <f t="shared" si="137"/>
        <v>0</v>
      </c>
      <c r="AL136" s="1054">
        <f t="shared" si="137"/>
        <v>1235</v>
      </c>
      <c r="AM136" s="163">
        <f t="shared" si="137"/>
        <v>0</v>
      </c>
      <c r="AN136" s="163"/>
      <c r="AO136" s="1054">
        <f>SUM(AI136:AN136)</f>
        <v>1343</v>
      </c>
      <c r="AP136" s="163">
        <f>SUM(AI136:AM136)</f>
        <v>1343</v>
      </c>
      <c r="AQ136" s="163">
        <f>SUM(AI136:AL136)</f>
        <v>1343</v>
      </c>
      <c r="AR136" s="164">
        <f t="shared" si="115"/>
        <v>0</v>
      </c>
      <c r="AS136" s="163">
        <f t="shared" si="152"/>
        <v>263234.88</v>
      </c>
      <c r="AT136" s="163">
        <f t="shared" si="152"/>
        <v>0</v>
      </c>
      <c r="AU136" s="163">
        <f t="shared" si="152"/>
        <v>0</v>
      </c>
      <c r="AV136" s="163">
        <f t="shared" si="152"/>
        <v>3010139.6</v>
      </c>
      <c r="AW136" s="163">
        <f t="shared" si="152"/>
        <v>0</v>
      </c>
      <c r="AX136" s="163">
        <f t="shared" ref="AX136:AX144" si="157">SUM(AS136:AW136)</f>
        <v>3273374.48</v>
      </c>
      <c r="AY136" s="163">
        <f t="shared" ref="AY136:AY144" si="158">SUM(AS136:AV136)</f>
        <v>3273374.48</v>
      </c>
      <c r="AZ136" s="163">
        <f t="shared" si="146"/>
        <v>279361.44</v>
      </c>
      <c r="BA136" s="163">
        <f t="shared" si="146"/>
        <v>0</v>
      </c>
      <c r="BB136" s="163">
        <f t="shared" si="144"/>
        <v>0</v>
      </c>
      <c r="BC136" s="163">
        <f t="shared" si="144"/>
        <v>3194549.8</v>
      </c>
      <c r="BD136" s="163">
        <f t="shared" si="145"/>
        <v>0</v>
      </c>
      <c r="BE136" s="163">
        <f t="shared" ref="BE136:BE144" si="159">SUM(AZ136:BD136)</f>
        <v>3473911.2399999998</v>
      </c>
      <c r="BF136" s="163">
        <f t="shared" ref="BF136:BF144" si="160">SUM(AZ136:BC136)</f>
        <v>3473911.2399999998</v>
      </c>
      <c r="BG136" s="163">
        <v>0</v>
      </c>
      <c r="BH136" s="163">
        <v>0</v>
      </c>
      <c r="BI136" s="163">
        <f t="shared" si="153"/>
        <v>0</v>
      </c>
      <c r="BJ136" s="738">
        <v>83739.759999999995</v>
      </c>
      <c r="BK136" s="738">
        <v>82780.600000000006</v>
      </c>
      <c r="BL136" s="18">
        <f>I136*T136</f>
        <v>138929.52000000002</v>
      </c>
      <c r="BM136" s="18">
        <f t="shared" si="155"/>
        <v>0</v>
      </c>
      <c r="BN136" s="18">
        <f t="shared" si="155"/>
        <v>0</v>
      </c>
      <c r="BO136" s="18">
        <f t="shared" si="155"/>
        <v>1754899.2000000002</v>
      </c>
      <c r="BP136" s="18">
        <f t="shared" si="155"/>
        <v>0</v>
      </c>
      <c r="BQ136" s="18">
        <f t="shared" si="130"/>
        <v>1893828.7200000002</v>
      </c>
      <c r="BR136" s="18">
        <f t="shared" si="131"/>
        <v>1893828.7200000002</v>
      </c>
      <c r="BS136" s="18">
        <f t="shared" si="151"/>
        <v>131920.68</v>
      </c>
      <c r="BT136" s="18">
        <f t="shared" si="151"/>
        <v>0</v>
      </c>
      <c r="BU136" s="18">
        <f t="shared" si="151"/>
        <v>0</v>
      </c>
      <c r="BV136" s="18">
        <f t="shared" si="132"/>
        <v>1862409.5999999999</v>
      </c>
      <c r="BW136" s="18">
        <f t="shared" si="156"/>
        <v>0</v>
      </c>
      <c r="BX136" s="18">
        <f t="shared" si="133"/>
        <v>1994330.2799999998</v>
      </c>
      <c r="BY136" s="18">
        <f t="shared" si="134"/>
        <v>1994330.2799999998</v>
      </c>
      <c r="BZ136" s="161">
        <f t="shared" si="95"/>
        <v>0</v>
      </c>
      <c r="CA136" s="161">
        <f t="shared" si="95"/>
        <v>0</v>
      </c>
      <c r="CB136" s="161">
        <f t="shared" si="135"/>
        <v>0</v>
      </c>
      <c r="CC136" s="162" t="e">
        <f t="shared" si="96"/>
        <v>#DIV/0!</v>
      </c>
      <c r="CD136" s="162" t="e">
        <f t="shared" si="96"/>
        <v>#DIV/0!</v>
      </c>
      <c r="CE136" s="162" t="e">
        <f t="shared" si="116"/>
        <v>#DIV/0!</v>
      </c>
      <c r="CF136" s="161" t="e">
        <f t="shared" si="98"/>
        <v>#DIV/0!</v>
      </c>
      <c r="CG136" s="651">
        <f t="shared" si="99"/>
        <v>0</v>
      </c>
      <c r="CH136" s="652" t="e">
        <f t="shared" si="117"/>
        <v>#DIV/0!</v>
      </c>
      <c r="CJ136" s="208">
        <f t="shared" si="118"/>
        <v>2009.8503599999999</v>
      </c>
      <c r="CK136" s="208">
        <f t="shared" si="100"/>
        <v>1464.06088</v>
      </c>
      <c r="CL136" s="18">
        <f t="shared" si="128"/>
        <v>3473.9112399999999</v>
      </c>
      <c r="CM136" s="18">
        <f t="shared" si="119"/>
        <v>3473.9112399999999</v>
      </c>
      <c r="CN136" s="18">
        <f t="shared" si="120"/>
        <v>0</v>
      </c>
      <c r="CO136" s="18">
        <f t="shared" si="101"/>
        <v>3357889.6</v>
      </c>
      <c r="CP136" s="18">
        <f t="shared" si="102"/>
        <v>3273374.48</v>
      </c>
      <c r="CQ136" s="18">
        <f t="shared" si="103"/>
        <v>3273374.48</v>
      </c>
      <c r="CR136" s="18">
        <f t="shared" si="104"/>
        <v>1893828.7200000002</v>
      </c>
      <c r="CS136" s="18">
        <f t="shared" si="105"/>
        <v>3473911.2399999998</v>
      </c>
      <c r="CT136" s="18">
        <f t="shared" si="106"/>
        <v>3473911.2399999998</v>
      </c>
      <c r="CU136" s="18">
        <f t="shared" si="107"/>
        <v>1464060.88</v>
      </c>
      <c r="CV136" s="18">
        <f t="shared" si="121"/>
        <v>6747285.7199999997</v>
      </c>
      <c r="CW136" s="843">
        <f t="shared" si="122"/>
        <v>5024.04</v>
      </c>
      <c r="CX136" s="18">
        <f t="shared" si="108"/>
        <v>0</v>
      </c>
      <c r="CY136" s="18">
        <f t="shared" si="109"/>
        <v>0</v>
      </c>
      <c r="CZ136" s="18"/>
      <c r="DA136" s="18">
        <f t="shared" si="110"/>
        <v>3273374.48</v>
      </c>
      <c r="DB136" s="18">
        <f t="shared" si="111"/>
        <v>3473911.2399999998</v>
      </c>
      <c r="DD136" s="653" t="e">
        <f t="shared" si="123"/>
        <v>#DIV/0!</v>
      </c>
      <c r="DH136" s="18">
        <v>8346</v>
      </c>
      <c r="DI136" s="18">
        <v>0</v>
      </c>
      <c r="DJ136" s="18">
        <f t="shared" si="124"/>
        <v>8346</v>
      </c>
      <c r="DL136" s="701">
        <f t="shared" si="112"/>
        <v>0</v>
      </c>
      <c r="DM136" s="701">
        <f t="shared" si="113"/>
        <v>0</v>
      </c>
      <c r="DN136" s="701">
        <f t="shared" si="114"/>
        <v>0</v>
      </c>
    </row>
    <row r="137" spans="1:119" customFormat="1" ht="100.5" customHeight="1">
      <c r="A137" s="695">
        <f t="shared" si="125"/>
        <v>119</v>
      </c>
      <c r="B137" s="1281" t="s">
        <v>47</v>
      </c>
      <c r="C137" s="1281" t="s">
        <v>56</v>
      </c>
      <c r="D137" s="1280" t="s">
        <v>54</v>
      </c>
      <c r="E137" s="696">
        <v>4632068226</v>
      </c>
      <c r="F137" s="696" t="s">
        <v>8</v>
      </c>
      <c r="G137" s="1253" t="s">
        <v>947</v>
      </c>
      <c r="H137" s="876">
        <v>1657.9977495314727</v>
      </c>
      <c r="I137" s="829">
        <v>1657.9977495314727</v>
      </c>
      <c r="J137" s="829">
        <v>1599.8</v>
      </c>
      <c r="K137" s="829">
        <v>1599.8</v>
      </c>
      <c r="L137" s="829">
        <v>1657.9977495314699</v>
      </c>
      <c r="M137" s="893">
        <v>1657.9977495314699</v>
      </c>
      <c r="N137" s="856">
        <v>1686.48</v>
      </c>
      <c r="O137" s="733">
        <f>N137</f>
        <v>1686.48</v>
      </c>
      <c r="P137" s="738">
        <f>O137</f>
        <v>1686.48</v>
      </c>
      <c r="Q137" s="738">
        <f>P137</f>
        <v>1686.48</v>
      </c>
      <c r="R137" s="733">
        <f>Q137</f>
        <v>1686.48</v>
      </c>
      <c r="S137" s="1052">
        <f>R137</f>
        <v>1686.48</v>
      </c>
      <c r="T137" s="928">
        <v>132</v>
      </c>
      <c r="U137" s="715">
        <v>60</v>
      </c>
      <c r="V137" s="715">
        <v>15</v>
      </c>
      <c r="W137" s="715">
        <v>3192</v>
      </c>
      <c r="X137" s="714">
        <v>124926</v>
      </c>
      <c r="Y137" s="716">
        <v>0</v>
      </c>
      <c r="Z137" s="936">
        <f>SUM(T137:W137)</f>
        <v>3399</v>
      </c>
      <c r="AA137" s="896">
        <v>96</v>
      </c>
      <c r="AB137" s="715">
        <v>37</v>
      </c>
      <c r="AC137" s="715">
        <v>11</v>
      </c>
      <c r="AD137" s="715">
        <v>2125</v>
      </c>
      <c r="AE137" s="714">
        <v>99032</v>
      </c>
      <c r="AF137" s="716">
        <v>0</v>
      </c>
      <c r="AG137" s="936">
        <f>SUM(AA137:AD137)</f>
        <v>2269</v>
      </c>
      <c r="AH137" s="954">
        <f>Z137+AG137</f>
        <v>5668</v>
      </c>
      <c r="AI137" s="1054">
        <f t="shared" si="137"/>
        <v>228</v>
      </c>
      <c r="AJ137" s="1054">
        <f t="shared" si="137"/>
        <v>97</v>
      </c>
      <c r="AK137" s="1054">
        <f t="shared" si="137"/>
        <v>26</v>
      </c>
      <c r="AL137" s="1054">
        <f t="shared" si="137"/>
        <v>5317</v>
      </c>
      <c r="AM137" s="738">
        <f t="shared" si="137"/>
        <v>223958</v>
      </c>
      <c r="AN137" s="163"/>
      <c r="AO137" s="1054">
        <f>SUM(AI137:AN137)</f>
        <v>229626</v>
      </c>
      <c r="AP137" s="1054">
        <f>SUM(AI137:AM137)</f>
        <v>229626</v>
      </c>
      <c r="AQ137" s="1054">
        <f>SUM(AI137:AL137)</f>
        <v>5668</v>
      </c>
      <c r="AR137" s="164">
        <f t="shared" si="115"/>
        <v>0</v>
      </c>
      <c r="AS137" s="163">
        <f t="shared" si="152"/>
        <v>378023.48689317575</v>
      </c>
      <c r="AT137" s="163">
        <f t="shared" si="152"/>
        <v>155180.6</v>
      </c>
      <c r="AU137" s="163">
        <f t="shared" si="152"/>
        <v>41594.799999999996</v>
      </c>
      <c r="AV137" s="163">
        <f t="shared" si="152"/>
        <v>8815574.0342588257</v>
      </c>
      <c r="AW137" s="163">
        <f t="shared" si="152"/>
        <v>371321859.98956895</v>
      </c>
      <c r="AX137" s="163">
        <f t="shared" si="157"/>
        <v>380712232.91072094</v>
      </c>
      <c r="AY137" s="163">
        <f t="shared" si="158"/>
        <v>9390372.9211520012</v>
      </c>
      <c r="AZ137" s="163">
        <f t="shared" si="146"/>
        <v>384517.44</v>
      </c>
      <c r="BA137" s="163">
        <f t="shared" si="146"/>
        <v>163588.56</v>
      </c>
      <c r="BB137" s="163">
        <f t="shared" si="144"/>
        <v>43848.480000000003</v>
      </c>
      <c r="BC137" s="163">
        <f t="shared" si="144"/>
        <v>8967014.1600000001</v>
      </c>
      <c r="BD137" s="163">
        <f t="shared" si="145"/>
        <v>377700687.84000003</v>
      </c>
      <c r="BE137" s="163">
        <f t="shared" si="159"/>
        <v>387259656.48000002</v>
      </c>
      <c r="BF137" s="163">
        <f t="shared" si="160"/>
        <v>9558968.6400000006</v>
      </c>
      <c r="BG137" s="163">
        <v>0</v>
      </c>
      <c r="BH137" s="1070">
        <v>0</v>
      </c>
      <c r="BI137" s="1070">
        <v>0</v>
      </c>
      <c r="BJ137" s="738">
        <v>322715.33</v>
      </c>
      <c r="BK137" s="163">
        <v>363285.21</v>
      </c>
      <c r="BL137" s="18">
        <f>I137*T137</f>
        <v>218855.7029381544</v>
      </c>
      <c r="BM137" s="18">
        <f>J137*U137</f>
        <v>95988</v>
      </c>
      <c r="BN137" s="18">
        <f>K137*V137</f>
        <v>23997</v>
      </c>
      <c r="BO137" s="18">
        <f>L137*W137</f>
        <v>5292328.8165044524</v>
      </c>
      <c r="BP137" s="18">
        <f>M137*X137</f>
        <v>207127026.85796842</v>
      </c>
      <c r="BQ137" s="18">
        <f>BL137+BM137+BN137+BO137+BP137</f>
        <v>212758196.37741104</v>
      </c>
      <c r="BR137" s="18">
        <f>BQ137-BP137</f>
        <v>5631169.5194426179</v>
      </c>
      <c r="BS137" s="18">
        <f>O137*AA137</f>
        <v>161902.08000000002</v>
      </c>
      <c r="BT137" s="18">
        <f>P137*AB137</f>
        <v>62399.76</v>
      </c>
      <c r="BU137" s="18">
        <f>Q137*AC137</f>
        <v>18551.28</v>
      </c>
      <c r="BV137" s="18">
        <f>R137*W137</f>
        <v>5383244.1600000001</v>
      </c>
      <c r="BW137" s="18">
        <f>S137*AE137</f>
        <v>167015487.36000001</v>
      </c>
      <c r="BX137" s="18">
        <f>BS137+BT137+BU137+BV137+BW137</f>
        <v>172641584.64000002</v>
      </c>
      <c r="BY137" s="18">
        <f>BX137-BW137</f>
        <v>5626097.2800000012</v>
      </c>
      <c r="BZ137" s="161">
        <f t="shared" si="95"/>
        <v>158387.76</v>
      </c>
      <c r="CA137" s="161">
        <f t="shared" si="95"/>
        <v>42548.28</v>
      </c>
      <c r="CB137" s="161">
        <f t="shared" si="135"/>
        <v>200936.04</v>
      </c>
      <c r="CC137" s="162">
        <f t="shared" si="96"/>
        <v>1632.8635051546394</v>
      </c>
      <c r="CD137" s="162">
        <f t="shared" si="96"/>
        <v>1636.4723076923076</v>
      </c>
      <c r="CE137" s="162">
        <f t="shared" si="116"/>
        <v>1633.6263414634147</v>
      </c>
      <c r="CF137" s="162">
        <f t="shared" si="98"/>
        <v>1633.6263414634147</v>
      </c>
      <c r="CG137" s="651">
        <f t="shared" si="99"/>
        <v>205300.87121486047</v>
      </c>
      <c r="CH137" s="652">
        <f t="shared" si="117"/>
        <v>1669.1127741045566</v>
      </c>
      <c r="CJ137" s="208">
        <f t="shared" si="118"/>
        <v>5732.3455200000008</v>
      </c>
      <c r="CK137" s="208">
        <f t="shared" si="100"/>
        <v>3826.6231200000002</v>
      </c>
      <c r="CL137" s="18">
        <f t="shared" si="128"/>
        <v>9558.968640000001</v>
      </c>
      <c r="CM137" s="18">
        <f t="shared" si="119"/>
        <v>9558.968640000001</v>
      </c>
      <c r="CN137" s="18">
        <f t="shared" si="120"/>
        <v>0</v>
      </c>
      <c r="CO137" s="18">
        <f t="shared" si="101"/>
        <v>9462157.4706574753</v>
      </c>
      <c r="CP137" s="18">
        <f t="shared" si="102"/>
        <v>9390372.9211520012</v>
      </c>
      <c r="CQ137" s="18">
        <f t="shared" si="103"/>
        <v>9390372.9211520012</v>
      </c>
      <c r="CR137" s="18">
        <f t="shared" si="104"/>
        <v>5631169.5194426067</v>
      </c>
      <c r="CS137" s="18">
        <f t="shared" si="105"/>
        <v>9558968.6400000006</v>
      </c>
      <c r="CT137" s="18">
        <f t="shared" si="106"/>
        <v>9558968.6400000006</v>
      </c>
      <c r="CU137" s="18">
        <f t="shared" si="107"/>
        <v>3826623.12</v>
      </c>
      <c r="CV137" s="18">
        <f t="shared" si="121"/>
        <v>18949341.561152004</v>
      </c>
      <c r="CW137" s="843">
        <f t="shared" si="122"/>
        <v>3343.2148131884269</v>
      </c>
      <c r="CX137" s="18">
        <f t="shared" si="108"/>
        <v>196775.4</v>
      </c>
      <c r="CY137" s="18">
        <f t="shared" si="109"/>
        <v>207437.04</v>
      </c>
      <c r="CZ137" s="18"/>
      <c r="DA137" s="18">
        <f t="shared" si="110"/>
        <v>9397531.2443443872</v>
      </c>
      <c r="DB137" s="18">
        <f t="shared" si="111"/>
        <v>9558968.6400000006</v>
      </c>
      <c r="DD137" s="653">
        <f t="shared" si="123"/>
        <v>105.41817727215903</v>
      </c>
      <c r="DH137" s="18">
        <v>5196.2</v>
      </c>
      <c r="DI137" s="18">
        <v>160.19999999999999</v>
      </c>
      <c r="DJ137" s="18">
        <f t="shared" si="124"/>
        <v>5036</v>
      </c>
      <c r="DL137" s="701">
        <f t="shared" si="112"/>
        <v>207127.02685796842</v>
      </c>
      <c r="DM137" s="701">
        <f t="shared" si="113"/>
        <v>167015.48736000003</v>
      </c>
      <c r="DN137" s="701">
        <f t="shared" si="114"/>
        <v>374142.51421796845</v>
      </c>
    </row>
    <row r="138" spans="1:119" customFormat="1" ht="100.5" customHeight="1">
      <c r="A138" s="20">
        <f t="shared" si="125"/>
        <v>120</v>
      </c>
      <c r="B138" s="1281" t="s">
        <v>47</v>
      </c>
      <c r="C138" s="1281" t="s">
        <v>56</v>
      </c>
      <c r="D138" s="967" t="s">
        <v>141</v>
      </c>
      <c r="E138" s="617">
        <v>4632024035</v>
      </c>
      <c r="F138" s="1280" t="s">
        <v>8</v>
      </c>
      <c r="G138" s="1245" t="s">
        <v>956</v>
      </c>
      <c r="H138" s="866">
        <v>3299.1600000000003</v>
      </c>
      <c r="I138" s="825">
        <v>3299.1600000000003</v>
      </c>
      <c r="J138" s="756">
        <v>2896.52</v>
      </c>
      <c r="K138" s="756">
        <v>2896.52</v>
      </c>
      <c r="L138" s="872">
        <v>3299.1600000000003</v>
      </c>
      <c r="M138" s="873"/>
      <c r="N138" s="1207">
        <f>2762.47*1.2</f>
        <v>3314.9639999999995</v>
      </c>
      <c r="O138" s="1208">
        <f>N138</f>
        <v>3314.9639999999995</v>
      </c>
      <c r="P138" s="964">
        <v>2950.21</v>
      </c>
      <c r="Q138" s="964">
        <v>2950.21</v>
      </c>
      <c r="R138" s="1208">
        <f>O138</f>
        <v>3314.9639999999995</v>
      </c>
      <c r="S138" s="913"/>
      <c r="T138" s="1016">
        <v>5506.9371441763578</v>
      </c>
      <c r="U138" s="994">
        <v>58.931238224581804</v>
      </c>
      <c r="V138" s="995">
        <v>14.296640852180619</v>
      </c>
      <c r="W138" s="606"/>
      <c r="X138" s="606"/>
      <c r="Y138" s="606"/>
      <c r="Z138" s="950">
        <f>SUM(T138:W138)</f>
        <v>5580.1650232531201</v>
      </c>
      <c r="AA138" s="1006">
        <v>3504.3790359935015</v>
      </c>
      <c r="AB138" s="1007">
        <v>44.198428668436357</v>
      </c>
      <c r="AC138" s="1017">
        <v>13.443688719982724</v>
      </c>
      <c r="AD138" s="606"/>
      <c r="AE138" s="606"/>
      <c r="AF138" s="606"/>
      <c r="AG138" s="930">
        <f t="shared" si="127"/>
        <v>3562.0211533819206</v>
      </c>
      <c r="AH138" s="898">
        <f t="shared" si="129"/>
        <v>9142.1861766350412</v>
      </c>
      <c r="AI138" s="16">
        <f t="shared" si="137"/>
        <v>9011.3161801698589</v>
      </c>
      <c r="AJ138" s="16">
        <f t="shared" si="137"/>
        <v>103.12966689301817</v>
      </c>
      <c r="AK138" s="16">
        <f t="shared" si="137"/>
        <v>27.740329572163343</v>
      </c>
      <c r="AL138" s="16">
        <f t="shared" si="137"/>
        <v>0</v>
      </c>
      <c r="AM138" s="16">
        <f>X138+AE138</f>
        <v>0</v>
      </c>
      <c r="AN138" s="16"/>
      <c r="AO138" s="16">
        <f t="shared" si="141"/>
        <v>9142.1861766350412</v>
      </c>
      <c r="AP138" s="16">
        <f t="shared" si="142"/>
        <v>9142.1861766350412</v>
      </c>
      <c r="AQ138" s="16">
        <f t="shared" si="154"/>
        <v>9142.1861766350412</v>
      </c>
      <c r="AR138" s="127">
        <f t="shared" si="115"/>
        <v>0</v>
      </c>
      <c r="AS138" s="112">
        <f t="shared" si="152"/>
        <v>29729773.888969194</v>
      </c>
      <c r="AT138" s="112">
        <f t="shared" si="152"/>
        <v>298717.14274896501</v>
      </c>
      <c r="AU138" s="112">
        <f t="shared" si="152"/>
        <v>80350.419412362564</v>
      </c>
      <c r="AV138" s="112">
        <f t="shared" si="152"/>
        <v>0</v>
      </c>
      <c r="AW138" s="112">
        <f t="shared" si="152"/>
        <v>0</v>
      </c>
      <c r="AX138" s="112">
        <f t="shared" si="157"/>
        <v>30108841.451130524</v>
      </c>
      <c r="AY138" s="112">
        <f t="shared" si="158"/>
        <v>30108841.451130524</v>
      </c>
      <c r="AZ138" s="112">
        <f t="shared" si="146"/>
        <v>29872188.72988059</v>
      </c>
      <c r="BA138" s="112">
        <f t="shared" si="146"/>
        <v>304254.17456445115</v>
      </c>
      <c r="BB138" s="112">
        <f t="shared" si="144"/>
        <v>81839.797707092017</v>
      </c>
      <c r="BC138" s="112">
        <f t="shared" si="144"/>
        <v>0</v>
      </c>
      <c r="BD138" s="112">
        <f t="shared" si="145"/>
        <v>0</v>
      </c>
      <c r="BE138" s="112">
        <f t="shared" si="159"/>
        <v>30258282.702152133</v>
      </c>
      <c r="BF138" s="112">
        <f t="shared" si="160"/>
        <v>30258282.702152133</v>
      </c>
      <c r="BG138" s="623">
        <f>(O138-P138)/1.2*U138/1000+(O138-Q138)/1.2*V138/1000</f>
        <v>22.258468170637805</v>
      </c>
      <c r="BH138" s="624">
        <f>(O138-P138)/1.2*AB138/1000+(O138-Q138)/1.2*AC138/1000</f>
        <v>17.520994071579487</v>
      </c>
      <c r="BI138" s="623">
        <f>BG138+BH138</f>
        <v>39.779462242217292</v>
      </c>
      <c r="BJ138" s="1255">
        <v>616146.33295943832</v>
      </c>
      <c r="BK138" s="1214">
        <f>592846.2*1.2</f>
        <v>711415.44</v>
      </c>
      <c r="BL138" s="112">
        <f t="shared" si="155"/>
        <v>18168266.748580873</v>
      </c>
      <c r="BM138" s="112">
        <f t="shared" si="155"/>
        <v>170695.51014226567</v>
      </c>
      <c r="BN138" s="112">
        <f t="shared" si="155"/>
        <v>41410.506161158206</v>
      </c>
      <c r="BO138" s="112">
        <f t="shared" si="155"/>
        <v>0</v>
      </c>
      <c r="BP138" s="112">
        <f t="shared" si="155"/>
        <v>0</v>
      </c>
      <c r="BQ138" s="112">
        <f t="shared" si="130"/>
        <v>18380372.764884297</v>
      </c>
      <c r="BR138" s="112">
        <f t="shared" si="131"/>
        <v>18380372.764884297</v>
      </c>
      <c r="BS138" s="112">
        <f t="shared" si="151"/>
        <v>11616890.346673159</v>
      </c>
      <c r="BT138" s="112">
        <f t="shared" si="151"/>
        <v>130394.64624190763</v>
      </c>
      <c r="BU138" s="112">
        <f t="shared" si="151"/>
        <v>39661.704898580232</v>
      </c>
      <c r="BV138" s="112">
        <f t="shared" si="132"/>
        <v>0</v>
      </c>
      <c r="BW138" s="112">
        <f t="shared" si="156"/>
        <v>0</v>
      </c>
      <c r="BX138" s="112">
        <f t="shared" si="133"/>
        <v>11786946.697813647</v>
      </c>
      <c r="BY138" s="112">
        <f t="shared" si="134"/>
        <v>11786946.697813647</v>
      </c>
      <c r="BZ138" s="113">
        <f t="shared" si="95"/>
        <v>301090.15638417332</v>
      </c>
      <c r="CA138" s="113">
        <f t="shared" si="95"/>
        <v>81072.211059738445</v>
      </c>
      <c r="CB138" s="113">
        <f t="shared" si="135"/>
        <v>382162.36744391173</v>
      </c>
      <c r="CC138" s="119">
        <f t="shared" si="96"/>
        <v>2919.5299999999997</v>
      </c>
      <c r="CD138" s="119">
        <f t="shared" si="96"/>
        <v>2922.5395772187285</v>
      </c>
      <c r="CE138" s="119">
        <f t="shared" si="116"/>
        <v>2920.1679358613533</v>
      </c>
      <c r="CF138" s="119">
        <f t="shared" si="98"/>
        <v>2920.1679358613533</v>
      </c>
      <c r="CG138" s="619">
        <f t="shared" si="99"/>
        <v>432672.03356127476</v>
      </c>
      <c r="CH138" s="132">
        <f t="shared" si="117"/>
        <v>3306.1209234187522</v>
      </c>
      <c r="CI138" s="625"/>
      <c r="CJ138" s="227">
        <f t="shared" si="118"/>
        <v>18498.046166143253</v>
      </c>
      <c r="CK138" s="227">
        <f t="shared" si="100"/>
        <v>11807.971890699542</v>
      </c>
      <c r="CL138" s="227">
        <f>CJ138+CK138</f>
        <v>30306.018056842797</v>
      </c>
      <c r="CM138" s="18">
        <f t="shared" si="119"/>
        <v>30306.018056842797</v>
      </c>
      <c r="CN138" s="18">
        <f t="shared" si="120"/>
        <v>0</v>
      </c>
      <c r="CO138" s="126">
        <f t="shared" si="101"/>
        <v>30217829.128815308</v>
      </c>
      <c r="CP138" s="126">
        <f t="shared" si="102"/>
        <v>30108841.451130524</v>
      </c>
      <c r="CQ138" s="126">
        <f t="shared" si="103"/>
        <v>30108841.451130521</v>
      </c>
      <c r="CR138" s="126">
        <f t="shared" si="104"/>
        <v>18380372.764884297</v>
      </c>
      <c r="CS138" s="126">
        <f t="shared" si="105"/>
        <v>30258282.702152133</v>
      </c>
      <c r="CT138" s="126">
        <f t="shared" si="106"/>
        <v>30258282.702152133</v>
      </c>
      <c r="CU138" s="126">
        <f t="shared" si="107"/>
        <v>11786946.697813647</v>
      </c>
      <c r="CV138" s="126">
        <f t="shared" si="121"/>
        <v>60367124.153282657</v>
      </c>
      <c r="CW138" s="843">
        <f t="shared" si="122"/>
        <v>6603.1387883529133</v>
      </c>
      <c r="CX138" s="126">
        <f t="shared" si="108"/>
        <v>379067.56216132757</v>
      </c>
      <c r="CY138" s="126">
        <f t="shared" si="109"/>
        <v>386093.97227154317</v>
      </c>
      <c r="CZ138" s="126"/>
      <c r="DA138" s="126">
        <f t="shared" si="110"/>
        <v>30161534.946507264</v>
      </c>
      <c r="DB138" s="126">
        <f t="shared" si="111"/>
        <v>30306018.056842797</v>
      </c>
      <c r="DC138" s="625"/>
      <c r="DD138" s="680">
        <f t="shared" si="123"/>
        <v>114.44643917528619</v>
      </c>
      <c r="DE138" s="625"/>
      <c r="DF138" s="625"/>
      <c r="DG138" s="625"/>
      <c r="DH138" s="822">
        <v>9432.0930000000008</v>
      </c>
      <c r="DI138" s="797">
        <v>135.01999999999998</v>
      </c>
      <c r="DJ138" s="797">
        <f t="shared" si="124"/>
        <v>9297.0730000000003</v>
      </c>
      <c r="DK138" s="625"/>
      <c r="DL138" s="618">
        <f t="shared" si="112"/>
        <v>0</v>
      </c>
      <c r="DM138" s="618">
        <f t="shared" si="113"/>
        <v>0</v>
      </c>
      <c r="DN138" s="618">
        <f t="shared" si="114"/>
        <v>0</v>
      </c>
      <c r="DO138" s="123"/>
    </row>
    <row r="139" spans="1:119" customFormat="1" ht="100.5" customHeight="1">
      <c r="A139" s="20">
        <f t="shared" si="125"/>
        <v>121</v>
      </c>
      <c r="B139" s="1281" t="s">
        <v>47</v>
      </c>
      <c r="C139" s="1281" t="s">
        <v>56</v>
      </c>
      <c r="D139" s="1280" t="s">
        <v>279</v>
      </c>
      <c r="E139" s="768">
        <v>6829012680</v>
      </c>
      <c r="F139" s="696" t="s">
        <v>8</v>
      </c>
      <c r="G139" s="848" t="s">
        <v>950</v>
      </c>
      <c r="H139" s="870">
        <v>2213.5079999999998</v>
      </c>
      <c r="I139" s="827">
        <v>2213.5079999999998</v>
      </c>
      <c r="J139" s="827">
        <v>2047</v>
      </c>
      <c r="K139" s="827">
        <v>2047</v>
      </c>
      <c r="L139" s="827">
        <v>2213.5079999999998</v>
      </c>
      <c r="M139" s="878">
        <v>2213.5079999999998</v>
      </c>
      <c r="N139" s="854">
        <f>N50</f>
        <v>2326.752</v>
      </c>
      <c r="O139" s="697">
        <f>N139</f>
        <v>2326.752</v>
      </c>
      <c r="P139" s="697">
        <v>2231.2199999999998</v>
      </c>
      <c r="Q139" s="697">
        <v>2231.2199999999998</v>
      </c>
      <c r="R139" s="697">
        <f>O139</f>
        <v>2326.752</v>
      </c>
      <c r="S139" s="916">
        <f>O139</f>
        <v>2326.752</v>
      </c>
      <c r="T139" s="1023">
        <v>162833.495</v>
      </c>
      <c r="U139" s="661">
        <v>713098.5</v>
      </c>
      <c r="V139" s="1022">
        <v>134678.1</v>
      </c>
      <c r="W139" s="227">
        <f>217130.134-X139</f>
        <v>211974.68399999998</v>
      </c>
      <c r="X139" s="163">
        <f>6213.45-1058</f>
        <v>5155.45</v>
      </c>
      <c r="Y139" s="163"/>
      <c r="Z139" s="951">
        <f>SUM(T139:W139)</f>
        <v>1222584.7789999999</v>
      </c>
      <c r="AA139" s="1024">
        <v>101393.00000000001</v>
      </c>
      <c r="AB139" s="226">
        <v>448651.60000000003</v>
      </c>
      <c r="AC139" s="226">
        <v>119844.9</v>
      </c>
      <c r="AD139" s="1025">
        <f>121268.756-AE139</f>
        <v>116742.20599999999</v>
      </c>
      <c r="AE139" s="15">
        <v>4526.55</v>
      </c>
      <c r="AF139" s="15"/>
      <c r="AG139" s="959">
        <f>SUM(AA139:AD139)</f>
        <v>786631.70600000012</v>
      </c>
      <c r="AH139" s="957">
        <f t="shared" si="129"/>
        <v>2009216.4849999999</v>
      </c>
      <c r="AI139" s="15">
        <f t="shared" ref="AI139:AL140" si="161">T139+AA139</f>
        <v>264226.495</v>
      </c>
      <c r="AJ139" s="15">
        <f t="shared" si="161"/>
        <v>1161750.1000000001</v>
      </c>
      <c r="AK139" s="15">
        <f t="shared" si="161"/>
        <v>254523</v>
      </c>
      <c r="AL139" s="15">
        <f t="shared" si="161"/>
        <v>328716.88999999996</v>
      </c>
      <c r="AM139" s="15">
        <f>X139+AE139</f>
        <v>9682</v>
      </c>
      <c r="AN139" s="15"/>
      <c r="AO139" s="15">
        <f t="shared" si="141"/>
        <v>2018898.4850000001</v>
      </c>
      <c r="AP139" s="15">
        <f t="shared" si="142"/>
        <v>2018898.4850000001</v>
      </c>
      <c r="AQ139" s="15">
        <f t="shared" si="154"/>
        <v>2009216.4850000001</v>
      </c>
      <c r="AR139" s="127">
        <f t="shared" si="115"/>
        <v>0</v>
      </c>
      <c r="AS139" s="112">
        <f t="shared" si="152"/>
        <v>584867460.49445999</v>
      </c>
      <c r="AT139" s="112">
        <f t="shared" si="152"/>
        <v>2378102454.7000003</v>
      </c>
      <c r="AU139" s="112">
        <f t="shared" si="152"/>
        <v>521008581</v>
      </c>
      <c r="AV139" s="112">
        <f t="shared" si="152"/>
        <v>727617465.75011981</v>
      </c>
      <c r="AW139" s="112">
        <f t="shared" si="152"/>
        <v>21431184.455999997</v>
      </c>
      <c r="AX139" s="112">
        <f t="shared" si="157"/>
        <v>4233027146.4005799</v>
      </c>
      <c r="AY139" s="112">
        <f t="shared" si="158"/>
        <v>4211595961.9445801</v>
      </c>
      <c r="AZ139" s="112">
        <f t="shared" si="146"/>
        <v>614789525.69423997</v>
      </c>
      <c r="BA139" s="112">
        <f t="shared" si="146"/>
        <v>2592120058.1219997</v>
      </c>
      <c r="BB139" s="112">
        <f t="shared" si="144"/>
        <v>567896808.05999994</v>
      </c>
      <c r="BC139" s="112">
        <f t="shared" si="144"/>
        <v>764842681.24127984</v>
      </c>
      <c r="BD139" s="112">
        <f t="shared" si="145"/>
        <v>22527612.864</v>
      </c>
      <c r="BE139" s="112">
        <f t="shared" si="159"/>
        <v>4562176685.9815197</v>
      </c>
      <c r="BF139" s="112">
        <f t="shared" si="160"/>
        <v>4539649073.1175194</v>
      </c>
      <c r="BG139" s="112"/>
      <c r="BH139" s="99"/>
      <c r="BI139" s="99">
        <f>112988.897-BI50-BI47</f>
        <v>112743.62655100001</v>
      </c>
      <c r="BJ139" s="701">
        <v>3935972.5629397454</v>
      </c>
      <c r="BK139" s="701">
        <v>5409746.0759781264</v>
      </c>
      <c r="BL139" s="112">
        <f t="shared" si="155"/>
        <v>360433243.85045993</v>
      </c>
      <c r="BM139" s="112">
        <f t="shared" si="155"/>
        <v>1459712629.5</v>
      </c>
      <c r="BN139" s="112">
        <f t="shared" si="155"/>
        <v>275686070.69999999</v>
      </c>
      <c r="BO139" s="112">
        <f t="shared" si="155"/>
        <v>469207658.83147192</v>
      </c>
      <c r="BP139" s="112">
        <f t="shared" si="155"/>
        <v>11411629.818599999</v>
      </c>
      <c r="BQ139" s="112">
        <f t="shared" si="130"/>
        <v>2576451232.7005324</v>
      </c>
      <c r="BR139" s="112">
        <f t="shared" si="131"/>
        <v>2565039602.8819323</v>
      </c>
      <c r="BS139" s="112">
        <f t="shared" si="151"/>
        <v>235916365.53600004</v>
      </c>
      <c r="BT139" s="112">
        <f t="shared" si="151"/>
        <v>1001040422.952</v>
      </c>
      <c r="BU139" s="112">
        <f t="shared" si="151"/>
        <v>267400337.77799997</v>
      </c>
      <c r="BV139" s="112">
        <f t="shared" si="132"/>
        <v>493212519.94636792</v>
      </c>
      <c r="BW139" s="112">
        <f t="shared" si="156"/>
        <v>10532159.2656</v>
      </c>
      <c r="BX139" s="112">
        <f t="shared" si="133"/>
        <v>2008101805.477968</v>
      </c>
      <c r="BY139" s="112">
        <f t="shared" si="134"/>
        <v>1997569646.212368</v>
      </c>
      <c r="BZ139" s="113">
        <f t="shared" si="95"/>
        <v>2460753052.4520001</v>
      </c>
      <c r="CA139" s="113">
        <f t="shared" si="95"/>
        <v>543086408.47799993</v>
      </c>
      <c r="CB139" s="113">
        <f t="shared" si="135"/>
        <v>3003839460.9300003</v>
      </c>
      <c r="CC139" s="119">
        <f t="shared" si="96"/>
        <v>2118.1431810954869</v>
      </c>
      <c r="CD139" s="119">
        <f t="shared" si="96"/>
        <v>2133.741974116288</v>
      </c>
      <c r="CE139" s="119">
        <f t="shared" si="116"/>
        <v>2120.9464904261758</v>
      </c>
      <c r="CF139" s="119">
        <f t="shared" si="98"/>
        <v>2120.9464904261758</v>
      </c>
      <c r="CG139" s="619">
        <f t="shared" si="99"/>
        <v>3199310654.6807995</v>
      </c>
      <c r="CH139" s="132">
        <f t="shared" si="117"/>
        <v>2258.9644996299085</v>
      </c>
      <c r="CI139" s="106"/>
      <c r="CJ139" s="208">
        <f t="shared" si="118"/>
        <v>2844651.5797078074</v>
      </c>
      <c r="CK139" s="208">
        <f t="shared" si="100"/>
        <v>1830296.8951989121</v>
      </c>
      <c r="CL139" s="112">
        <f t="shared" si="128"/>
        <v>4674948.4749067193</v>
      </c>
      <c r="CM139" s="18">
        <f t="shared" si="119"/>
        <v>4674948.4749067193</v>
      </c>
      <c r="CN139" s="18">
        <f t="shared" si="120"/>
        <v>0</v>
      </c>
      <c r="CO139" s="112">
        <f t="shared" si="101"/>
        <v>4536498084.1936436</v>
      </c>
      <c r="CP139" s="112">
        <f t="shared" si="102"/>
        <v>4211595961.9445801</v>
      </c>
      <c r="CQ139" s="112">
        <f t="shared" si="103"/>
        <v>4211595961.9445801</v>
      </c>
      <c r="CR139" s="112">
        <f t="shared" si="104"/>
        <v>2565039602.8819323</v>
      </c>
      <c r="CS139" s="112">
        <f t="shared" si="105"/>
        <v>4539649073.1175194</v>
      </c>
      <c r="CT139" s="112">
        <f t="shared" si="106"/>
        <v>4539649073.1175203</v>
      </c>
      <c r="CU139" s="112">
        <f t="shared" si="107"/>
        <v>1775987287.5609121</v>
      </c>
      <c r="CV139" s="112">
        <f t="shared" si="121"/>
        <v>8751245035.0620995</v>
      </c>
      <c r="CW139" s="843">
        <f t="shared" si="122"/>
        <v>4355.5510819244046</v>
      </c>
      <c r="CX139" s="112">
        <f t="shared" si="108"/>
        <v>2899111035.7000003</v>
      </c>
      <c r="CY139" s="112">
        <f t="shared" si="109"/>
        <v>3160016866.1819997</v>
      </c>
      <c r="CZ139" s="112"/>
      <c r="DA139" s="112">
        <f t="shared" si="110"/>
        <v>4447416763.2793798</v>
      </c>
      <c r="DB139" s="112">
        <f t="shared" si="111"/>
        <v>4674948474.9067202</v>
      </c>
      <c r="DC139" s="106"/>
      <c r="DD139" s="128">
        <f t="shared" si="123"/>
        <v>113.66643869076698</v>
      </c>
      <c r="DE139" s="106"/>
      <c r="DF139" s="106"/>
      <c r="DG139" s="106"/>
      <c r="DH139" s="112">
        <v>2048240.6999999997</v>
      </c>
      <c r="DI139" s="797">
        <v>1499205.7000000002</v>
      </c>
      <c r="DJ139" s="797">
        <f t="shared" si="124"/>
        <v>549034.99999999953</v>
      </c>
      <c r="DK139" s="106"/>
      <c r="DL139" s="618">
        <f t="shared" si="112"/>
        <v>11411.629818599999</v>
      </c>
      <c r="DM139" s="618">
        <f t="shared" si="113"/>
        <v>10532.159265599999</v>
      </c>
      <c r="DN139" s="618">
        <f t="shared" si="114"/>
        <v>21943.789084199998</v>
      </c>
      <c r="DO139" s="106"/>
    </row>
    <row r="140" spans="1:119" customFormat="1" ht="100.5" customHeight="1">
      <c r="A140" s="695">
        <f t="shared" si="125"/>
        <v>122</v>
      </c>
      <c r="B140" s="1281" t="s">
        <v>47</v>
      </c>
      <c r="C140" s="1281" t="s">
        <v>56</v>
      </c>
      <c r="D140" s="1280" t="s">
        <v>272</v>
      </c>
      <c r="E140" s="727">
        <v>4630001280</v>
      </c>
      <c r="F140" s="696" t="s">
        <v>8</v>
      </c>
      <c r="G140" s="1253" t="s">
        <v>940</v>
      </c>
      <c r="H140" s="870">
        <v>2138.9899999999998</v>
      </c>
      <c r="I140" s="827">
        <v>0</v>
      </c>
      <c r="J140" s="827">
        <v>2138.9899999999998</v>
      </c>
      <c r="K140" s="827">
        <v>0</v>
      </c>
      <c r="L140" s="827">
        <v>0</v>
      </c>
      <c r="M140" s="877">
        <v>0</v>
      </c>
      <c r="N140" s="859">
        <v>2336.6999999999998</v>
      </c>
      <c r="O140" s="698">
        <v>0</v>
      </c>
      <c r="P140" s="698">
        <v>2336.6999999999998</v>
      </c>
      <c r="Q140" s="698">
        <v>0</v>
      </c>
      <c r="R140" s="698">
        <v>0</v>
      </c>
      <c r="S140" s="915">
        <v>0</v>
      </c>
      <c r="T140" s="940">
        <v>0</v>
      </c>
      <c r="U140" s="18">
        <v>44.88</v>
      </c>
      <c r="V140" s="18">
        <v>0</v>
      </c>
      <c r="W140" s="18">
        <v>0</v>
      </c>
      <c r="X140" s="18">
        <v>0</v>
      </c>
      <c r="Y140" s="18">
        <v>6010.71</v>
      </c>
      <c r="Z140" s="934">
        <f>U140</f>
        <v>44.88</v>
      </c>
      <c r="AA140" s="902">
        <v>0</v>
      </c>
      <c r="AB140" s="18">
        <v>33.659999999999997</v>
      </c>
      <c r="AC140" s="18">
        <v>0</v>
      </c>
      <c r="AD140" s="18">
        <v>0</v>
      </c>
      <c r="AE140" s="18">
        <v>0</v>
      </c>
      <c r="AF140" s="18">
        <v>6021.93</v>
      </c>
      <c r="AG140" s="934">
        <f>AB140</f>
        <v>33.659999999999997</v>
      </c>
      <c r="AH140" s="953">
        <f>Z140+AG140</f>
        <v>78.539999999999992</v>
      </c>
      <c r="AI140" s="18">
        <f t="shared" si="161"/>
        <v>0</v>
      </c>
      <c r="AJ140" s="18">
        <f t="shared" si="161"/>
        <v>78.539999999999992</v>
      </c>
      <c r="AK140" s="18">
        <f t="shared" si="161"/>
        <v>0</v>
      </c>
      <c r="AL140" s="18">
        <f t="shared" si="161"/>
        <v>0</v>
      </c>
      <c r="AM140" s="18">
        <f>X140+AE140</f>
        <v>0</v>
      </c>
      <c r="AN140" s="18">
        <f>AF140+Y140</f>
        <v>12032.64</v>
      </c>
      <c r="AO140" s="18">
        <f>SUM(AI140:AN140)</f>
        <v>12111.18</v>
      </c>
      <c r="AP140" s="18">
        <f t="shared" si="142"/>
        <v>78.539999999999992</v>
      </c>
      <c r="AQ140" s="18">
        <f t="shared" si="154"/>
        <v>78.539999999999992</v>
      </c>
      <c r="AR140" s="99">
        <f t="shared" si="115"/>
        <v>0</v>
      </c>
      <c r="AS140" s="18">
        <f t="shared" si="152"/>
        <v>0</v>
      </c>
      <c r="AT140" s="18">
        <f>J140*AJ140</f>
        <v>167996.27459999998</v>
      </c>
      <c r="AU140" s="18">
        <f t="shared" si="152"/>
        <v>0</v>
      </c>
      <c r="AV140" s="18">
        <f t="shared" si="152"/>
        <v>0</v>
      </c>
      <c r="AW140" s="18">
        <f t="shared" si="152"/>
        <v>0</v>
      </c>
      <c r="AX140" s="18">
        <f t="shared" si="157"/>
        <v>167996.27459999998</v>
      </c>
      <c r="AY140" s="18">
        <f t="shared" si="158"/>
        <v>167996.27459999998</v>
      </c>
      <c r="AZ140" s="18">
        <f t="shared" si="146"/>
        <v>0</v>
      </c>
      <c r="BA140" s="18">
        <f t="shared" si="146"/>
        <v>183524.41799999998</v>
      </c>
      <c r="BB140" s="18">
        <f t="shared" si="146"/>
        <v>0</v>
      </c>
      <c r="BC140" s="18">
        <f t="shared" si="146"/>
        <v>0</v>
      </c>
      <c r="BD140" s="18">
        <f t="shared" si="145"/>
        <v>0</v>
      </c>
      <c r="BE140" s="18">
        <f t="shared" si="159"/>
        <v>183524.41799999998</v>
      </c>
      <c r="BF140" s="18">
        <f t="shared" si="160"/>
        <v>183524.41799999998</v>
      </c>
      <c r="BG140" s="18">
        <v>0</v>
      </c>
      <c r="BH140" s="18">
        <v>0</v>
      </c>
      <c r="BI140" s="18">
        <v>0</v>
      </c>
      <c r="BJ140" s="29">
        <v>23583.48</v>
      </c>
      <c r="BK140" s="18">
        <v>24446.57</v>
      </c>
      <c r="BL140" s="18">
        <f t="shared" si="155"/>
        <v>0</v>
      </c>
      <c r="BM140" s="18">
        <f t="shared" si="155"/>
        <v>95997.871199999994</v>
      </c>
      <c r="BN140" s="18">
        <f t="shared" si="155"/>
        <v>0</v>
      </c>
      <c r="BO140" s="18">
        <f t="shared" si="155"/>
        <v>0</v>
      </c>
      <c r="BP140" s="18">
        <f t="shared" si="155"/>
        <v>0</v>
      </c>
      <c r="BQ140" s="18">
        <f t="shared" si="130"/>
        <v>95997.871199999994</v>
      </c>
      <c r="BR140" s="18">
        <f t="shared" si="131"/>
        <v>95997.871199999994</v>
      </c>
      <c r="BS140" s="18">
        <f t="shared" si="151"/>
        <v>0</v>
      </c>
      <c r="BT140" s="18">
        <f t="shared" si="151"/>
        <v>78653.321999999986</v>
      </c>
      <c r="BU140" s="18">
        <f t="shared" si="151"/>
        <v>0</v>
      </c>
      <c r="BV140" s="18">
        <f t="shared" si="132"/>
        <v>0</v>
      </c>
      <c r="BW140" s="18">
        <f t="shared" si="156"/>
        <v>0</v>
      </c>
      <c r="BX140" s="18">
        <f t="shared" si="133"/>
        <v>78653.321999999986</v>
      </c>
      <c r="BY140" s="18">
        <f t="shared" si="134"/>
        <v>78653.321999999986</v>
      </c>
      <c r="BZ140" s="161">
        <f t="shared" si="95"/>
        <v>174651.19319999998</v>
      </c>
      <c r="CA140" s="161">
        <f t="shared" si="95"/>
        <v>0</v>
      </c>
      <c r="CB140" s="161">
        <f t="shared" si="135"/>
        <v>174651.19319999998</v>
      </c>
      <c r="CC140" s="162">
        <f t="shared" si="96"/>
        <v>2223.7228571428573</v>
      </c>
      <c r="CD140" s="162" t="e">
        <f t="shared" si="96"/>
        <v>#DIV/0!</v>
      </c>
      <c r="CE140" s="162">
        <f t="shared" si="116"/>
        <v>2223.7228571428573</v>
      </c>
      <c r="CF140" s="162">
        <f t="shared" si="98"/>
        <v>2223.7228571428573</v>
      </c>
      <c r="CG140" s="651">
        <f t="shared" si="99"/>
        <v>0</v>
      </c>
      <c r="CH140" s="652">
        <f t="shared" si="117"/>
        <v>0</v>
      </c>
      <c r="CJ140" s="208">
        <f t="shared" si="118"/>
        <v>104.87109600000001</v>
      </c>
      <c r="CK140" s="208">
        <f t="shared" si="100"/>
        <v>78.653321999999989</v>
      </c>
      <c r="CL140" s="18">
        <f t="shared" si="128"/>
        <v>183.524418</v>
      </c>
      <c r="CM140" s="18">
        <f t="shared" si="119"/>
        <v>183.52441799999997</v>
      </c>
      <c r="CN140" s="18">
        <f t="shared" si="120"/>
        <v>0</v>
      </c>
      <c r="CO140" s="18">
        <f t="shared" si="101"/>
        <v>174651.19319999998</v>
      </c>
      <c r="CP140" s="18">
        <f t="shared" si="102"/>
        <v>167996.27459999998</v>
      </c>
      <c r="CQ140" s="18">
        <f t="shared" si="103"/>
        <v>167996.27459999998</v>
      </c>
      <c r="CR140" s="18">
        <f t="shared" si="104"/>
        <v>95997.871199999994</v>
      </c>
      <c r="CS140" s="18">
        <f t="shared" si="105"/>
        <v>183524.41799999998</v>
      </c>
      <c r="CT140" s="18">
        <f t="shared" si="106"/>
        <v>183524.41799999998</v>
      </c>
      <c r="CU140" s="18">
        <f t="shared" si="107"/>
        <v>78653.321999999986</v>
      </c>
      <c r="CV140" s="18">
        <f t="shared" si="121"/>
        <v>351520.69259999995</v>
      </c>
      <c r="CW140" s="843">
        <f t="shared" si="122"/>
        <v>4475.6899999999996</v>
      </c>
      <c r="CX140" s="18">
        <f t="shared" si="108"/>
        <v>167996.27459999998</v>
      </c>
      <c r="CY140" s="18">
        <f t="shared" si="109"/>
        <v>183524.41799999998</v>
      </c>
      <c r="CZ140" s="18"/>
      <c r="DA140" s="18">
        <f t="shared" si="110"/>
        <v>167996.27459999998</v>
      </c>
      <c r="DB140" s="18">
        <f t="shared" si="111"/>
        <v>183524.41799999998</v>
      </c>
      <c r="DD140" s="653">
        <f t="shared" si="123"/>
        <v>109.24314746679509</v>
      </c>
      <c r="DH140" s="18">
        <v>78.539999999999992</v>
      </c>
      <c r="DI140" s="18">
        <v>78.539999999999992</v>
      </c>
      <c r="DJ140" s="18">
        <f t="shared" si="124"/>
        <v>0</v>
      </c>
      <c r="DL140" s="701">
        <f t="shared" si="112"/>
        <v>0</v>
      </c>
      <c r="DM140" s="701">
        <f t="shared" si="113"/>
        <v>0</v>
      </c>
      <c r="DN140" s="701">
        <f t="shared" si="114"/>
        <v>0</v>
      </c>
    </row>
    <row r="141" spans="1:119" customFormat="1" ht="100.5" customHeight="1">
      <c r="A141" s="695"/>
      <c r="B141" s="1281" t="s">
        <v>47</v>
      </c>
      <c r="C141" s="1281" t="s">
        <v>56</v>
      </c>
      <c r="D141" s="1280" t="s">
        <v>981</v>
      </c>
      <c r="E141" s="1268">
        <v>3123389689</v>
      </c>
      <c r="F141" s="696" t="s">
        <v>8</v>
      </c>
      <c r="G141" s="1253" t="s">
        <v>982</v>
      </c>
      <c r="H141" s="870">
        <v>0</v>
      </c>
      <c r="I141" s="827">
        <v>0</v>
      </c>
      <c r="J141" s="827">
        <v>0</v>
      </c>
      <c r="K141" s="827">
        <v>0</v>
      </c>
      <c r="L141" s="827">
        <v>0</v>
      </c>
      <c r="M141" s="877">
        <v>0</v>
      </c>
      <c r="N141" s="859">
        <v>2270.29</v>
      </c>
      <c r="O141" s="698">
        <v>0</v>
      </c>
      <c r="P141" s="698">
        <v>2270.29</v>
      </c>
      <c r="Q141" s="698">
        <v>2270.29</v>
      </c>
      <c r="R141" s="698">
        <f>Q141</f>
        <v>2270.29</v>
      </c>
      <c r="S141" s="915">
        <v>0</v>
      </c>
      <c r="T141" s="940"/>
      <c r="U141" s="18">
        <f>1687.1-V141</f>
        <v>822.74499999999989</v>
      </c>
      <c r="V141" s="18">
        <f>864.355</f>
        <v>864.35500000000002</v>
      </c>
      <c r="W141" s="18">
        <v>64.92</v>
      </c>
      <c r="X141" s="18"/>
      <c r="Y141" s="18"/>
      <c r="Z141" s="934">
        <f>U141+V141+W141</f>
        <v>1752.02</v>
      </c>
      <c r="AA141" s="902"/>
      <c r="AB141" s="18">
        <f>2024.46-AC141</f>
        <v>1160.105</v>
      </c>
      <c r="AC141" s="18">
        <f>864.355</f>
        <v>864.35500000000002</v>
      </c>
      <c r="AD141" s="18">
        <v>77.819999999999993</v>
      </c>
      <c r="AE141" s="18"/>
      <c r="AF141" s="18"/>
      <c r="AG141" s="934">
        <f>AB141+AC141+AD141</f>
        <v>2102.2800000000002</v>
      </c>
      <c r="AH141" s="953">
        <f>Z141+AG141</f>
        <v>3854.3</v>
      </c>
      <c r="AI141" s="18"/>
      <c r="AJ141" s="18">
        <f t="shared" ref="AJ141:AL144" si="162">U141+AB141</f>
        <v>1982.85</v>
      </c>
      <c r="AK141" s="18">
        <f t="shared" si="162"/>
        <v>1728.71</v>
      </c>
      <c r="AL141" s="18">
        <f t="shared" si="162"/>
        <v>142.74</v>
      </c>
      <c r="AM141" s="18"/>
      <c r="AN141" s="18"/>
      <c r="AO141" s="18"/>
      <c r="AP141" s="18"/>
      <c r="AQ141" s="18"/>
      <c r="AR141" s="99"/>
      <c r="AS141" s="18"/>
      <c r="AT141" s="18">
        <f t="shared" si="152"/>
        <v>0</v>
      </c>
      <c r="AU141" s="18"/>
      <c r="AV141" s="18"/>
      <c r="AW141" s="18"/>
      <c r="AX141" s="18">
        <f t="shared" si="157"/>
        <v>0</v>
      </c>
      <c r="AY141" s="18">
        <f t="shared" si="158"/>
        <v>0</v>
      </c>
      <c r="AZ141" s="18"/>
      <c r="BA141" s="18">
        <f t="shared" si="146"/>
        <v>4501644.5264999997</v>
      </c>
      <c r="BB141" s="18">
        <f t="shared" si="146"/>
        <v>3924673.0259000002</v>
      </c>
      <c r="BC141" s="18">
        <f>R141*AL141</f>
        <v>324061.19459999999</v>
      </c>
      <c r="BD141" s="18"/>
      <c r="BE141" s="18">
        <f t="shared" si="159"/>
        <v>8750378.7469999995</v>
      </c>
      <c r="BF141" s="18">
        <f t="shared" si="160"/>
        <v>8750378.7469999995</v>
      </c>
      <c r="BG141" s="18"/>
      <c r="BH141" s="18"/>
      <c r="BI141" s="18"/>
      <c r="BJ141" s="29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61"/>
      <c r="CA141" s="161"/>
      <c r="CB141" s="161"/>
      <c r="CC141" s="162"/>
      <c r="CD141" s="162"/>
      <c r="CE141" s="162"/>
      <c r="CF141" s="162"/>
      <c r="CG141" s="651"/>
      <c r="CH141" s="652"/>
      <c r="CJ141" s="208"/>
      <c r="CK141" s="20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843"/>
      <c r="CX141" s="18"/>
      <c r="CY141" s="18"/>
      <c r="CZ141" s="18"/>
      <c r="DA141" s="18"/>
      <c r="DB141" s="18"/>
      <c r="DD141" s="653"/>
      <c r="DH141" s="18"/>
      <c r="DI141" s="18"/>
      <c r="DJ141" s="18"/>
      <c r="DL141" s="701"/>
      <c r="DM141" s="701"/>
      <c r="DN141" s="701"/>
    </row>
    <row r="142" spans="1:119" customFormat="1" ht="100.5" customHeight="1">
      <c r="A142" s="1081">
        <f>A140+1</f>
        <v>123</v>
      </c>
      <c r="B142" s="1281" t="s">
        <v>47</v>
      </c>
      <c r="C142" s="1281" t="s">
        <v>56</v>
      </c>
      <c r="D142" s="1082" t="s">
        <v>189</v>
      </c>
      <c r="E142" s="1116">
        <v>3666120176</v>
      </c>
      <c r="F142" s="1082" t="s">
        <v>8</v>
      </c>
      <c r="G142" s="1083" t="s">
        <v>929</v>
      </c>
      <c r="H142" s="1084">
        <v>1764.88</v>
      </c>
      <c r="I142" s="1085">
        <v>0</v>
      </c>
      <c r="J142" s="1085">
        <v>1764.88</v>
      </c>
      <c r="K142" s="1085">
        <v>1764.88</v>
      </c>
      <c r="L142" s="1085">
        <v>1764.88</v>
      </c>
      <c r="M142" s="1113">
        <v>0</v>
      </c>
      <c r="N142" s="1114">
        <v>1844.2847200799181</v>
      </c>
      <c r="O142" s="1115">
        <v>0</v>
      </c>
      <c r="P142" s="1115">
        <v>1844.2847200799181</v>
      </c>
      <c r="Q142" s="1115">
        <v>1844.2847200799181</v>
      </c>
      <c r="R142" s="1115">
        <v>1844.2847200799181</v>
      </c>
      <c r="S142" s="1089">
        <v>0</v>
      </c>
      <c r="T142" s="1110">
        <v>0</v>
      </c>
      <c r="U142" s="1097">
        <v>10462.77</v>
      </c>
      <c r="V142" s="1097">
        <v>5897.1</v>
      </c>
      <c r="W142" s="1097">
        <v>254.72300000000001</v>
      </c>
      <c r="X142" s="1097">
        <v>0</v>
      </c>
      <c r="Y142" s="1097">
        <v>0</v>
      </c>
      <c r="Z142" s="1092">
        <f>SUM(T142:W142)</f>
        <v>16614.593000000001</v>
      </c>
      <c r="AA142" s="1111">
        <v>0</v>
      </c>
      <c r="AB142" s="1097">
        <v>7381.3119999999999</v>
      </c>
      <c r="AC142" s="1097">
        <v>4727.6329999999998</v>
      </c>
      <c r="AD142" s="1097">
        <v>113.98699999999999</v>
      </c>
      <c r="AE142" s="1097">
        <v>0</v>
      </c>
      <c r="AF142" s="1097">
        <v>0</v>
      </c>
      <c r="AG142" s="1092">
        <f>SUM(AA142:AD142)</f>
        <v>12222.931999999999</v>
      </c>
      <c r="AH142" s="1117">
        <f>Z142+AG142</f>
        <v>28837.525000000001</v>
      </c>
      <c r="AI142" s="1097">
        <f>T142+AA142</f>
        <v>0</v>
      </c>
      <c r="AJ142" s="1097">
        <f t="shared" si="162"/>
        <v>17844.082000000002</v>
      </c>
      <c r="AK142" s="1097">
        <f t="shared" si="162"/>
        <v>10624.733</v>
      </c>
      <c r="AL142" s="1097">
        <f t="shared" si="162"/>
        <v>368.71000000000004</v>
      </c>
      <c r="AM142" s="1097">
        <f>X142+AE142</f>
        <v>0</v>
      </c>
      <c r="AN142" s="1097"/>
      <c r="AO142" s="1096">
        <f>SUM(AI142:AN142)</f>
        <v>28837.525000000001</v>
      </c>
      <c r="AP142" s="1096">
        <f>SUM(AI142:AM142)</f>
        <v>28837.525000000001</v>
      </c>
      <c r="AQ142" s="1096">
        <f>SUM(AI142:AL142)</f>
        <v>28837.525000000001</v>
      </c>
      <c r="AR142" s="1098">
        <f t="shared" si="115"/>
        <v>0</v>
      </c>
      <c r="AS142" s="1097">
        <f t="shared" si="152"/>
        <v>0</v>
      </c>
      <c r="AT142" s="1097">
        <f t="shared" si="152"/>
        <v>31492663.440160006</v>
      </c>
      <c r="AU142" s="1097">
        <f t="shared" si="152"/>
        <v>18751378.777040001</v>
      </c>
      <c r="AV142" s="1097">
        <f t="shared" si="152"/>
        <v>650728.90480000013</v>
      </c>
      <c r="AW142" s="1097">
        <f t="shared" si="152"/>
        <v>0</v>
      </c>
      <c r="AX142" s="1097">
        <f t="shared" si="157"/>
        <v>50894771.122000009</v>
      </c>
      <c r="AY142" s="1097">
        <f t="shared" si="158"/>
        <v>50894771.122000009</v>
      </c>
      <c r="AZ142" s="1097">
        <f t="shared" ref="AZ142:BC144" si="163">O142*AI142</f>
        <v>0</v>
      </c>
      <c r="BA142" s="1097">
        <f t="shared" si="163"/>
        <v>32909567.776453108</v>
      </c>
      <c r="BB142" s="1097">
        <f t="shared" si="163"/>
        <v>19595032.726828869</v>
      </c>
      <c r="BC142" s="1097">
        <f t="shared" si="163"/>
        <v>680006.21914066665</v>
      </c>
      <c r="BD142" s="1097">
        <f t="shared" si="145"/>
        <v>0</v>
      </c>
      <c r="BE142" s="1097">
        <f t="shared" si="159"/>
        <v>53184606.722422644</v>
      </c>
      <c r="BF142" s="1097">
        <f t="shared" si="160"/>
        <v>53184606.722422644</v>
      </c>
      <c r="BG142" s="1097">
        <v>0</v>
      </c>
      <c r="BH142" s="1097">
        <v>0</v>
      </c>
      <c r="BI142" s="1097">
        <v>0</v>
      </c>
      <c r="BJ142" s="1096">
        <v>53184.606722422643</v>
      </c>
      <c r="BK142" s="1096">
        <v>62375.475939951873</v>
      </c>
      <c r="BL142" s="1097">
        <f t="shared" si="155"/>
        <v>0</v>
      </c>
      <c r="BM142" s="1097">
        <f>J142*U142</f>
        <v>18465533.517600004</v>
      </c>
      <c r="BN142" s="1097">
        <f t="shared" si="155"/>
        <v>10407673.848000001</v>
      </c>
      <c r="BO142" s="1097">
        <f t="shared" si="155"/>
        <v>449555.52824000007</v>
      </c>
      <c r="BP142" s="1097">
        <f t="shared" si="155"/>
        <v>0</v>
      </c>
      <c r="BQ142" s="1097">
        <f t="shared" si="130"/>
        <v>29322762.893840004</v>
      </c>
      <c r="BR142" s="1097">
        <f t="shared" si="131"/>
        <v>29322762.893840004</v>
      </c>
      <c r="BS142" s="1097">
        <f t="shared" si="151"/>
        <v>0</v>
      </c>
      <c r="BT142" s="1097">
        <f t="shared" si="151"/>
        <v>13613240.93574254</v>
      </c>
      <c r="BU142" s="1097">
        <f>Q142*AC142</f>
        <v>8719101.3040455822</v>
      </c>
      <c r="BV142" s="1097">
        <f>R142*W142</f>
        <v>469781.736752917</v>
      </c>
      <c r="BW142" s="1097">
        <f t="shared" si="156"/>
        <v>0</v>
      </c>
      <c r="BX142" s="1097">
        <f>BS142+BT142+BU142+BV142+BW142</f>
        <v>22802123.976541039</v>
      </c>
      <c r="BY142" s="1097">
        <f>BX142-BW142</f>
        <v>22802123.976541039</v>
      </c>
      <c r="BZ142" s="1099">
        <f t="shared" si="95"/>
        <v>32078774.453342542</v>
      </c>
      <c r="CA142" s="1099">
        <f t="shared" si="95"/>
        <v>19126775.152045585</v>
      </c>
      <c r="CB142" s="1099">
        <f t="shared" si="135"/>
        <v>51205549.605388127</v>
      </c>
      <c r="CC142" s="1100">
        <f t="shared" si="96"/>
        <v>1797.7262407414703</v>
      </c>
      <c r="CD142" s="1100">
        <f t="shared" si="96"/>
        <v>1800.2123114101394</v>
      </c>
      <c r="CE142" s="1100">
        <f t="shared" si="116"/>
        <v>1798.6540572689141</v>
      </c>
      <c r="CF142" s="1100">
        <f t="shared" si="98"/>
        <v>1798.6540572689141</v>
      </c>
      <c r="CG142" s="1101">
        <f t="shared" si="99"/>
        <v>0</v>
      </c>
      <c r="CH142" s="1102">
        <f t="shared" si="117"/>
        <v>0</v>
      </c>
      <c r="CJ142" s="1097">
        <f t="shared" si="118"/>
        <v>30642.040000246769</v>
      </c>
      <c r="CK142" s="1097">
        <f t="shared" si="100"/>
        <v>22542.56672217587</v>
      </c>
      <c r="CL142" s="1097">
        <f t="shared" si="128"/>
        <v>53184.606722422643</v>
      </c>
      <c r="CM142" s="18">
        <f t="shared" si="119"/>
        <v>53184.606722422643</v>
      </c>
      <c r="CN142" s="18">
        <f t="shared" si="120"/>
        <v>0</v>
      </c>
      <c r="CO142" s="1097">
        <f t="shared" si="101"/>
        <v>51865329.616015874</v>
      </c>
      <c r="CP142" s="1097">
        <f t="shared" si="102"/>
        <v>50894771.122000009</v>
      </c>
      <c r="CQ142" s="1097">
        <f t="shared" si="103"/>
        <v>50894771.122000001</v>
      </c>
      <c r="CR142" s="1097">
        <f t="shared" si="104"/>
        <v>29322762.893840004</v>
      </c>
      <c r="CS142" s="1097">
        <f t="shared" si="105"/>
        <v>53184606.722422644</v>
      </c>
      <c r="CT142" s="1097">
        <f t="shared" si="106"/>
        <v>53184606.722422644</v>
      </c>
      <c r="CU142" s="1097">
        <f t="shared" si="107"/>
        <v>22542566.722175874</v>
      </c>
      <c r="CV142" s="1097">
        <f t="shared" si="121"/>
        <v>104079377.84442265</v>
      </c>
      <c r="CW142" s="1103">
        <f t="shared" si="122"/>
        <v>3609.1647200799184</v>
      </c>
      <c r="CX142" s="1097">
        <f t="shared" si="108"/>
        <v>50244042.217200011</v>
      </c>
      <c r="CY142" s="1097">
        <f t="shared" si="109"/>
        <v>52504600.503281981</v>
      </c>
      <c r="CZ142" s="1097"/>
      <c r="DA142" s="1097">
        <f t="shared" si="110"/>
        <v>50894771.122000009</v>
      </c>
      <c r="DB142" s="1097">
        <f t="shared" si="111"/>
        <v>53184606.722422644</v>
      </c>
      <c r="DD142" s="1104">
        <f t="shared" si="123"/>
        <v>104.49915688771576</v>
      </c>
      <c r="DH142" s="1097">
        <v>25278.739999999998</v>
      </c>
      <c r="DI142" s="1097">
        <v>24910.03</v>
      </c>
      <c r="DJ142" s="1097">
        <f t="shared" si="124"/>
        <v>368.70999999999913</v>
      </c>
      <c r="DL142" s="1105">
        <f t="shared" si="112"/>
        <v>0</v>
      </c>
      <c r="DM142" s="1105">
        <f t="shared" si="113"/>
        <v>0</v>
      </c>
      <c r="DN142" s="1105">
        <f t="shared" si="114"/>
        <v>0</v>
      </c>
    </row>
    <row r="143" spans="1:119" customFormat="1" ht="100.5" customHeight="1">
      <c r="A143" s="20">
        <f t="shared" si="125"/>
        <v>124</v>
      </c>
      <c r="B143" s="1280" t="s">
        <v>52</v>
      </c>
      <c r="C143" s="1280" t="s">
        <v>52</v>
      </c>
      <c r="D143" s="1061" t="s">
        <v>255</v>
      </c>
      <c r="E143" s="696">
        <v>4634002573</v>
      </c>
      <c r="F143" s="696" t="s">
        <v>8</v>
      </c>
      <c r="G143" s="848" t="s">
        <v>955</v>
      </c>
      <c r="H143" s="870">
        <v>748.15</v>
      </c>
      <c r="I143" s="830">
        <v>748.15</v>
      </c>
      <c r="J143" s="830">
        <v>748.15</v>
      </c>
      <c r="K143" s="830">
        <v>748.15</v>
      </c>
      <c r="L143" s="830">
        <v>748.15</v>
      </c>
      <c r="M143" s="879">
        <v>0</v>
      </c>
      <c r="N143" s="865">
        <f>650.253752118661*1.2</f>
        <v>780.30450254239327</v>
      </c>
      <c r="O143" s="738">
        <f>N143</f>
        <v>780.30450254239327</v>
      </c>
      <c r="P143" s="738">
        <f>O143</f>
        <v>780.30450254239327</v>
      </c>
      <c r="Q143" s="738">
        <f>P143</f>
        <v>780.30450254239327</v>
      </c>
      <c r="R143" s="738">
        <f>Q143</f>
        <v>780.30450254239327</v>
      </c>
      <c r="S143" s="924"/>
      <c r="T143" s="940">
        <v>23563.62</v>
      </c>
      <c r="U143" s="18">
        <f>96704.2+3282.57-U59</f>
        <v>95803.16</v>
      </c>
      <c r="V143" s="18">
        <f>24271-V59</f>
        <v>23318.638218200002</v>
      </c>
      <c r="W143" s="702">
        <f>24618.96-W59-0.6</f>
        <v>23793.23</v>
      </c>
      <c r="X143" s="702"/>
      <c r="Y143" s="18"/>
      <c r="Z143" s="934">
        <f t="shared" si="126"/>
        <v>166478.64821820002</v>
      </c>
      <c r="AA143" s="902">
        <v>15040.38</v>
      </c>
      <c r="AB143" s="18">
        <f>73902.3-3281.75-0.82-0.6-AB59</f>
        <v>67526.889999999985</v>
      </c>
      <c r="AC143" s="18">
        <f>24338+0.82-AC59</f>
        <v>23267.932520599999</v>
      </c>
      <c r="AD143" s="18">
        <f>17061.32-AD59+0.6</f>
        <v>16236.79</v>
      </c>
      <c r="AE143" s="18"/>
      <c r="AF143" s="18"/>
      <c r="AG143" s="934">
        <f t="shared" si="127"/>
        <v>122071.9925206</v>
      </c>
      <c r="AH143" s="1257">
        <f t="shared" si="129"/>
        <v>288550.64073880005</v>
      </c>
      <c r="AI143" s="685">
        <f>T143+AA143</f>
        <v>38604</v>
      </c>
      <c r="AJ143" s="35">
        <f t="shared" si="162"/>
        <v>163330.04999999999</v>
      </c>
      <c r="AK143" s="35">
        <f t="shared" si="162"/>
        <v>46586.570738800001</v>
      </c>
      <c r="AL143" s="686">
        <f t="shared" si="162"/>
        <v>40030.020000000004</v>
      </c>
      <c r="AM143" s="15">
        <f>X143+AE143</f>
        <v>0</v>
      </c>
      <c r="AN143" s="15"/>
      <c r="AO143" s="179">
        <f>SUM(AI143:AN143)</f>
        <v>288550.64073879999</v>
      </c>
      <c r="AP143" s="15">
        <f>SUM(AI143:AM143)</f>
        <v>288550.64073879999</v>
      </c>
      <c r="AQ143" s="15">
        <f>SUM(AI143:AL143)</f>
        <v>288550.64073879999</v>
      </c>
      <c r="AR143" s="127">
        <f t="shared" si="115"/>
        <v>0</v>
      </c>
      <c r="AS143" s="112">
        <f t="shared" si="152"/>
        <v>28881582.599999998</v>
      </c>
      <c r="AT143" s="112">
        <f t="shared" si="152"/>
        <v>122195376.90749998</v>
      </c>
      <c r="AU143" s="112">
        <f t="shared" si="152"/>
        <v>34853742.89823322</v>
      </c>
      <c r="AV143" s="112">
        <f t="shared" si="152"/>
        <v>29948459.463000003</v>
      </c>
      <c r="AW143" s="112">
        <f t="shared" si="152"/>
        <v>0</v>
      </c>
      <c r="AX143" s="112">
        <f t="shared" si="157"/>
        <v>215879161.86873323</v>
      </c>
      <c r="AY143" s="112">
        <f t="shared" si="158"/>
        <v>215879161.86873323</v>
      </c>
      <c r="AZ143" s="112">
        <f t="shared" si="163"/>
        <v>30122875.016146548</v>
      </c>
      <c r="BA143" s="112">
        <f t="shared" si="163"/>
        <v>127447173.41547421</v>
      </c>
      <c r="BB143" s="112">
        <f t="shared" si="163"/>
        <v>36351710.905495346</v>
      </c>
      <c r="BC143" s="112">
        <f t="shared" si="163"/>
        <v>31235604.842862055</v>
      </c>
      <c r="BD143" s="112">
        <f t="shared" si="145"/>
        <v>0</v>
      </c>
      <c r="BE143" s="112">
        <f t="shared" si="159"/>
        <v>225157364.17997813</v>
      </c>
      <c r="BF143" s="112">
        <f t="shared" si="160"/>
        <v>225157364.17997813</v>
      </c>
      <c r="BG143" s="112">
        <v>0</v>
      </c>
      <c r="BH143" s="112">
        <v>0</v>
      </c>
      <c r="BI143" s="112">
        <f t="shared" si="153"/>
        <v>0</v>
      </c>
      <c r="BJ143" s="18">
        <v>182958.40368140512</v>
      </c>
      <c r="BK143" s="18">
        <v>188399.90999999997</v>
      </c>
      <c r="BL143" s="112">
        <f t="shared" si="155"/>
        <v>17629122.302999999</v>
      </c>
      <c r="BM143" s="112">
        <f t="shared" si="155"/>
        <v>71675134.153999999</v>
      </c>
      <c r="BN143" s="112">
        <f>K143*V143</f>
        <v>17445839.182946332</v>
      </c>
      <c r="BO143" s="112">
        <f>L143*W143</f>
        <v>17800905.024499997</v>
      </c>
      <c r="BP143" s="112">
        <f t="shared" si="155"/>
        <v>0</v>
      </c>
      <c r="BQ143" s="112">
        <f>BL143+BM143+BN143+BO143+BP143</f>
        <v>124551000.66444634</v>
      </c>
      <c r="BR143" s="112">
        <f>BQ143-BP143</f>
        <v>124551000.66444634</v>
      </c>
      <c r="BS143" s="112">
        <f>O143*AA143</f>
        <v>11736076.23394856</v>
      </c>
      <c r="BT143" s="112">
        <f>P143*AB143</f>
        <v>52691536.309684895</v>
      </c>
      <c r="BU143" s="112">
        <f t="shared" si="151"/>
        <v>18156072.510676757</v>
      </c>
      <c r="BV143" s="112">
        <f t="shared" si="132"/>
        <v>18565964.499026746</v>
      </c>
      <c r="BW143" s="112">
        <f t="shared" si="156"/>
        <v>0</v>
      </c>
      <c r="BX143" s="112">
        <f t="shared" si="133"/>
        <v>101149649.55333695</v>
      </c>
      <c r="BY143" s="112">
        <f t="shared" si="134"/>
        <v>101149649.55333695</v>
      </c>
      <c r="BZ143" s="113">
        <f t="shared" si="95"/>
        <v>124366670.46368489</v>
      </c>
      <c r="CA143" s="113">
        <f t="shared" si="95"/>
        <v>35601911.693623088</v>
      </c>
      <c r="CB143" s="113">
        <f t="shared" si="135"/>
        <v>159968582.15730798</v>
      </c>
      <c r="CC143" s="119">
        <f t="shared" si="96"/>
        <v>761.44390125200414</v>
      </c>
      <c r="CD143" s="119">
        <f t="shared" si="96"/>
        <v>764.20975248928869</v>
      </c>
      <c r="CE143" s="119">
        <f t="shared" si="116"/>
        <v>762.05772365380005</v>
      </c>
      <c r="CF143" s="119">
        <f t="shared" si="98"/>
        <v>762.05772365379994</v>
      </c>
      <c r="CG143" s="619">
        <f t="shared" si="99"/>
        <v>159968582.15730798</v>
      </c>
      <c r="CH143" s="132">
        <f t="shared" si="117"/>
        <v>762.05772365380005</v>
      </c>
      <c r="CI143" s="106"/>
      <c r="CJ143" s="208">
        <f t="shared" si="118"/>
        <v>129904.03878183266</v>
      </c>
      <c r="CK143" s="208">
        <f t="shared" si="100"/>
        <v>95253.325398145535</v>
      </c>
      <c r="CL143" s="112">
        <f t="shared" si="128"/>
        <v>225157.36417997821</v>
      </c>
      <c r="CM143" s="18">
        <f t="shared" si="119"/>
        <v>225157.36417997823</v>
      </c>
      <c r="CN143" s="18">
        <f t="shared" si="120"/>
        <v>0</v>
      </c>
      <c r="CO143" s="112">
        <f t="shared" si="101"/>
        <v>219804326.06259188</v>
      </c>
      <c r="CP143" s="112">
        <f t="shared" si="102"/>
        <v>215879161.86873323</v>
      </c>
      <c r="CQ143" s="112">
        <f t="shared" si="103"/>
        <v>215879161.8687332</v>
      </c>
      <c r="CR143" s="112">
        <f t="shared" si="104"/>
        <v>124551000.66444634</v>
      </c>
      <c r="CS143" s="112">
        <f t="shared" si="105"/>
        <v>225157364.17997813</v>
      </c>
      <c r="CT143" s="112">
        <f t="shared" si="106"/>
        <v>225157364.17997813</v>
      </c>
      <c r="CU143" s="112">
        <f t="shared" si="107"/>
        <v>95253325.398145512</v>
      </c>
      <c r="CV143" s="112">
        <f t="shared" si="121"/>
        <v>441036526.04871136</v>
      </c>
      <c r="CW143" s="843">
        <f t="shared" si="122"/>
        <v>1528.4545025423929</v>
      </c>
      <c r="CX143" s="112">
        <f t="shared" si="108"/>
        <v>157049119.8057332</v>
      </c>
      <c r="CY143" s="112">
        <f t="shared" si="109"/>
        <v>163798884.32096955</v>
      </c>
      <c r="CZ143" s="112"/>
      <c r="DA143" s="112">
        <f t="shared" si="110"/>
        <v>215879161.86873323</v>
      </c>
      <c r="DB143" s="112">
        <f t="shared" si="111"/>
        <v>225157364.17997813</v>
      </c>
      <c r="DC143" s="106"/>
      <c r="DD143" s="128">
        <f t="shared" si="123"/>
        <v>104.29786841440799</v>
      </c>
      <c r="DE143" s="106"/>
      <c r="DF143" s="106"/>
      <c r="DG143" s="106"/>
      <c r="DH143" s="112">
        <v>288550.64073880005</v>
      </c>
      <c r="DI143" s="797">
        <v>209916.62073879997</v>
      </c>
      <c r="DJ143" s="797">
        <f t="shared" si="124"/>
        <v>78634.020000000077</v>
      </c>
      <c r="DK143" s="106"/>
      <c r="DL143" s="618">
        <f t="shared" si="112"/>
        <v>0</v>
      </c>
      <c r="DM143" s="618">
        <f t="shared" si="113"/>
        <v>0</v>
      </c>
      <c r="DN143" s="618">
        <f t="shared" si="114"/>
        <v>0</v>
      </c>
      <c r="DO143" s="106"/>
    </row>
    <row r="144" spans="1:119" customFormat="1" ht="100.5" customHeight="1">
      <c r="A144" s="20">
        <f>A143+1</f>
        <v>125</v>
      </c>
      <c r="B144" s="1281" t="s">
        <v>52</v>
      </c>
      <c r="C144" s="1281" t="s">
        <v>52</v>
      </c>
      <c r="D144" s="1061" t="s">
        <v>135</v>
      </c>
      <c r="E144" s="1280">
        <v>7721632827</v>
      </c>
      <c r="F144" s="1280" t="s">
        <v>8</v>
      </c>
      <c r="G144" s="1232" t="s">
        <v>972</v>
      </c>
      <c r="H144" s="874">
        <v>301.2</v>
      </c>
      <c r="I144" s="756">
        <v>0</v>
      </c>
      <c r="J144" s="756">
        <v>301.2</v>
      </c>
      <c r="K144" s="756">
        <v>301.2</v>
      </c>
      <c r="L144" s="756">
        <v>301.2</v>
      </c>
      <c r="M144" s="873">
        <v>301.2</v>
      </c>
      <c r="N144" s="976">
        <v>321.43</v>
      </c>
      <c r="O144" s="38">
        <v>321.43</v>
      </c>
      <c r="P144" s="622">
        <v>321.43</v>
      </c>
      <c r="Q144" s="622">
        <v>321.43</v>
      </c>
      <c r="R144" s="622">
        <v>321.43</v>
      </c>
      <c r="S144" s="919">
        <v>321.43</v>
      </c>
      <c r="T144" s="1062"/>
      <c r="U144" s="1233">
        <v>210.94721999999999</v>
      </c>
      <c r="V144" s="1233">
        <v>84.052779999999998</v>
      </c>
      <c r="W144" s="1233">
        <f>255632.3-X144</f>
        <v>44603.590741951659</v>
      </c>
      <c r="X144" s="1233">
        <f>T58+U58+V58+W58+T59+U59+V59+W59+T143+U143+V143+W143+23160.4592580483</f>
        <v>211028.70925804833</v>
      </c>
      <c r="Y144" s="16"/>
      <c r="Z144" s="930">
        <f t="shared" si="126"/>
        <v>44898.590741951659</v>
      </c>
      <c r="AA144" s="864"/>
      <c r="AB144" s="1233">
        <v>114.57368</v>
      </c>
      <c r="AC144" s="1233">
        <v>89.426320000000004</v>
      </c>
      <c r="AD144" s="1233">
        <f>172731.8-AE144</f>
        <v>15162.389258047973</v>
      </c>
      <c r="AE144" s="1233">
        <f>AA58+AB58+AC58+AD58+AA59+AB59+AC59+AD59+AA143+AB143+AC143+AD143+17175.660741952</f>
        <v>157569.41074195202</v>
      </c>
      <c r="AF144" s="16"/>
      <c r="AG144" s="930">
        <f t="shared" si="127"/>
        <v>15366.389258047973</v>
      </c>
      <c r="AH144" s="1263">
        <f t="shared" si="129"/>
        <v>60264.979999999632</v>
      </c>
      <c r="AI144" s="16">
        <f>T144+AA144</f>
        <v>0</v>
      </c>
      <c r="AJ144" s="1233">
        <f t="shared" si="162"/>
        <v>325.52089999999998</v>
      </c>
      <c r="AK144" s="1233">
        <f t="shared" si="162"/>
        <v>173.47910000000002</v>
      </c>
      <c r="AL144" s="1233">
        <f t="shared" si="162"/>
        <v>59765.979999999632</v>
      </c>
      <c r="AM144" s="1233">
        <f>X144+AE144</f>
        <v>368598.12000000034</v>
      </c>
      <c r="AN144" s="662"/>
      <c r="AO144" s="998">
        <f>SUM(AI144:AN144)</f>
        <v>428863.1</v>
      </c>
      <c r="AP144" s="998">
        <f>SUM(AI144:AM144)</f>
        <v>428863.1</v>
      </c>
      <c r="AQ144" s="998">
        <f>SUM(AI144:AL144)</f>
        <v>60264.979999999632</v>
      </c>
      <c r="AR144" s="127">
        <f t="shared" si="115"/>
        <v>0</v>
      </c>
      <c r="AS144" s="112">
        <f t="shared" si="152"/>
        <v>0</v>
      </c>
      <c r="AT144" s="112">
        <f t="shared" si="152"/>
        <v>98046.895079999988</v>
      </c>
      <c r="AU144" s="112">
        <f t="shared" si="152"/>
        <v>52251.904920000001</v>
      </c>
      <c r="AV144" s="112">
        <f t="shared" si="152"/>
        <v>18001513.175999887</v>
      </c>
      <c r="AW144" s="112">
        <f t="shared" si="152"/>
        <v>111021753.74400011</v>
      </c>
      <c r="AX144" s="112">
        <f t="shared" si="157"/>
        <v>129173565.72</v>
      </c>
      <c r="AY144" s="112">
        <f t="shared" si="158"/>
        <v>18151811.975999888</v>
      </c>
      <c r="AZ144" s="112">
        <f t="shared" si="163"/>
        <v>0</v>
      </c>
      <c r="BA144" s="112">
        <f t="shared" si="163"/>
        <v>104632.182887</v>
      </c>
      <c r="BB144" s="112">
        <f t="shared" si="163"/>
        <v>55761.387113000004</v>
      </c>
      <c r="BC144" s="112">
        <f t="shared" si="163"/>
        <v>19210578.951399881</v>
      </c>
      <c r="BD144" s="112">
        <f t="shared" si="145"/>
        <v>118478493.71160011</v>
      </c>
      <c r="BE144" s="112">
        <f t="shared" si="159"/>
        <v>137849466.23299998</v>
      </c>
      <c r="BF144" s="112">
        <f t="shared" si="160"/>
        <v>19370972.521399882</v>
      </c>
      <c r="BG144" s="126"/>
      <c r="BH144" s="126"/>
      <c r="BI144" s="126">
        <f t="shared" si="153"/>
        <v>0</v>
      </c>
      <c r="BJ144" s="1235">
        <f>114874.40454907*1.2</f>
        <v>137849.285458884</v>
      </c>
      <c r="BK144" s="998">
        <f>141872.820638758*1.2</f>
        <v>170247.38476650961</v>
      </c>
      <c r="BL144" s="112">
        <f t="shared" si="155"/>
        <v>0</v>
      </c>
      <c r="BM144" s="112">
        <f t="shared" si="155"/>
        <v>63537.302663999995</v>
      </c>
      <c r="BN144" s="112">
        <f t="shared" si="155"/>
        <v>25316.697335999997</v>
      </c>
      <c r="BO144" s="112">
        <f t="shared" si="155"/>
        <v>13434601.531475838</v>
      </c>
      <c r="BP144" s="112">
        <f t="shared" si="155"/>
        <v>63561847.228524156</v>
      </c>
      <c r="BQ144" s="112">
        <f>BL144+BM144+BN144+BO144+BP144</f>
        <v>77085302.75999999</v>
      </c>
      <c r="BR144" s="112">
        <f>BQ144-BP144</f>
        <v>13523455.531475835</v>
      </c>
      <c r="BS144" s="112">
        <f t="shared" si="151"/>
        <v>0</v>
      </c>
      <c r="BT144" s="112">
        <f t="shared" si="151"/>
        <v>36827.417962400003</v>
      </c>
      <c r="BU144" s="112">
        <f t="shared" si="151"/>
        <v>28744.302037600002</v>
      </c>
      <c r="BV144" s="112">
        <f t="shared" si="132"/>
        <v>14336932.172185522</v>
      </c>
      <c r="BW144" s="112">
        <f t="shared" si="156"/>
        <v>50647535.69478564</v>
      </c>
      <c r="BX144" s="112">
        <f t="shared" si="133"/>
        <v>65050039.586971164</v>
      </c>
      <c r="BY144" s="112">
        <f t="shared" si="134"/>
        <v>14402503.892185524</v>
      </c>
      <c r="BZ144" s="113">
        <f>BM144+BT144</f>
        <v>100364.7206264</v>
      </c>
      <c r="CA144" s="113">
        <f>BN144+BU144</f>
        <v>54060.999373600003</v>
      </c>
      <c r="CB144" s="113">
        <f t="shared" si="135"/>
        <v>154425.72</v>
      </c>
      <c r="CC144" s="119">
        <f>BZ144/AJ144</f>
        <v>308.32035862029136</v>
      </c>
      <c r="CD144" s="119">
        <f>CA144/AK144</f>
        <v>311.62831357552579</v>
      </c>
      <c r="CE144" s="119">
        <f t="shared" si="116"/>
        <v>309.47038076152307</v>
      </c>
      <c r="CF144" s="119">
        <f>CB144/(U144+V144+AB144+AC144)</f>
        <v>309.47038076152307</v>
      </c>
      <c r="CG144" s="619">
        <f>I144*(U144+V144)+O144*(AB144+AC144)</f>
        <v>65571.72</v>
      </c>
      <c r="CH144" s="132">
        <f t="shared" si="117"/>
        <v>131.40625250501003</v>
      </c>
      <c r="CI144" s="106"/>
      <c r="CJ144" s="1234">
        <f t="shared" si="118"/>
        <v>14431.754022185522</v>
      </c>
      <c r="CK144" s="1234">
        <f>N144*AG144/1000</f>
        <v>4939.2184992143602</v>
      </c>
      <c r="CL144" s="1234">
        <f>CJ144+CK144</f>
        <v>19370.972521399883</v>
      </c>
      <c r="CM144" s="18">
        <f t="shared" si="119"/>
        <v>19370.972521399883</v>
      </c>
      <c r="CN144" s="18">
        <f t="shared" si="120"/>
        <v>0</v>
      </c>
      <c r="CO144" s="126">
        <f>H144*Z144+N144*AG144</f>
        <v>18462674.030690201</v>
      </c>
      <c r="CP144" s="126">
        <f>I144*AI144+J144*AJ144+K144*AK144+L144*AL144</f>
        <v>18151811.975999888</v>
      </c>
      <c r="CQ144" s="126">
        <f>I144*AI144+J144*(AJ144+AK144)+L144*AL144</f>
        <v>18151811.975999888</v>
      </c>
      <c r="CR144" s="126">
        <f>I144*T144+J144*U144+K144*V144+L144*W144</f>
        <v>13523455.531475838</v>
      </c>
      <c r="CS144" s="126">
        <f>O144*AI144+P144*AJ144+Q144*AK144+R144*AL144</f>
        <v>19370972.521399882</v>
      </c>
      <c r="CT144" s="126">
        <f>O144*AI144+P144*(AJ144+AK144)+R144*AL144</f>
        <v>19370972.521399882</v>
      </c>
      <c r="CU144" s="126">
        <f>O144*AA144+P144*AB144+Q144*AC144+R144*AD144</f>
        <v>4939218.4992143596</v>
      </c>
      <c r="CV144" s="126">
        <f t="shared" si="121"/>
        <v>37522784.49739977</v>
      </c>
      <c r="CW144" s="1055">
        <f t="shared" si="122"/>
        <v>622.63</v>
      </c>
      <c r="CX144" s="126">
        <f>J144*AJ144+K144*AK144</f>
        <v>150298.79999999999</v>
      </c>
      <c r="CY144" s="126">
        <f>P144*AJ144+Q144*AK144</f>
        <v>160393.57</v>
      </c>
      <c r="CZ144" s="126"/>
      <c r="DA144" s="126">
        <f>H144*AI144+H144*AJ144+H144*AK144+H144*AL144</f>
        <v>18151811.975999888</v>
      </c>
      <c r="DB144" s="126">
        <f>N144*AI144+N144*AJ144+N144*AK144+N144*AL144</f>
        <v>19370972.521399882</v>
      </c>
      <c r="DC144" s="625"/>
      <c r="DD144" s="680">
        <f t="shared" si="123"/>
        <v>106.71646746347943</v>
      </c>
      <c r="DE144" s="625"/>
      <c r="DF144" s="625"/>
      <c r="DG144" s="625"/>
      <c r="DH144" s="126">
        <v>56830.879999999997</v>
      </c>
      <c r="DI144" s="822">
        <v>504</v>
      </c>
      <c r="DJ144" s="822">
        <f t="shared" si="124"/>
        <v>56326.879999999997</v>
      </c>
      <c r="DK144" s="625"/>
      <c r="DL144" s="1063">
        <f>M144*X144/1000</f>
        <v>63561.847228524159</v>
      </c>
      <c r="DM144" s="1063">
        <f>S144*AE144/1000</f>
        <v>50647.535694785642</v>
      </c>
      <c r="DN144" s="1063">
        <f>DL144+DM144</f>
        <v>114209.38292330981</v>
      </c>
      <c r="DO144" s="625"/>
    </row>
    <row r="145" spans="1:119" customFormat="1" ht="100.5" customHeight="1" thickBot="1">
      <c r="A145" s="1081">
        <f>A144+1</f>
        <v>126</v>
      </c>
      <c r="B145" s="1281" t="s">
        <v>52</v>
      </c>
      <c r="C145" s="1281" t="s">
        <v>52</v>
      </c>
      <c r="D145" s="1082" t="s">
        <v>188</v>
      </c>
      <c r="E145" s="1082">
        <v>4629043694</v>
      </c>
      <c r="F145" s="1082" t="s">
        <v>8</v>
      </c>
      <c r="G145" s="1112" t="s">
        <v>930</v>
      </c>
      <c r="H145" s="1118">
        <f>145.03*1.2</f>
        <v>174.036</v>
      </c>
      <c r="I145" s="1119">
        <v>0</v>
      </c>
      <c r="J145" s="1119">
        <v>0</v>
      </c>
      <c r="K145" s="1119">
        <v>0</v>
      </c>
      <c r="L145" s="1120">
        <f>145.03*1.2</f>
        <v>174.036</v>
      </c>
      <c r="M145" s="1121">
        <v>0</v>
      </c>
      <c r="N145" s="1122">
        <v>230.24</v>
      </c>
      <c r="O145" s="1123">
        <v>0</v>
      </c>
      <c r="P145" s="1123">
        <v>0</v>
      </c>
      <c r="Q145" s="1123">
        <v>0</v>
      </c>
      <c r="R145" s="1124">
        <v>230.24</v>
      </c>
      <c r="S145" s="1125">
        <v>0</v>
      </c>
      <c r="T145" s="1126"/>
      <c r="U145" s="1127"/>
      <c r="V145" s="1127"/>
      <c r="W145" s="1128">
        <v>0</v>
      </c>
      <c r="X145" s="1127"/>
      <c r="Y145" s="1127"/>
      <c r="Z145" s="1129">
        <f>SUM(T145:W145)</f>
        <v>0</v>
      </c>
      <c r="AA145" s="1130"/>
      <c r="AB145" s="1127"/>
      <c r="AC145" s="1127"/>
      <c r="AD145" s="1127">
        <v>0</v>
      </c>
      <c r="AE145" s="1127"/>
      <c r="AF145" s="1127"/>
      <c r="AG145" s="1129">
        <f>SUM(AA145:AD145)</f>
        <v>0</v>
      </c>
      <c r="AH145" s="1095">
        <f t="shared" si="129"/>
        <v>0</v>
      </c>
      <c r="AI145" s="1097"/>
      <c r="AJ145" s="1097"/>
      <c r="AK145" s="1097"/>
      <c r="AL145" s="1091">
        <f>AD145+W145</f>
        <v>0</v>
      </c>
      <c r="AM145" s="1097"/>
      <c r="AN145" s="1097"/>
      <c r="AO145" s="1097"/>
      <c r="AP145" s="1097"/>
      <c r="AQ145" s="1097">
        <f>SUM(AI145:AL145)</f>
        <v>0</v>
      </c>
      <c r="AR145" s="1098">
        <f t="shared" si="115"/>
        <v>0</v>
      </c>
      <c r="AS145" s="1097"/>
      <c r="AT145" s="1097"/>
      <c r="AU145" s="1097"/>
      <c r="AV145" s="1097">
        <f>L145*AL145</f>
        <v>0</v>
      </c>
      <c r="AW145" s="1097"/>
      <c r="AX145" s="1097"/>
      <c r="AY145" s="1097"/>
      <c r="AZ145" s="1097"/>
      <c r="BA145" s="1097"/>
      <c r="BB145" s="1097"/>
      <c r="BC145" s="1097">
        <f>R145*AL145</f>
        <v>0</v>
      </c>
      <c r="BD145" s="1097"/>
      <c r="BE145" s="1097"/>
      <c r="BF145" s="1097"/>
      <c r="BG145" s="1097"/>
      <c r="BH145" s="1097"/>
      <c r="BI145" s="1097"/>
      <c r="BJ145" s="1096">
        <v>2002.1954181976198</v>
      </c>
      <c r="BK145" s="1097">
        <v>1692.9499999999998</v>
      </c>
      <c r="BL145" s="1097"/>
      <c r="BM145" s="1097"/>
      <c r="BN145" s="1097"/>
      <c r="BO145" s="1097"/>
      <c r="BP145" s="1097"/>
      <c r="BQ145" s="1097"/>
      <c r="BR145" s="1097"/>
      <c r="BS145" s="1097"/>
      <c r="BT145" s="1097"/>
      <c r="BU145" s="1097"/>
      <c r="BV145" s="1097"/>
      <c r="BW145" s="1097">
        <f t="shared" si="156"/>
        <v>0</v>
      </c>
      <c r="BX145" s="1097">
        <f t="shared" si="133"/>
        <v>0</v>
      </c>
      <c r="BY145" s="1097">
        <f t="shared" si="134"/>
        <v>0</v>
      </c>
      <c r="BZ145" s="1099">
        <f>BM145+BT145</f>
        <v>0</v>
      </c>
      <c r="CA145" s="1099">
        <f>BN145+BU145</f>
        <v>0</v>
      </c>
      <c r="CB145" s="1099">
        <f t="shared" si="135"/>
        <v>0</v>
      </c>
      <c r="CC145" s="1100" t="e">
        <f>BZ145/AJ145</f>
        <v>#DIV/0!</v>
      </c>
      <c r="CD145" s="1100" t="e">
        <f>CA145/AK145</f>
        <v>#DIV/0!</v>
      </c>
      <c r="CE145" s="1100" t="e">
        <f t="shared" si="116"/>
        <v>#DIV/0!</v>
      </c>
      <c r="CF145" s="1099" t="e">
        <f>CB145/(U145+V145+AB145+AC145)</f>
        <v>#DIV/0!</v>
      </c>
      <c r="CG145" s="1101">
        <f>I145*(U145+V145)+O145*(AB145+AC145)</f>
        <v>0</v>
      </c>
      <c r="CH145" s="1102" t="e">
        <f>CG145/(AJ145+AK145)</f>
        <v>#DIV/0!</v>
      </c>
      <c r="CJ145" s="1097">
        <f t="shared" si="118"/>
        <v>0</v>
      </c>
      <c r="CK145" s="1097">
        <f>N145*AG145/1000</f>
        <v>0</v>
      </c>
      <c r="CL145" s="1097">
        <f>CJ145+CK145</f>
        <v>0</v>
      </c>
      <c r="CM145" s="18">
        <f t="shared" si="119"/>
        <v>0</v>
      </c>
      <c r="CN145" s="18">
        <f t="shared" si="120"/>
        <v>0</v>
      </c>
      <c r="CO145" s="1097">
        <f>H145*Z145+N145*AG145</f>
        <v>0</v>
      </c>
      <c r="CP145" s="1097">
        <v>0</v>
      </c>
      <c r="CQ145" s="1097"/>
      <c r="CR145" s="1097"/>
      <c r="CS145" s="1097">
        <v>0</v>
      </c>
      <c r="CT145" s="1097"/>
      <c r="CU145" s="1097"/>
      <c r="CV145" s="1097">
        <f t="shared" si="121"/>
        <v>0</v>
      </c>
      <c r="CW145" s="1103" t="e">
        <f t="shared" si="122"/>
        <v>#DIV/0!</v>
      </c>
      <c r="CX145" s="1097"/>
      <c r="CY145" s="1097"/>
      <c r="CZ145" s="1097"/>
      <c r="DA145" s="1097"/>
      <c r="DB145" s="1097"/>
      <c r="DD145" s="1104" t="e">
        <f t="shared" si="123"/>
        <v>#DIV/0!</v>
      </c>
      <c r="DH145" s="1097">
        <v>0</v>
      </c>
      <c r="DI145" s="1097">
        <v>0</v>
      </c>
      <c r="DJ145" s="1097">
        <f t="shared" si="124"/>
        <v>0</v>
      </c>
      <c r="DL145" s="1105">
        <f>M145*X145/1000</f>
        <v>0</v>
      </c>
      <c r="DM145" s="1105">
        <f>S145*AE145/1000</f>
        <v>0</v>
      </c>
      <c r="DN145" s="1105">
        <f>DL145+DM145</f>
        <v>0</v>
      </c>
    </row>
    <row r="146" spans="1:119" customFormat="1" ht="100.5" customHeight="1" thickBot="1">
      <c r="A146" s="28"/>
      <c r="B146" s="189"/>
      <c r="C146" s="189"/>
      <c r="D146" s="190"/>
      <c r="E146" s="189"/>
      <c r="F146" s="189"/>
      <c r="G146" s="189"/>
      <c r="H146" s="40"/>
      <c r="L146" s="40"/>
      <c r="N146" s="40"/>
      <c r="R146" s="40"/>
      <c r="T146" s="39"/>
      <c r="V146" s="925">
        <f>SUM(V14:V145)</f>
        <v>229868.45242771265</v>
      </c>
      <c r="W146" s="598"/>
      <c r="X146" s="599"/>
      <c r="Y146" s="599"/>
      <c r="Z146" s="599"/>
      <c r="AA146" s="599"/>
      <c r="AB146" s="599"/>
      <c r="AC146" s="925">
        <f>SUM(AC14:AC145)</f>
        <v>211433.06435548764</v>
      </c>
      <c r="AG146" s="39"/>
      <c r="AH146" s="601">
        <f>SUM(AH14:AH145)</f>
        <v>3631156.9236200885</v>
      </c>
      <c r="AJ146" s="601">
        <f>SUM(AJ14:AJ145)</f>
        <v>2066728.8604711229</v>
      </c>
      <c r="AK146" s="601">
        <f>SUM(AK14:AK145)</f>
        <v>441301.51678320026</v>
      </c>
      <c r="AL146" s="192" t="s">
        <v>976</v>
      </c>
      <c r="AM146" s="599">
        <v>32755.962</v>
      </c>
      <c r="AN146" s="1264">
        <f>AM146+AM144</f>
        <v>401354.08200000034</v>
      </c>
      <c r="AR146" s="122"/>
      <c r="AS146" s="113"/>
      <c r="AT146" s="113"/>
      <c r="AU146" s="113"/>
      <c r="AV146" s="113"/>
      <c r="AW146" s="113"/>
      <c r="AX146" s="113"/>
      <c r="AY146" s="113"/>
      <c r="AZ146" s="113"/>
      <c r="BA146" s="113"/>
      <c r="BB146" s="113"/>
      <c r="BC146" s="113"/>
      <c r="BD146" s="113"/>
      <c r="BE146" s="113"/>
      <c r="BF146" s="113"/>
      <c r="BG146" s="113"/>
      <c r="BH146" s="113"/>
      <c r="BI146" s="113"/>
      <c r="BJ146" s="161"/>
      <c r="BK146" s="161"/>
      <c r="BL146" s="113"/>
      <c r="BM146" s="113"/>
      <c r="BN146" s="113"/>
      <c r="BO146" s="113"/>
      <c r="BP146" s="113"/>
      <c r="BQ146" s="113"/>
      <c r="BR146" s="113"/>
      <c r="BS146" s="113"/>
      <c r="BT146" s="113"/>
      <c r="BU146" s="113"/>
      <c r="BV146" s="113"/>
      <c r="BW146" s="113"/>
      <c r="BX146" s="113"/>
      <c r="BY146" s="113"/>
      <c r="BZ146" s="113"/>
      <c r="CA146" s="113"/>
      <c r="CB146" s="113"/>
      <c r="CC146" s="119"/>
      <c r="CD146" s="119"/>
      <c r="CE146" s="119"/>
      <c r="CF146" s="113"/>
      <c r="CG146" s="619"/>
      <c r="CH146" s="619"/>
      <c r="CI146" s="113"/>
      <c r="CJ146" s="112"/>
      <c r="CK146" s="112"/>
      <c r="CL146" s="112"/>
      <c r="CM146" s="18">
        <f t="shared" ref="CM146:CM209" si="164">N146*AH146/1000</f>
        <v>0</v>
      </c>
      <c r="CN146" s="18">
        <f t="shared" ref="CN146:CN209" si="165">CM146-CL146</f>
        <v>0</v>
      </c>
      <c r="CO146" s="112"/>
      <c r="CP146" s="112"/>
      <c r="CQ146" s="112"/>
      <c r="CR146" s="112"/>
      <c r="CS146" s="112"/>
      <c r="CT146" s="112"/>
      <c r="CU146" s="112"/>
      <c r="CV146" s="112"/>
      <c r="CW146" s="843">
        <f t="shared" si="122"/>
        <v>0</v>
      </c>
      <c r="CX146" s="112"/>
      <c r="CY146" s="112"/>
      <c r="CZ146" s="112"/>
      <c r="DA146" s="112"/>
      <c r="DB146" s="112"/>
      <c r="DC146" s="113"/>
      <c r="DD146" s="119"/>
      <c r="DE146" s="113"/>
      <c r="DF146" s="113"/>
      <c r="DG146" s="113"/>
      <c r="DH146" s="112">
        <v>3665789.3969098451</v>
      </c>
      <c r="DI146" s="797">
        <v>2579522.2070310824</v>
      </c>
      <c r="DJ146" s="797">
        <f t="shared" si="124"/>
        <v>1086267.1898787627</v>
      </c>
      <c r="DK146" s="113"/>
      <c r="DL146" s="618">
        <f>M146*X146/1000</f>
        <v>0</v>
      </c>
      <c r="DM146" s="618">
        <f>S146*AE146/1000</f>
        <v>0</v>
      </c>
      <c r="DN146" s="618">
        <f>DL146+DM146</f>
        <v>0</v>
      </c>
      <c r="DO146" s="113"/>
    </row>
    <row r="147" spans="1:119" customFormat="1" ht="100.5" customHeight="1">
      <c r="A147" s="28"/>
      <c r="B147" s="189"/>
      <c r="C147" s="189"/>
      <c r="D147" s="190"/>
      <c r="E147" s="189"/>
      <c r="F147" s="189"/>
      <c r="G147" s="189"/>
      <c r="H147" s="40"/>
      <c r="L147" s="40"/>
      <c r="N147" s="40"/>
      <c r="R147" s="40"/>
      <c r="T147" s="39"/>
      <c r="V147" s="209"/>
      <c r="W147" s="191"/>
      <c r="Z147" s="39"/>
      <c r="AA147" s="39"/>
      <c r="AC147" s="602">
        <f>V146+AC146</f>
        <v>441301.51678320032</v>
      </c>
      <c r="AG147" s="39"/>
      <c r="AH147" s="39">
        <f t="shared" ref="AH147:BM147" si="166">SUM(AH14:AH145)</f>
        <v>3631156.9236200885</v>
      </c>
      <c r="AI147" s="39">
        <f t="shared" si="166"/>
        <v>568744.9233657656</v>
      </c>
      <c r="AJ147" s="39">
        <f t="shared" si="166"/>
        <v>2066728.8604711229</v>
      </c>
      <c r="AK147" s="39">
        <f t="shared" si="166"/>
        <v>441301.51678320026</v>
      </c>
      <c r="AL147" s="39">
        <f t="shared" si="166"/>
        <v>554381.62299999967</v>
      </c>
      <c r="AM147" s="39">
        <f t="shared" si="166"/>
        <v>699711.12000000034</v>
      </c>
      <c r="AN147" s="39">
        <f t="shared" si="166"/>
        <v>19905.739999999998</v>
      </c>
      <c r="AO147" s="39">
        <f t="shared" si="166"/>
        <v>4346919.4836200895</v>
      </c>
      <c r="AP147" s="39">
        <f t="shared" si="166"/>
        <v>4327013.7436200893</v>
      </c>
      <c r="AQ147" s="39">
        <f t="shared" si="166"/>
        <v>3627302.6236200887</v>
      </c>
      <c r="AR147" s="39">
        <f t="shared" si="166"/>
        <v>2248.3053133333274</v>
      </c>
      <c r="AS147" s="39">
        <f t="shared" si="166"/>
        <v>1213272318.7283487</v>
      </c>
      <c r="AT147" s="39">
        <f t="shared" si="166"/>
        <v>3273474452.986639</v>
      </c>
      <c r="AU147" s="39">
        <f t="shared" si="166"/>
        <v>621919722.55726218</v>
      </c>
      <c r="AV147" s="39">
        <f t="shared" si="166"/>
        <v>931853680.60262859</v>
      </c>
      <c r="AW147" s="39">
        <f t="shared" si="166"/>
        <v>753950540.55320549</v>
      </c>
      <c r="AX147" s="39">
        <f t="shared" si="166"/>
        <v>6784190265.8494043</v>
      </c>
      <c r="AY147" s="39">
        <f t="shared" si="166"/>
        <v>6031530229.8074722</v>
      </c>
      <c r="AZ147" s="39">
        <f t="shared" si="166"/>
        <v>2374867105.3195448</v>
      </c>
      <c r="BA147" s="39">
        <f t="shared" si="166"/>
        <v>4628052704.2621546</v>
      </c>
      <c r="BB147" s="39">
        <f t="shared" si="166"/>
        <v>1752808859.9264195</v>
      </c>
      <c r="BC147" s="39">
        <f t="shared" si="166"/>
        <v>1583419262.9745853</v>
      </c>
      <c r="BD147" s="39">
        <f t="shared" si="166"/>
        <v>1920051852.5114202</v>
      </c>
      <c r="BE147" s="39">
        <f t="shared" si="166"/>
        <v>8411944310.3572149</v>
      </c>
      <c r="BF147" s="39">
        <f t="shared" si="166"/>
        <v>6975309295.1450548</v>
      </c>
      <c r="BG147" s="39">
        <f t="shared" si="166"/>
        <v>47396.994863170374</v>
      </c>
      <c r="BH147" s="39">
        <f t="shared" si="166"/>
        <v>38778.085709126164</v>
      </c>
      <c r="BI147" s="39">
        <f t="shared" si="166"/>
        <v>233029.3579551052</v>
      </c>
      <c r="BJ147" s="39">
        <f t="shared" si="166"/>
        <v>7918400.3213615865</v>
      </c>
      <c r="BK147" s="39">
        <f t="shared" si="166"/>
        <v>9703463.0892654024</v>
      </c>
      <c r="BL147" s="39">
        <f t="shared" si="166"/>
        <v>1813758467.5504899</v>
      </c>
      <c r="BM147" s="39">
        <f t="shared" si="166"/>
        <v>3099021919.0979843</v>
      </c>
      <c r="BN147" s="39">
        <f t="shared" ref="BN147:DG147" si="167">SUM(BN14:BN145)</f>
        <v>329221915.59859264</v>
      </c>
      <c r="BO147" s="39">
        <f t="shared" si="167"/>
        <v>592734902.36167645</v>
      </c>
      <c r="BP147" s="39">
        <f t="shared" si="167"/>
        <v>424738361.03309256</v>
      </c>
      <c r="BQ147" s="39">
        <f t="shared" si="167"/>
        <v>4043013184.8088026</v>
      </c>
      <c r="BR147" s="39">
        <f t="shared" si="167"/>
        <v>3618274823.7757101</v>
      </c>
      <c r="BS147" s="39">
        <f t="shared" si="167"/>
        <v>491462971.92944306</v>
      </c>
      <c r="BT147" s="39">
        <f t="shared" si="167"/>
        <v>1424527336.5836527</v>
      </c>
      <c r="BU147" s="39">
        <f t="shared" si="167"/>
        <v>317504280.73222566</v>
      </c>
      <c r="BV147" s="39">
        <f t="shared" si="167"/>
        <v>623315191.45306671</v>
      </c>
      <c r="BW147" s="39">
        <f t="shared" si="167"/>
        <v>343852857.8803857</v>
      </c>
      <c r="BX147" s="39">
        <f t="shared" si="167"/>
        <v>3195321494.782774</v>
      </c>
      <c r="BY147" s="39">
        <f t="shared" si="167"/>
        <v>2851468636.9023886</v>
      </c>
      <c r="BZ147" s="39">
        <f t="shared" si="167"/>
        <v>3386381077.4608173</v>
      </c>
      <c r="CA147" s="39">
        <f t="shared" si="167"/>
        <v>646626681.91481829</v>
      </c>
      <c r="CB147" s="39">
        <f t="shared" si="167"/>
        <v>4033007759.3756356</v>
      </c>
      <c r="CC147" s="39" t="e">
        <f t="shared" si="167"/>
        <v>#DIV/0!</v>
      </c>
      <c r="CD147" s="39" t="e">
        <f t="shared" si="167"/>
        <v>#DIV/0!</v>
      </c>
      <c r="CE147" s="39" t="e">
        <f t="shared" si="167"/>
        <v>#DIV/0!</v>
      </c>
      <c r="CF147" s="39" t="e">
        <f t="shared" si="167"/>
        <v>#DIV/0!</v>
      </c>
      <c r="CG147" s="39">
        <f t="shared" si="167"/>
        <v>5099721185.2998447</v>
      </c>
      <c r="CH147" s="39" t="e">
        <f t="shared" si="167"/>
        <v>#DIV/0!</v>
      </c>
      <c r="CI147" s="39">
        <f t="shared" si="167"/>
        <v>0</v>
      </c>
      <c r="CJ147" s="39">
        <f t="shared" si="167"/>
        <v>4707259.4176735757</v>
      </c>
      <c r="CK147" s="39">
        <f t="shared" si="167"/>
        <v>3201598.4229974342</v>
      </c>
      <c r="CL147" s="780">
        <f t="shared" si="167"/>
        <v>7946945.4060758138</v>
      </c>
      <c r="CM147" s="18">
        <f t="shared" si="164"/>
        <v>0</v>
      </c>
      <c r="CN147" s="18">
        <f t="shared" si="165"/>
        <v>-7946945.4060758138</v>
      </c>
      <c r="CO147" s="39">
        <f t="shared" si="167"/>
        <v>7643388638.2915983</v>
      </c>
      <c r="CP147" s="777">
        <f t="shared" si="167"/>
        <v>7091391815.646246</v>
      </c>
      <c r="CQ147" s="39">
        <f t="shared" si="167"/>
        <v>7107237598.1258602</v>
      </c>
      <c r="CR147" s="778">
        <f t="shared" si="167"/>
        <v>4225709048.1609631</v>
      </c>
      <c r="CS147" s="39">
        <f t="shared" si="167"/>
        <v>7610902557.5845423</v>
      </c>
      <c r="CT147" s="122">
        <f t="shared" si="167"/>
        <v>7618611501.5294819</v>
      </c>
      <c r="CU147" s="778">
        <f t="shared" si="167"/>
        <v>3077650634.9647269</v>
      </c>
      <c r="CV147" s="39">
        <f t="shared" si="167"/>
        <v>14702294373.230793</v>
      </c>
      <c r="CW147" s="840" t="e">
        <f t="shared" si="167"/>
        <v>#DIV/0!</v>
      </c>
      <c r="CX147" s="39">
        <f t="shared" si="167"/>
        <v>4757279451.6063051</v>
      </c>
      <c r="CY147" s="39">
        <f t="shared" si="167"/>
        <v>5158516186.3617363</v>
      </c>
      <c r="CZ147" s="39">
        <f t="shared" si="167"/>
        <v>0</v>
      </c>
      <c r="DA147" s="39">
        <f t="shared" si="167"/>
        <v>7481145604.7973042</v>
      </c>
      <c r="DB147" s="39">
        <f t="shared" si="167"/>
        <v>7879902808.1607094</v>
      </c>
      <c r="DC147" s="39">
        <f t="shared" si="167"/>
        <v>0</v>
      </c>
      <c r="DD147" s="39" t="e">
        <f t="shared" si="167"/>
        <v>#DIV/0!</v>
      </c>
      <c r="DE147" s="39">
        <f t="shared" si="167"/>
        <v>0</v>
      </c>
      <c r="DF147" s="39">
        <f t="shared" si="167"/>
        <v>0</v>
      </c>
      <c r="DG147" s="39">
        <f t="shared" si="167"/>
        <v>0</v>
      </c>
      <c r="DH147" s="39">
        <v>3665789.3969098451</v>
      </c>
      <c r="DI147" s="797">
        <v>2579522.2070310824</v>
      </c>
      <c r="DJ147" s="797">
        <f>DH147-DI147</f>
        <v>1086267.1898787627</v>
      </c>
      <c r="DK147" s="39">
        <f>SUM(DK14:DK145)</f>
        <v>0</v>
      </c>
      <c r="DL147" s="39">
        <f>SUM(DL14:DL145)</f>
        <v>424738.3610330926</v>
      </c>
      <c r="DM147" s="39">
        <f>SUM(DM14:DM145)</f>
        <v>343852.85788038571</v>
      </c>
      <c r="DN147" s="780">
        <f>SUM(DN14:DN145)</f>
        <v>768591.21891347831</v>
      </c>
      <c r="DO147" s="113"/>
    </row>
    <row r="148" spans="1:119" customFormat="1" ht="100.5" customHeight="1">
      <c r="A148" s="28"/>
      <c r="B148" s="189"/>
      <c r="C148" s="189"/>
      <c r="D148" s="190"/>
      <c r="E148" s="189"/>
      <c r="F148" s="189"/>
      <c r="G148" s="189"/>
      <c r="H148" s="40">
        <f>H144/1.2</f>
        <v>251</v>
      </c>
      <c r="L148" s="40"/>
      <c r="N148" s="40"/>
      <c r="R148" s="40"/>
      <c r="T148" s="39"/>
      <c r="U148" s="39"/>
      <c r="V148" s="39">
        <f>(O33-P33)/1.2*U33/1000</f>
        <v>5793.3556998832737</v>
      </c>
      <c r="W148" s="39"/>
      <c r="X148" s="39"/>
      <c r="Y148" s="39"/>
      <c r="Z148" s="773"/>
      <c r="AA148" s="39"/>
      <c r="AB148" s="39"/>
      <c r="AC148" s="39"/>
      <c r="AD148" s="39"/>
      <c r="AE148" s="39"/>
      <c r="AF148" s="39"/>
      <c r="AG148" s="1265" t="s">
        <v>977</v>
      </c>
      <c r="AH148" s="1266">
        <f>327106.01+9299.11</f>
        <v>336405.12</v>
      </c>
      <c r="AI148" s="1266"/>
      <c r="AJ148" s="39"/>
      <c r="AK148" s="39"/>
      <c r="AL148" s="39"/>
      <c r="AM148" s="39">
        <v>327106.01</v>
      </c>
      <c r="AN148" s="39"/>
      <c r="AO148" s="39"/>
      <c r="AP148" s="39"/>
      <c r="AQ148" s="39"/>
      <c r="AR148" s="122"/>
      <c r="AS148" s="113"/>
      <c r="AT148" s="113"/>
      <c r="AU148" s="113"/>
      <c r="AV148" s="113"/>
      <c r="AW148" s="113"/>
      <c r="AX148" s="113"/>
      <c r="AY148" s="113"/>
      <c r="AZ148" s="113"/>
      <c r="BA148" s="113"/>
      <c r="BB148" s="113"/>
      <c r="BC148" s="113"/>
      <c r="BD148" s="113"/>
      <c r="BE148" s="113"/>
      <c r="BF148" s="113"/>
      <c r="BG148" s="113"/>
      <c r="BH148" s="39"/>
      <c r="BI148" s="775"/>
      <c r="BJ148" s="161"/>
      <c r="BK148" s="161"/>
      <c r="BL148" s="113"/>
      <c r="BM148" s="113"/>
      <c r="BN148" s="113"/>
      <c r="BO148" s="113"/>
      <c r="BP148" s="113"/>
      <c r="BQ148" s="113"/>
      <c r="BR148" s="113"/>
      <c r="BS148" s="113"/>
      <c r="BT148" s="113"/>
      <c r="BU148" s="113"/>
      <c r="BV148" s="113"/>
      <c r="BW148" s="113"/>
      <c r="BX148" s="113"/>
      <c r="BY148" s="113"/>
      <c r="BZ148" s="113"/>
      <c r="CA148" s="113"/>
      <c r="CB148" s="113"/>
      <c r="CC148" s="119"/>
      <c r="CD148" s="119"/>
      <c r="CE148" s="119"/>
      <c r="CF148" s="113"/>
      <c r="CG148" s="619"/>
      <c r="CH148" s="619"/>
      <c r="CI148" s="113"/>
      <c r="CJ148" s="112"/>
      <c r="CK148" s="112"/>
      <c r="CL148" s="779"/>
      <c r="CM148" s="18">
        <f>N148*AM146/1000</f>
        <v>0</v>
      </c>
      <c r="CN148" s="18">
        <f t="shared" si="165"/>
        <v>0</v>
      </c>
      <c r="CO148" s="112"/>
      <c r="CP148" s="112"/>
      <c r="CQ148" s="112"/>
      <c r="CR148" s="112"/>
      <c r="CS148" s="112"/>
      <c r="CT148" s="112"/>
      <c r="CU148" s="701">
        <f>CU147+CR147</f>
        <v>7303359683.1256905</v>
      </c>
      <c r="CV148" s="112"/>
      <c r="CW148" s="839"/>
      <c r="CX148" s="112"/>
      <c r="CY148" s="112"/>
      <c r="CZ148" s="112"/>
      <c r="DA148" s="112"/>
      <c r="DB148" s="112"/>
      <c r="DC148" s="113"/>
      <c r="DD148" s="119"/>
      <c r="DE148" s="113"/>
      <c r="DF148" s="113"/>
      <c r="DG148" s="113"/>
      <c r="DH148" s="797"/>
      <c r="DI148" s="797"/>
      <c r="DJ148" s="823"/>
      <c r="DK148" s="113"/>
      <c r="DL148" s="618">
        <f>M148*X148/1000</f>
        <v>0</v>
      </c>
      <c r="DM148" s="618">
        <f>S148*AE148/1000</f>
        <v>0</v>
      </c>
      <c r="DN148" s="618">
        <f>DL148+DM148</f>
        <v>0</v>
      </c>
      <c r="DO148" s="113"/>
    </row>
    <row r="149" spans="1:119" customFormat="1" ht="100.5" customHeight="1">
      <c r="A149" s="28"/>
      <c r="B149" s="189"/>
      <c r="C149" s="189"/>
      <c r="D149" s="190"/>
      <c r="E149" s="189"/>
      <c r="F149" s="189"/>
      <c r="G149" s="189"/>
      <c r="H149" s="40"/>
      <c r="L149" s="40"/>
      <c r="N149" s="40"/>
      <c r="R149" s="40"/>
      <c r="T149" s="39"/>
      <c r="U149" s="39"/>
      <c r="V149" s="39">
        <f>+(O33-Q33)*V33/1000</f>
        <v>1447.315359511708</v>
      </c>
      <c r="W149" s="39"/>
      <c r="X149" s="773"/>
      <c r="Y149" s="39"/>
      <c r="Z149" s="39"/>
      <c r="AA149" s="39"/>
      <c r="AB149" s="39"/>
      <c r="AC149" s="39"/>
      <c r="AD149" s="39"/>
      <c r="AE149" s="39"/>
      <c r="AF149" s="39"/>
      <c r="AG149" s="1265" t="s">
        <v>978</v>
      </c>
      <c r="AH149" s="1266">
        <v>4149.16</v>
      </c>
      <c r="AI149" s="1266"/>
      <c r="AJ149" s="39"/>
      <c r="AK149" s="39"/>
      <c r="AL149" s="39"/>
      <c r="AM149" s="39">
        <v>9299.11</v>
      </c>
      <c r="AN149" s="39"/>
      <c r="AO149" s="39"/>
      <c r="AP149" s="39"/>
      <c r="AQ149" s="39"/>
      <c r="AR149" s="122"/>
      <c r="AS149" s="113"/>
      <c r="AT149" s="113"/>
      <c r="AU149" s="113"/>
      <c r="AV149" s="113"/>
      <c r="AW149" s="113"/>
      <c r="AX149" s="113"/>
      <c r="AY149" s="113"/>
      <c r="AZ149" s="113"/>
      <c r="BA149" s="113"/>
      <c r="BB149" s="113"/>
      <c r="BC149" s="113"/>
      <c r="BD149" s="113"/>
      <c r="BE149" s="113"/>
      <c r="BF149" s="113"/>
      <c r="BG149" s="113"/>
      <c r="BH149" s="113"/>
      <c r="BI149" s="113"/>
      <c r="BJ149" s="161"/>
      <c r="BK149" s="161"/>
      <c r="BL149" s="113"/>
      <c r="BM149" s="113"/>
      <c r="BN149" s="113"/>
      <c r="BO149" s="113"/>
      <c r="BP149" s="113"/>
      <c r="BQ149" s="113"/>
      <c r="BR149" s="113"/>
      <c r="BS149" s="113"/>
      <c r="BT149" s="113"/>
      <c r="BU149" s="113"/>
      <c r="BV149" s="113"/>
      <c r="BW149" s="113"/>
      <c r="BX149" s="113"/>
      <c r="BY149" s="113"/>
      <c r="BZ149" s="113"/>
      <c r="CA149" s="113"/>
      <c r="CB149" s="113"/>
      <c r="CC149" s="119"/>
      <c r="CD149" s="119"/>
      <c r="CE149" s="119"/>
      <c r="CF149" s="113"/>
      <c r="CG149" s="619"/>
      <c r="CH149" s="619"/>
      <c r="CI149" s="113"/>
      <c r="CJ149" s="112"/>
      <c r="CK149" s="112"/>
      <c r="CL149" s="779">
        <f>CU148/1000</f>
        <v>7303359.6831256906</v>
      </c>
      <c r="CM149" s="18" t="e">
        <f>N149*#REF!/1000</f>
        <v>#REF!</v>
      </c>
      <c r="CN149" s="18" t="e">
        <f t="shared" si="165"/>
        <v>#REF!</v>
      </c>
      <c r="CO149" s="112"/>
      <c r="CP149" s="112"/>
      <c r="CQ149" s="112"/>
      <c r="CR149" s="112"/>
      <c r="CS149" s="112"/>
      <c r="CT149" s="112"/>
      <c r="CU149" s="779">
        <f>CL147-CL149</f>
        <v>643585.72295012325</v>
      </c>
      <c r="CV149" s="112"/>
      <c r="CW149" s="839"/>
      <c r="CX149" s="112"/>
      <c r="CY149" s="112"/>
      <c r="CZ149" s="112"/>
      <c r="DA149" s="112"/>
      <c r="DB149" s="112"/>
      <c r="DC149" s="113"/>
      <c r="DD149" s="119"/>
      <c r="DE149" s="113"/>
      <c r="DF149" s="113"/>
      <c r="DG149" s="113"/>
      <c r="DH149" s="797"/>
      <c r="DI149" s="797"/>
      <c r="DJ149" s="823"/>
      <c r="DK149" s="113"/>
      <c r="DL149" s="618">
        <f>M149*X149/1000</f>
        <v>0</v>
      </c>
      <c r="DM149" s="618">
        <f>S149*AE149/1000</f>
        <v>0</v>
      </c>
      <c r="DN149" s="618">
        <f>DL149+DM149</f>
        <v>0</v>
      </c>
      <c r="DO149" s="113"/>
    </row>
    <row r="150" spans="1:119" customFormat="1" ht="100.5" customHeight="1">
      <c r="A150" s="20">
        <f>A145+1</f>
        <v>127</v>
      </c>
      <c r="B150" s="3"/>
      <c r="C150" s="4"/>
      <c r="D150" s="4"/>
      <c r="E150" s="4"/>
      <c r="F150" s="4"/>
      <c r="G150" s="4"/>
      <c r="I150" s="34"/>
      <c r="J150" s="687"/>
      <c r="T150" s="31"/>
      <c r="U150" s="6"/>
      <c r="V150" s="228"/>
      <c r="AA150" s="31"/>
      <c r="AB150" s="6"/>
      <c r="AC150" s="228"/>
      <c r="AD150" s="24"/>
      <c r="AG150" s="1265" t="s">
        <v>979</v>
      </c>
      <c r="AH150" s="1266">
        <v>32755.962</v>
      </c>
      <c r="AI150" s="1266"/>
      <c r="AJ150" s="4">
        <f t="shared" ref="AJ150:AQ150" si="168">SUM(AJ14:AJ145)</f>
        <v>2066728.8604711229</v>
      </c>
      <c r="AK150" s="4">
        <f t="shared" si="168"/>
        <v>441301.51678320026</v>
      </c>
      <c r="AL150" s="4">
        <f t="shared" si="168"/>
        <v>554381.62299999967</v>
      </c>
      <c r="AM150" s="4">
        <f t="shared" si="168"/>
        <v>699711.12000000034</v>
      </c>
      <c r="AN150" s="4">
        <f t="shared" si="168"/>
        <v>19905.739999999998</v>
      </c>
      <c r="AO150" s="4">
        <f t="shared" si="168"/>
        <v>4346919.4836200895</v>
      </c>
      <c r="AP150" s="4">
        <f t="shared" si="168"/>
        <v>4327013.7436200893</v>
      </c>
      <c r="AQ150" s="4">
        <f t="shared" si="168"/>
        <v>3627302.6236200887</v>
      </c>
      <c r="AR150" s="129"/>
      <c r="AS150" s="129">
        <f t="shared" ref="AS150:BI150" si="169">SUM(AS14:AS145)</f>
        <v>1213272318.7283487</v>
      </c>
      <c r="AT150" s="129">
        <f t="shared" si="169"/>
        <v>3273474452.986639</v>
      </c>
      <c r="AU150" s="129">
        <f t="shared" si="169"/>
        <v>621919722.55726218</v>
      </c>
      <c r="AV150" s="129">
        <f t="shared" si="169"/>
        <v>931853680.60262859</v>
      </c>
      <c r="AW150" s="129">
        <f t="shared" si="169"/>
        <v>753950540.55320549</v>
      </c>
      <c r="AX150" s="129">
        <f t="shared" si="169"/>
        <v>6784190265.8494043</v>
      </c>
      <c r="AY150" s="129">
        <f t="shared" si="169"/>
        <v>6031530229.8074722</v>
      </c>
      <c r="AZ150" s="129">
        <f t="shared" si="169"/>
        <v>2374867105.3195448</v>
      </c>
      <c r="BA150" s="129">
        <f t="shared" si="169"/>
        <v>4628052704.2621546</v>
      </c>
      <c r="BB150" s="129">
        <f t="shared" si="169"/>
        <v>1752808859.9264195</v>
      </c>
      <c r="BC150" s="129">
        <f t="shared" si="169"/>
        <v>1583419262.9745853</v>
      </c>
      <c r="BD150" s="129">
        <f t="shared" si="169"/>
        <v>1920051852.5114202</v>
      </c>
      <c r="BE150" s="129">
        <f t="shared" si="169"/>
        <v>8411944310.3572149</v>
      </c>
      <c r="BF150" s="129">
        <f t="shared" si="169"/>
        <v>6975309295.1450548</v>
      </c>
      <c r="BG150" s="129">
        <f t="shared" si="169"/>
        <v>47396.994863170374</v>
      </c>
      <c r="BH150" s="129">
        <f t="shared" si="169"/>
        <v>38778.085709126164</v>
      </c>
      <c r="BI150" s="129">
        <f t="shared" si="169"/>
        <v>233029.3579551052</v>
      </c>
      <c r="BJ150" s="129"/>
      <c r="BK150" s="129"/>
      <c r="BL150" s="129">
        <f t="shared" ref="BL150:CA150" si="170">SUM(BL14:BL145)/1000</f>
        <v>1813758.4675504898</v>
      </c>
      <c r="BM150" s="129">
        <f t="shared" si="170"/>
        <v>3099021.9190979842</v>
      </c>
      <c r="BN150" s="129">
        <f t="shared" si="170"/>
        <v>329221.91559859266</v>
      </c>
      <c r="BO150" s="129">
        <f t="shared" si="170"/>
        <v>592734.90236167645</v>
      </c>
      <c r="BP150" s="129">
        <f t="shared" si="170"/>
        <v>424738.36103309254</v>
      </c>
      <c r="BQ150" s="129">
        <f t="shared" si="170"/>
        <v>4043013.1848088028</v>
      </c>
      <c r="BR150" s="129">
        <f t="shared" si="170"/>
        <v>3618274.8237757101</v>
      </c>
      <c r="BS150" s="129">
        <f t="shared" si="170"/>
        <v>491462.97192944307</v>
      </c>
      <c r="BT150" s="129">
        <f t="shared" si="170"/>
        <v>1424527.3365836528</v>
      </c>
      <c r="BU150" s="129">
        <f t="shared" si="170"/>
        <v>317504.28073222568</v>
      </c>
      <c r="BV150" s="129">
        <f t="shared" si="170"/>
        <v>623315.19145306665</v>
      </c>
      <c r="BW150" s="129">
        <f t="shared" si="170"/>
        <v>343852.85788038571</v>
      </c>
      <c r="BX150" s="129">
        <f t="shared" si="170"/>
        <v>3195321.4947827738</v>
      </c>
      <c r="BY150" s="129">
        <f t="shared" si="170"/>
        <v>2851468.6369023887</v>
      </c>
      <c r="BZ150" s="129">
        <f t="shared" si="170"/>
        <v>3386381.0774608175</v>
      </c>
      <c r="CA150" s="129">
        <f t="shared" si="170"/>
        <v>646626.68191481824</v>
      </c>
      <c r="CB150" s="129">
        <f>SUM(CB14:CB145)</f>
        <v>4033007759.3756356</v>
      </c>
      <c r="CC150" s="119">
        <f>BZ150/AJ150*1000</f>
        <v>1638.5221797739218</v>
      </c>
      <c r="CD150" s="119">
        <f>CA150/AK150*1000</f>
        <v>1465.2718318946745</v>
      </c>
      <c r="CE150" s="119">
        <f>CB150/AJ151</f>
        <v>1608.0378435411089</v>
      </c>
      <c r="CF150" s="113" t="e">
        <f>CB150/(U150+V150+#REF!+AC150)</f>
        <v>#REF!</v>
      </c>
      <c r="CG150" s="619">
        <f>SUM(CG14:CG145)</f>
        <v>5099721185.2998447</v>
      </c>
      <c r="CH150" s="128">
        <f>CG150/(AJ150+AK150)</f>
        <v>2033.3570245200883</v>
      </c>
      <c r="CI150" s="120"/>
      <c r="CJ150" s="118"/>
      <c r="CK150" s="118"/>
      <c r="CL150" s="118"/>
      <c r="CM150" s="18" t="e">
        <f>N150*#REF!/1000</f>
        <v>#REF!</v>
      </c>
      <c r="CN150" s="18" t="e">
        <f t="shared" si="165"/>
        <v>#REF!</v>
      </c>
      <c r="CO150" s="118">
        <f>SUM(CO14:CO145)</f>
        <v>7643388638.2915983</v>
      </c>
      <c r="CP150" s="118"/>
      <c r="CQ150" s="118"/>
      <c r="CR150" s="118"/>
      <c r="CS150" s="118"/>
      <c r="CT150" s="118"/>
      <c r="CU150" s="118"/>
      <c r="CV150" s="118"/>
      <c r="CW150" s="841"/>
      <c r="CX150" s="118"/>
      <c r="CY150" s="118"/>
      <c r="CZ150" s="118"/>
      <c r="DA150" s="118"/>
      <c r="DB150" s="118"/>
      <c r="DC150" s="120"/>
      <c r="DD150" s="128" t="e">
        <f t="shared" ref="DD150:DD155" si="171">N150/J150*100</f>
        <v>#DIV/0!</v>
      </c>
      <c r="DE150" s="120"/>
      <c r="DF150" s="120"/>
      <c r="DG150" s="120"/>
      <c r="DH150" s="118"/>
      <c r="DI150" s="118"/>
      <c r="DJ150" s="118"/>
      <c r="DK150" s="120"/>
      <c r="DL150" s="618">
        <f>M150*X150/1000</f>
        <v>0</v>
      </c>
      <c r="DM150" s="618">
        <f>S150*AE150/1000</f>
        <v>0</v>
      </c>
      <c r="DN150" s="618">
        <f>DL150+DM150</f>
        <v>0</v>
      </c>
      <c r="DO150" s="120"/>
    </row>
    <row r="151" spans="1:119" customFormat="1" ht="100.5" customHeight="1">
      <c r="A151" s="20">
        <f t="shared" ref="A151:A172" si="172">A150+1</f>
        <v>128</v>
      </c>
      <c r="B151" s="2"/>
      <c r="C151" s="2"/>
      <c r="D151" s="2"/>
      <c r="E151" s="2"/>
      <c r="F151" s="2"/>
      <c r="G151" s="2"/>
      <c r="I151" s="34"/>
      <c r="J151" s="688"/>
      <c r="K151" s="27"/>
      <c r="U151" s="30"/>
      <c r="V151" s="229"/>
      <c r="W151" s="30"/>
      <c r="Z151" s="30"/>
      <c r="AB151" s="30"/>
      <c r="AC151" s="229">
        <f>SUM(AC14:AC145)</f>
        <v>211433.06435548764</v>
      </c>
      <c r="AD151" s="30">
        <f>SUM(AD14:AD145)</f>
        <v>200292.29825804796</v>
      </c>
      <c r="AG151" s="1265" t="s">
        <v>980</v>
      </c>
      <c r="AH151" s="1266">
        <f>AH148-AH149-AH150</f>
        <v>299499.99800000002</v>
      </c>
      <c r="AI151" s="1266">
        <v>299499.99799999991</v>
      </c>
      <c r="AJ151" s="25">
        <f>AJ150+AK150</f>
        <v>2508030.3772543231</v>
      </c>
      <c r="AQ151" s="9">
        <f>AJ151/AQ150*100</f>
        <v>69.143124726419458</v>
      </c>
      <c r="AR151" s="128" t="e">
        <f>#REF!-AQ152</f>
        <v>#REF!</v>
      </c>
      <c r="AS151" s="106"/>
      <c r="AT151" s="106"/>
      <c r="AU151" s="130"/>
      <c r="AV151" s="106"/>
      <c r="AW151" s="106"/>
      <c r="AX151" s="106"/>
      <c r="AY151" s="106"/>
      <c r="AZ151" s="130"/>
      <c r="BA151" s="106"/>
      <c r="BB151" s="130"/>
      <c r="BC151" s="106"/>
      <c r="BD151" s="106"/>
      <c r="BE151" s="106"/>
      <c r="BF151" s="106"/>
      <c r="BG151" s="106"/>
      <c r="BH151" s="106"/>
      <c r="BI151" s="106"/>
      <c r="BJ151" s="106"/>
      <c r="BK151" s="106"/>
      <c r="BL151" s="106"/>
      <c r="BM151" s="106"/>
      <c r="BN151" s="106"/>
      <c r="BO151" s="106"/>
      <c r="BP151" s="106"/>
      <c r="BQ151" s="106"/>
      <c r="BR151" s="106"/>
      <c r="BS151" s="106"/>
      <c r="BT151" s="106"/>
      <c r="BU151" s="106"/>
      <c r="BV151" s="106"/>
      <c r="BW151" s="106"/>
      <c r="BX151" s="106"/>
      <c r="BY151" s="106"/>
      <c r="BZ151" s="130">
        <f>BZ150/AJ150*1000</f>
        <v>1638.5221797739218</v>
      </c>
      <c r="CA151" s="128">
        <f>CA150/AK150*1000</f>
        <v>1465.2718318946745</v>
      </c>
      <c r="CB151" s="128">
        <f>CB150/AJ151</f>
        <v>1608.0378435411089</v>
      </c>
      <c r="CC151" s="106">
        <f>BZ151/AJ151*1000</f>
        <v>0.65331034051018988</v>
      </c>
      <c r="CD151" s="106"/>
      <c r="CE151" s="120" t="e">
        <f>SUM(CE14:CE150)</f>
        <v>#DIV/0!</v>
      </c>
      <c r="CF151" s="106"/>
      <c r="CG151" s="106"/>
      <c r="CH151" s="106"/>
      <c r="CI151" s="106"/>
      <c r="CJ151" s="112">
        <f>SUM(CJ14:CJ145)</f>
        <v>4707259.4176735757</v>
      </c>
      <c r="CK151" s="112">
        <f>SUM(CK14:CK145)</f>
        <v>3201598.4229974342</v>
      </c>
      <c r="CL151" s="112">
        <f>SUM(CL14:CL145)</f>
        <v>7946945.4060758138</v>
      </c>
      <c r="CM151" s="18" t="e">
        <f>N151*#REF!/1000</f>
        <v>#REF!</v>
      </c>
      <c r="CN151" s="18" t="e">
        <f t="shared" si="165"/>
        <v>#REF!</v>
      </c>
      <c r="CO151" s="112"/>
      <c r="CP151" s="112">
        <f t="shared" ref="CP151:DB151" si="173">SUM(CP14:CP150)</f>
        <v>14182783631.292492</v>
      </c>
      <c r="CQ151" s="112">
        <f t="shared" si="173"/>
        <v>14214475196.25172</v>
      </c>
      <c r="CR151" s="112">
        <f t="shared" si="173"/>
        <v>8451418096.3219261</v>
      </c>
      <c r="CS151" s="112">
        <f t="shared" si="173"/>
        <v>15221805115.169085</v>
      </c>
      <c r="CT151" s="112">
        <f t="shared" si="173"/>
        <v>15237223003.058964</v>
      </c>
      <c r="CU151" s="112">
        <f t="shared" si="173"/>
        <v>13459304538.778095</v>
      </c>
      <c r="CV151" s="112">
        <f t="shared" si="173"/>
        <v>29404588746.461586</v>
      </c>
      <c r="CW151" s="837" t="e">
        <f t="shared" si="173"/>
        <v>#DIV/0!</v>
      </c>
      <c r="CX151" s="118">
        <f t="shared" si="173"/>
        <v>9514558903.2126102</v>
      </c>
      <c r="CY151" s="118">
        <f t="shared" si="173"/>
        <v>10317032372.723473</v>
      </c>
      <c r="CZ151" s="118">
        <f t="shared" si="173"/>
        <v>0</v>
      </c>
      <c r="DA151" s="118">
        <f t="shared" si="173"/>
        <v>14962291209.594608</v>
      </c>
      <c r="DB151" s="118">
        <f t="shared" si="173"/>
        <v>15759805616.321419</v>
      </c>
      <c r="DC151" s="106"/>
      <c r="DD151" s="128" t="e">
        <f t="shared" si="171"/>
        <v>#DIV/0!</v>
      </c>
      <c r="DE151" s="106"/>
      <c r="DF151" s="106"/>
      <c r="DG151" s="106"/>
      <c r="DH151" s="112"/>
      <c r="DI151" s="112"/>
      <c r="DJ151" s="112"/>
      <c r="DK151" s="106"/>
      <c r="DL151" s="618">
        <f>M151*X151/1000</f>
        <v>0</v>
      </c>
      <c r="DM151" s="618">
        <f>S151*AE151/1000</f>
        <v>0</v>
      </c>
      <c r="DN151" s="618">
        <f>DL151+DM151</f>
        <v>0</v>
      </c>
      <c r="DO151" s="106"/>
    </row>
    <row r="152" spans="1:119" customFormat="1" ht="100.5" customHeight="1">
      <c r="A152" s="20">
        <f t="shared" si="172"/>
        <v>129</v>
      </c>
      <c r="B152" s="2"/>
      <c r="C152" s="2"/>
      <c r="D152" s="2"/>
      <c r="E152" s="2"/>
      <c r="F152" s="2"/>
      <c r="G152" s="2"/>
      <c r="I152" s="34"/>
      <c r="AG152" s="1267"/>
      <c r="AJ152" s="8"/>
      <c r="AL152" s="25"/>
      <c r="AQ152" s="8">
        <f>SUM(AQ14:AQ144)</f>
        <v>3627302.6236200887</v>
      </c>
      <c r="AR152" s="106"/>
      <c r="AS152" s="131" t="e">
        <f>AS150/#REF!</f>
        <v>#REF!</v>
      </c>
      <c r="AT152" s="131">
        <f>AT150/AJ150</f>
        <v>1583.8915861659916</v>
      </c>
      <c r="AU152" s="131">
        <f>AU150/AK150</f>
        <v>1409.2852594086933</v>
      </c>
      <c r="AV152" s="131">
        <f>AV150/AL150</f>
        <v>1680.8884745492892</v>
      </c>
      <c r="AW152" s="131">
        <f>AW150/AM150</f>
        <v>1077.5168766121726</v>
      </c>
      <c r="AX152" s="131">
        <f>AX150/AP150</f>
        <v>1567.8688970776366</v>
      </c>
      <c r="AY152" s="689">
        <f>AY150/AQ150</f>
        <v>1662.8141778222898</v>
      </c>
      <c r="AZ152" s="131" t="e">
        <f>AZ150/#REF!</f>
        <v>#REF!</v>
      </c>
      <c r="BA152" s="131">
        <f>BA150/AJ150</f>
        <v>2239.3129513888739</v>
      </c>
      <c r="BB152" s="131">
        <f>BB150/AK150</f>
        <v>3971.9076261129826</v>
      </c>
      <c r="BC152" s="131">
        <f>BC150/AL150</f>
        <v>2856.1900273786423</v>
      </c>
      <c r="BD152" s="131">
        <f>BD150/AM150</f>
        <v>2744.0636537424461</v>
      </c>
      <c r="BE152" s="131">
        <f>BE150/AP150</f>
        <v>1944.0530603259811</v>
      </c>
      <c r="BF152" s="689">
        <f>BF150/AQ150</f>
        <v>1923.0017505910819</v>
      </c>
      <c r="BG152" s="106"/>
      <c r="BH152" s="106"/>
      <c r="BI152" s="106" t="s">
        <v>196</v>
      </c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28" t="e">
        <f>CE151/AJ151</f>
        <v>#DIV/0!</v>
      </c>
      <c r="CF152" s="128" t="e">
        <f>CE151/AJ151</f>
        <v>#DIV/0!</v>
      </c>
      <c r="CG152" s="106"/>
      <c r="CH152" s="132">
        <f>CB151/CH150*100</f>
        <v>79.082906944029517</v>
      </c>
      <c r="CI152" s="106"/>
      <c r="CJ152" s="131" t="e">
        <f>CJ151/Z151*1000</f>
        <v>#DIV/0!</v>
      </c>
      <c r="CK152" s="131" t="e">
        <f>CK151/#REF!*1000</f>
        <v>#REF!</v>
      </c>
      <c r="CL152" s="131">
        <f>CL151/AQ150*1000</f>
        <v>2190.8691473182553</v>
      </c>
      <c r="CM152" s="18" t="e">
        <f>N152*#REF!/1000</f>
        <v>#REF!</v>
      </c>
      <c r="CN152" s="18" t="e">
        <f t="shared" si="165"/>
        <v>#REF!</v>
      </c>
      <c r="CO152" s="133">
        <f>CO150/AQ150</f>
        <v>2107.1825076076534</v>
      </c>
      <c r="CP152" s="124">
        <f>CP151/AQ150</f>
        <v>3910.0083734226496</v>
      </c>
      <c r="CQ152" s="124">
        <f>CQ151/AQ150</f>
        <v>3918.7453243329101</v>
      </c>
      <c r="CR152" s="124" t="e">
        <f>CR151/Z151</f>
        <v>#DIV/0!</v>
      </c>
      <c r="CS152" s="124">
        <f>CS151/AQ150</f>
        <v>4196.453038146994</v>
      </c>
      <c r="CT152" s="124">
        <f>CT151/AQ150</f>
        <v>4200.7035486474088</v>
      </c>
      <c r="CU152" s="124" t="e">
        <f>CU151/#REF!</f>
        <v>#REF!</v>
      </c>
      <c r="CV152" s="134" t="e">
        <f>CV151/(#REF!+AQ150)</f>
        <v>#REF!</v>
      </c>
      <c r="CW152" s="837"/>
      <c r="CX152" s="135">
        <f>CX151/(AJ150+AK150)</f>
        <v>3793.6378241274388</v>
      </c>
      <c r="CY152" s="135">
        <f>CY151/(AJ150+AK150)</f>
        <v>4113.5994469166226</v>
      </c>
      <c r="CZ152" s="134">
        <f>(CX152+CY152)/2</f>
        <v>3953.6186355220307</v>
      </c>
      <c r="DA152" s="136">
        <f>DA151/AQ150</f>
        <v>4124.9084408242934</v>
      </c>
      <c r="DB152" s="136">
        <f>DB151/AQ150</f>
        <v>4344.7727558482438</v>
      </c>
      <c r="DC152" s="106"/>
      <c r="DD152" s="128" t="e">
        <f t="shared" si="171"/>
        <v>#DIV/0!</v>
      </c>
      <c r="DE152" s="106"/>
      <c r="DF152" s="106"/>
      <c r="DG152" s="106"/>
      <c r="DH152" s="131"/>
      <c r="DI152" s="131"/>
      <c r="DJ152" s="131"/>
      <c r="DK152" s="106"/>
      <c r="DM152" s="106"/>
      <c r="DN152" s="106"/>
      <c r="DO152" s="106"/>
    </row>
    <row r="153" spans="1:119" customFormat="1" ht="100.5" customHeight="1">
      <c r="A153" s="20">
        <f t="shared" si="172"/>
        <v>130</v>
      </c>
      <c r="B153" s="2"/>
      <c r="C153" s="2"/>
      <c r="D153" s="2"/>
      <c r="E153" s="2"/>
      <c r="F153" s="2"/>
      <c r="G153" s="2"/>
      <c r="I153" s="34"/>
      <c r="AI153" s="755">
        <f>AI151-AH151</f>
        <v>0</v>
      </c>
      <c r="AR153" s="106"/>
      <c r="AS153" s="137"/>
      <c r="AT153" s="1292">
        <f>(AT150+AU150)/(AJ150+AK150)</f>
        <v>1553.168658111869</v>
      </c>
      <c r="AU153" s="1292"/>
      <c r="AV153" s="137"/>
      <c r="AW153" s="137"/>
      <c r="AX153" s="137"/>
      <c r="AY153" s="137"/>
      <c r="AZ153" s="137"/>
      <c r="BA153" s="1292">
        <f>(BA150+BB150)/(AJ150+AK150)</f>
        <v>2544.1723601346685</v>
      </c>
      <c r="BB153" s="1292"/>
      <c r="BC153" s="137"/>
      <c r="BD153" s="137"/>
      <c r="BE153" s="137"/>
      <c r="BF153" s="137"/>
      <c r="BG153" s="106"/>
      <c r="BH153" s="106"/>
      <c r="BI153" s="106"/>
      <c r="BJ153" s="106"/>
      <c r="BK153" s="106"/>
      <c r="BL153" s="106"/>
      <c r="BM153" s="106"/>
      <c r="BN153" s="138">
        <f>BL150+BM150+BO150</f>
        <v>5505515.2890101504</v>
      </c>
      <c r="BO153" s="106"/>
      <c r="BP153" s="106"/>
      <c r="BQ153" s="106"/>
      <c r="BR153" s="106"/>
      <c r="BS153" s="106"/>
      <c r="BT153" s="106"/>
      <c r="BU153" s="130">
        <f>BS150+BT150+BV150</f>
        <v>2539305.4999661623</v>
      </c>
      <c r="BV153" s="106"/>
      <c r="BW153" s="106"/>
      <c r="BX153" s="106"/>
      <c r="BY153" s="106"/>
      <c r="BZ153" s="130"/>
      <c r="CA153" s="106"/>
      <c r="CB153" s="130">
        <f>BZ150+CA150</f>
        <v>4033007.7593756355</v>
      </c>
      <c r="CC153" s="106"/>
      <c r="CD153" s="106"/>
      <c r="CE153" s="106"/>
      <c r="CF153" s="106"/>
      <c r="CG153" s="106"/>
      <c r="CH153" s="106"/>
      <c r="CI153" s="106"/>
      <c r="CJ153" s="112"/>
      <c r="CK153" s="124" t="e">
        <f>CK152/CJ152*100</f>
        <v>#REF!</v>
      </c>
      <c r="CL153" s="112"/>
      <c r="CM153" s="18" t="e">
        <f>N153*#REF!/1000</f>
        <v>#REF!</v>
      </c>
      <c r="CN153" s="18" t="e">
        <f t="shared" si="165"/>
        <v>#REF!</v>
      </c>
      <c r="CO153" s="112"/>
      <c r="CP153" s="112"/>
      <c r="CQ153" s="112"/>
      <c r="CR153" s="112"/>
      <c r="CS153" s="124">
        <f>CS152/CP152*100</f>
        <v>107.32593481567415</v>
      </c>
      <c r="CT153" s="139">
        <f>CT152/CQ152*100</f>
        <v>107.19511478747337</v>
      </c>
      <c r="CU153" s="124" t="e">
        <f>CU152/CR152*100</f>
        <v>#REF!</v>
      </c>
      <c r="CV153" s="112"/>
      <c r="CW153" s="837"/>
      <c r="CX153" s="140"/>
      <c r="CY153" s="141">
        <f>CY152/CX152</f>
        <v>1.0843416366091239</v>
      </c>
      <c r="CZ153" s="134" t="e">
        <f>CZ151/(2*AJ152)</f>
        <v>#DIV/0!</v>
      </c>
      <c r="DA153" s="140"/>
      <c r="DB153" s="690">
        <f>DB152/DA152*100</f>
        <v>105.33016230973638</v>
      </c>
      <c r="DC153" s="106"/>
      <c r="DD153" s="128" t="e">
        <f t="shared" si="171"/>
        <v>#DIV/0!</v>
      </c>
      <c r="DE153" s="106"/>
      <c r="DF153" s="106"/>
      <c r="DG153" s="106"/>
      <c r="DH153" s="112"/>
      <c r="DI153" s="124"/>
      <c r="DJ153" s="112"/>
      <c r="DK153" s="106"/>
      <c r="DM153" s="106"/>
      <c r="DN153" s="106"/>
      <c r="DO153" s="106"/>
    </row>
    <row r="154" spans="1:119" customFormat="1" ht="100.5" customHeight="1" thickBot="1">
      <c r="A154" s="20">
        <f t="shared" si="172"/>
        <v>131</v>
      </c>
      <c r="B154" s="2"/>
      <c r="C154" s="2"/>
      <c r="D154" s="2"/>
      <c r="E154" s="2"/>
      <c r="F154" s="2"/>
      <c r="G154" s="2"/>
      <c r="AJ154" s="691">
        <v>3726743.3058103835</v>
      </c>
      <c r="AQ154" s="25" t="e">
        <f>#REF!-AQ152</f>
        <v>#REF!</v>
      </c>
      <c r="AR154" s="106"/>
      <c r="AS154" s="137"/>
      <c r="AT154" s="1293"/>
      <c r="AU154" s="1293"/>
      <c r="AV154" s="137"/>
      <c r="AW154" s="137"/>
      <c r="AX154" s="137"/>
      <c r="AY154" s="137" t="s">
        <v>177</v>
      </c>
      <c r="AZ154" s="137"/>
      <c r="BA154" s="1293">
        <f>BA153/AT153*100</f>
        <v>163.80528584883541</v>
      </c>
      <c r="BB154" s="1293"/>
      <c r="BC154" s="137"/>
      <c r="BD154" s="137"/>
      <c r="BE154" s="137"/>
      <c r="BF154" s="137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8" t="e">
        <f>N154*#REF!/1000</f>
        <v>#REF!</v>
      </c>
      <c r="CN154" s="18" t="e">
        <f t="shared" si="165"/>
        <v>#REF!</v>
      </c>
      <c r="CO154" s="106"/>
      <c r="CP154" s="106"/>
      <c r="CQ154" s="106"/>
      <c r="CR154" s="106"/>
      <c r="CS154" s="106"/>
      <c r="CT154" s="106"/>
      <c r="CU154" s="106"/>
      <c r="CV154" s="106"/>
      <c r="CW154" s="842"/>
      <c r="CX154" s="106"/>
      <c r="CY154" s="106"/>
      <c r="CZ154" s="106"/>
      <c r="DA154" s="106"/>
      <c r="DB154" s="106"/>
      <c r="DC154" s="106"/>
      <c r="DD154" s="128" t="e">
        <f t="shared" si="171"/>
        <v>#DIV/0!</v>
      </c>
      <c r="DE154" s="106"/>
      <c r="DF154" s="106"/>
      <c r="DG154" s="106"/>
      <c r="DH154" s="106"/>
      <c r="DI154" s="106"/>
      <c r="DJ154" s="106"/>
      <c r="DK154" s="106"/>
      <c r="DM154" s="106"/>
      <c r="DN154" s="106"/>
      <c r="DO154" s="106"/>
    </row>
    <row r="155" spans="1:119" customFormat="1" ht="100.5" customHeight="1">
      <c r="A155" s="20">
        <f t="shared" si="172"/>
        <v>132</v>
      </c>
      <c r="B155" s="2"/>
      <c r="C155" s="2"/>
      <c r="D155" s="2"/>
      <c r="E155" s="2"/>
      <c r="F155" s="2"/>
      <c r="G155" s="2"/>
      <c r="AJ155" s="691" t="e">
        <f>AJ154-#REF!</f>
        <v>#REF!</v>
      </c>
      <c r="AR155" s="106"/>
      <c r="AS155" s="142" t="s">
        <v>178</v>
      </c>
      <c r="AT155" s="143"/>
      <c r="AU155" s="143"/>
      <c r="AV155" s="137"/>
      <c r="AW155" s="137"/>
      <c r="AX155" s="137"/>
      <c r="AY155" s="137"/>
      <c r="AZ155" s="144" t="s">
        <v>178</v>
      </c>
      <c r="BA155" s="692">
        <f>BA152/AT152*100</f>
        <v>141.38044364573034</v>
      </c>
      <c r="BB155" s="692">
        <f>BB152/AU152*100</f>
        <v>281.83844254352823</v>
      </c>
      <c r="BC155" s="137"/>
      <c r="BD155" s="137"/>
      <c r="BE155" s="137"/>
      <c r="BF155" s="689">
        <f>BF152/AY152*100</f>
        <v>115.6474232803059</v>
      </c>
      <c r="BG155" s="106"/>
      <c r="BH155" s="106"/>
      <c r="BI155" s="106"/>
      <c r="BJ155" s="106"/>
      <c r="BK155" s="106"/>
      <c r="BL155" s="106"/>
      <c r="BM155" s="106"/>
      <c r="BN155" s="106"/>
      <c r="BO155" s="106"/>
      <c r="BP155" s="106"/>
      <c r="BQ155" s="106"/>
      <c r="BR155" s="106"/>
      <c r="BS155" s="106"/>
      <c r="BT155" s="105" t="s">
        <v>222</v>
      </c>
      <c r="BU155" s="138">
        <f>BU153+BN153</f>
        <v>8044820.7889763126</v>
      </c>
      <c r="BV155" s="106"/>
      <c r="BW155" s="106"/>
      <c r="BX155" s="106"/>
      <c r="BY155" s="106"/>
      <c r="BZ155" s="106"/>
      <c r="CA155" s="106"/>
      <c r="CB155" s="106"/>
      <c r="CC155" s="106"/>
      <c r="CD155" s="106"/>
      <c r="CE155" s="106"/>
      <c r="CF155" s="106"/>
      <c r="CG155" s="106"/>
      <c r="CH155" s="106"/>
      <c r="CI155" s="106"/>
      <c r="CJ155" s="106"/>
      <c r="CK155" s="106"/>
      <c r="CL155" s="106"/>
      <c r="CM155" s="18" t="e">
        <f>N155*#REF!/1000</f>
        <v>#REF!</v>
      </c>
      <c r="CN155" s="18" t="e">
        <f t="shared" si="165"/>
        <v>#REF!</v>
      </c>
      <c r="CO155" s="106"/>
      <c r="CP155" s="106"/>
      <c r="CQ155" s="106"/>
      <c r="CR155" s="106"/>
      <c r="CS155" s="106"/>
      <c r="CT155" s="145">
        <f>BF155</f>
        <v>115.6474232803059</v>
      </c>
      <c r="CU155" s="106"/>
      <c r="CV155" s="106"/>
      <c r="CW155" s="842"/>
      <c r="CX155" s="106"/>
      <c r="CY155" s="106"/>
      <c r="CZ155" s="106"/>
      <c r="DA155" s="106"/>
      <c r="DB155" s="106"/>
      <c r="DC155" s="106"/>
      <c r="DD155" s="128" t="e">
        <f t="shared" si="171"/>
        <v>#DIV/0!</v>
      </c>
      <c r="DE155" s="106"/>
      <c r="DF155" s="106"/>
      <c r="DG155" s="106"/>
      <c r="DH155" s="106"/>
      <c r="DI155" s="106"/>
      <c r="DJ155" s="106"/>
      <c r="DK155" s="106"/>
      <c r="DM155" s="106"/>
      <c r="DN155" s="106"/>
      <c r="DO155" s="106"/>
    </row>
    <row r="156" spans="1:119" customFormat="1" ht="100.5" customHeight="1" thickBot="1">
      <c r="A156" s="20">
        <f t="shared" si="172"/>
        <v>133</v>
      </c>
      <c r="B156" s="2"/>
      <c r="C156" s="2"/>
      <c r="D156" s="2"/>
      <c r="E156" s="2"/>
      <c r="F156" s="2"/>
      <c r="G156" s="2"/>
      <c r="T156" s="30">
        <f t="shared" ref="T156:AO156" si="174">SUBTOTAL(9,T47:T139)</f>
        <v>289711.11999352137</v>
      </c>
      <c r="U156" s="30">
        <f t="shared" si="174"/>
        <v>1086710.6131005369</v>
      </c>
      <c r="V156" s="30">
        <f t="shared" si="174"/>
        <v>195261.73339673047</v>
      </c>
      <c r="W156" s="30">
        <f t="shared" si="174"/>
        <v>284269.88699999999</v>
      </c>
      <c r="X156" s="30">
        <f t="shared" si="174"/>
        <v>185799.45</v>
      </c>
      <c r="Y156" s="30">
        <f t="shared" si="174"/>
        <v>11353.656000000001</v>
      </c>
      <c r="Z156" s="30">
        <f t="shared" si="174"/>
        <v>1855953.3534907885</v>
      </c>
      <c r="AA156" s="30">
        <f t="shared" si="174"/>
        <v>186843.06683440908</v>
      </c>
      <c r="AB156" s="30">
        <f t="shared" si="174"/>
        <v>733124.57029338239</v>
      </c>
      <c r="AC156" s="30">
        <f t="shared" si="174"/>
        <v>178762.92431539297</v>
      </c>
      <c r="AD156" s="30">
        <f t="shared" si="174"/>
        <v>167962.92599999998</v>
      </c>
      <c r="AE156" s="30">
        <f t="shared" si="174"/>
        <v>145313.54999999999</v>
      </c>
      <c r="AF156" s="30">
        <f t="shared" si="174"/>
        <v>8148.5239999999994</v>
      </c>
      <c r="AJ156" s="30">
        <f t="shared" si="174"/>
        <v>1819835.1833939194</v>
      </c>
      <c r="AK156" s="30">
        <f t="shared" si="174"/>
        <v>374024.65771212347</v>
      </c>
      <c r="AL156" s="30">
        <f t="shared" si="174"/>
        <v>452232.81299999997</v>
      </c>
      <c r="AM156" s="30">
        <f t="shared" si="174"/>
        <v>331113</v>
      </c>
      <c r="AN156" s="30">
        <f t="shared" si="174"/>
        <v>0</v>
      </c>
      <c r="AO156" s="30">
        <f t="shared" si="174"/>
        <v>3453759.840933973</v>
      </c>
      <c r="AR156" s="106"/>
      <c r="AS156" s="146" t="e">
        <f>(AS150+AV150)/(#REF!+AL150)</f>
        <v>#REF!</v>
      </c>
      <c r="AT156" s="106">
        <f>SUM(AT129:AT143)</f>
        <v>2541817444.995409</v>
      </c>
      <c r="AU156" s="106">
        <f>SUM(AU128:AU140)</f>
        <v>521251419.82581234</v>
      </c>
      <c r="AV156" s="137"/>
      <c r="AW156" s="137"/>
      <c r="AX156" s="137"/>
      <c r="AY156" s="137"/>
      <c r="AZ156" s="693" t="e">
        <f>(AZ150+BC150)/(#REF!+AL150)</f>
        <v>#REF!</v>
      </c>
      <c r="BA156" s="694" t="s">
        <v>258</v>
      </c>
      <c r="BB156" s="694" t="s">
        <v>259</v>
      </c>
      <c r="BC156" s="137"/>
      <c r="BD156" s="137"/>
      <c r="BE156" s="137"/>
      <c r="BF156" s="137"/>
      <c r="BG156" s="106"/>
      <c r="BH156" s="106"/>
      <c r="BI156" s="106"/>
      <c r="BJ156" s="106"/>
      <c r="BK156" s="106"/>
      <c r="BL156" s="106"/>
      <c r="BM156" s="106"/>
      <c r="BN156" s="106"/>
      <c r="BO156" s="106"/>
      <c r="BP156" s="106"/>
      <c r="BQ156" s="106"/>
      <c r="BR156" s="106"/>
      <c r="BS156" s="106"/>
      <c r="BT156" s="106"/>
      <c r="BU156" s="106"/>
      <c r="BV156" s="106"/>
      <c r="BW156" s="106"/>
      <c r="BX156" s="106"/>
      <c r="BY156" s="106"/>
      <c r="BZ156" s="106"/>
      <c r="CA156" s="106"/>
      <c r="CB156" s="106"/>
      <c r="CC156" s="106"/>
      <c r="CD156" s="106"/>
      <c r="CE156" s="106"/>
      <c r="CF156" s="106"/>
      <c r="CG156" s="106"/>
      <c r="CH156" s="106"/>
      <c r="CI156" s="106"/>
      <c r="CJ156" s="106"/>
      <c r="CK156" s="106"/>
      <c r="CL156" s="106"/>
      <c r="CM156" s="18" t="e">
        <f>N156*#REF!/1000</f>
        <v>#REF!</v>
      </c>
      <c r="CN156" s="18" t="e">
        <f t="shared" si="165"/>
        <v>#REF!</v>
      </c>
      <c r="CO156" s="106"/>
      <c r="CP156" s="106"/>
      <c r="CQ156" s="106"/>
      <c r="CR156" s="106"/>
      <c r="CS156" s="106"/>
      <c r="CT156" s="106"/>
      <c r="CU156" s="106"/>
      <c r="CV156" s="106"/>
      <c r="CW156" s="842"/>
      <c r="CX156" s="106"/>
      <c r="CY156" s="106"/>
      <c r="CZ156" s="106"/>
      <c r="DA156" s="106"/>
      <c r="DB156" s="106"/>
      <c r="DC156" s="106"/>
      <c r="DD156" s="106"/>
      <c r="DE156" s="106"/>
      <c r="DF156" s="106"/>
      <c r="DG156" s="106"/>
      <c r="DH156" s="106"/>
      <c r="DI156" s="106"/>
      <c r="DJ156" s="106"/>
      <c r="DK156" s="106"/>
      <c r="DM156" s="106"/>
      <c r="DN156" s="106"/>
      <c r="DO156" s="106"/>
    </row>
    <row r="157" spans="1:119" customFormat="1" ht="100.5" customHeight="1">
      <c r="A157" s="20">
        <f t="shared" si="172"/>
        <v>134</v>
      </c>
      <c r="B157" s="2"/>
      <c r="C157" s="2"/>
      <c r="D157" s="2"/>
      <c r="E157" s="2"/>
      <c r="F157" s="2"/>
      <c r="G157" s="2"/>
      <c r="Z157" s="30"/>
      <c r="AG157" s="30" t="e">
        <f>#REF!+AE139</f>
        <v>#REF!</v>
      </c>
      <c r="AR157" s="106"/>
      <c r="AS157" s="137"/>
      <c r="AT157" s="143"/>
      <c r="AU157" s="143"/>
      <c r="AV157" s="137"/>
      <c r="AW157" s="137"/>
      <c r="AX157" s="137"/>
      <c r="AY157" s="106" t="s">
        <v>176</v>
      </c>
      <c r="AZ157" s="137" t="e">
        <f>AZ156/AS156*100</f>
        <v>#REF!</v>
      </c>
      <c r="BA157" s="143"/>
      <c r="BB157" s="143"/>
      <c r="BC157" s="137"/>
      <c r="BD157" s="137"/>
      <c r="BE157" s="137"/>
      <c r="BF157" s="137"/>
      <c r="BG157" s="106"/>
      <c r="BH157" s="106"/>
      <c r="BI157" s="106"/>
      <c r="BJ157" s="106"/>
      <c r="BK157" s="106"/>
      <c r="BL157" s="106"/>
      <c r="BM157" s="106"/>
      <c r="BN157" s="106"/>
      <c r="BO157" s="106"/>
      <c r="BP157" s="106"/>
      <c r="BQ157" s="106"/>
      <c r="BR157" s="106"/>
      <c r="BS157" s="106"/>
      <c r="BT157" s="106"/>
      <c r="BU157" s="106"/>
      <c r="BV157" s="106"/>
      <c r="BW157" s="106"/>
      <c r="BX157" s="106"/>
      <c r="BY157" s="106"/>
      <c r="BZ157" s="106"/>
      <c r="CA157" s="106"/>
      <c r="CB157" s="106"/>
      <c r="CC157" s="106"/>
      <c r="CD157" s="106"/>
      <c r="CE157" s="106"/>
      <c r="CF157" s="106"/>
      <c r="CG157" s="106"/>
      <c r="CH157" s="106"/>
      <c r="CI157" s="106"/>
      <c r="CJ157" s="106"/>
      <c r="CK157" s="106"/>
      <c r="CL157" s="106"/>
      <c r="CM157" s="18">
        <f t="shared" si="164"/>
        <v>0</v>
      </c>
      <c r="CN157" s="18">
        <f t="shared" si="165"/>
        <v>0</v>
      </c>
      <c r="CO157" s="106"/>
      <c r="CP157" s="106"/>
      <c r="CQ157" s="106"/>
      <c r="CR157" s="106"/>
      <c r="CS157" s="106"/>
      <c r="CT157" s="106"/>
      <c r="CU157" s="106"/>
      <c r="CV157" s="106"/>
      <c r="CW157" s="842"/>
      <c r="CX157" s="106"/>
      <c r="CY157" s="106"/>
      <c r="CZ157" s="106"/>
      <c r="DA157" s="106"/>
      <c r="DB157" s="106"/>
      <c r="DC157" s="106"/>
      <c r="DD157" s="106"/>
      <c r="DE157" s="106"/>
      <c r="DF157" s="106"/>
      <c r="DG157" s="106"/>
      <c r="DH157" s="106"/>
      <c r="DI157" s="106"/>
      <c r="DJ157" s="106"/>
      <c r="DK157" s="106"/>
      <c r="DM157" s="106"/>
      <c r="DN157" s="106"/>
      <c r="DO157" s="106"/>
    </row>
    <row r="158" spans="1:119" customFormat="1" ht="100.5" customHeight="1">
      <c r="A158" s="20">
        <f t="shared" si="172"/>
        <v>135</v>
      </c>
      <c r="AR158" s="106"/>
      <c r="AS158" s="106"/>
      <c r="AT158" s="147"/>
      <c r="AU158" s="147"/>
      <c r="AV158" s="113"/>
      <c r="AW158" s="113"/>
      <c r="AX158" s="113"/>
      <c r="AY158" s="113"/>
      <c r="AZ158" s="113"/>
      <c r="BA158" s="147"/>
      <c r="BB158" s="147"/>
      <c r="BC158" s="106"/>
      <c r="BD158" s="106"/>
      <c r="BE158" s="106"/>
      <c r="BF158" s="106"/>
      <c r="BG158" s="106"/>
      <c r="BH158" s="106"/>
      <c r="BI158" s="106"/>
      <c r="BJ158" s="106"/>
      <c r="BK158" s="106"/>
      <c r="BL158" s="106"/>
      <c r="BM158" s="106"/>
      <c r="BN158" s="106"/>
      <c r="BO158" s="106"/>
      <c r="BP158" s="106"/>
      <c r="BQ158" s="106"/>
      <c r="BR158" s="106"/>
      <c r="BS158" s="106"/>
      <c r="BT158" s="106"/>
      <c r="BU158" s="106"/>
      <c r="BV158" s="106"/>
      <c r="BW158" s="106"/>
      <c r="BX158" s="106"/>
      <c r="BY158" s="106"/>
      <c r="BZ158" s="106"/>
      <c r="CA158" s="106"/>
      <c r="CB158" s="106"/>
      <c r="CC158" s="106"/>
      <c r="CD158" s="106"/>
      <c r="CE158" s="106"/>
      <c r="CF158" s="106"/>
      <c r="CG158" s="106"/>
      <c r="CH158" s="106"/>
      <c r="CI158" s="106"/>
      <c r="CJ158" s="106"/>
      <c r="CK158" s="106"/>
      <c r="CL158" s="106"/>
      <c r="CM158" s="18">
        <f t="shared" si="164"/>
        <v>0</v>
      </c>
      <c r="CN158" s="18">
        <f t="shared" si="165"/>
        <v>0</v>
      </c>
      <c r="CO158" s="106"/>
      <c r="CP158" s="106"/>
      <c r="CQ158" s="106"/>
      <c r="CR158" s="106"/>
      <c r="CS158" s="106"/>
      <c r="CT158" s="106"/>
      <c r="CU158" s="106"/>
      <c r="CV158" s="106"/>
      <c r="CW158" s="842"/>
      <c r="CX158" s="106"/>
      <c r="CY158" s="106"/>
      <c r="CZ158" s="106"/>
      <c r="DA158" s="106"/>
      <c r="DB158" s="106"/>
      <c r="DC158" s="106"/>
      <c r="DD158" s="106"/>
      <c r="DE158" s="106"/>
      <c r="DF158" s="106"/>
      <c r="DG158" s="106"/>
      <c r="DH158" s="106"/>
      <c r="DI158" s="106"/>
      <c r="DJ158" s="106"/>
      <c r="DK158" s="106"/>
      <c r="DM158" s="106"/>
      <c r="DN158" s="106"/>
      <c r="DO158" s="106"/>
    </row>
    <row r="159" spans="1:119" customFormat="1" ht="100.5" customHeight="1">
      <c r="A159" s="20">
        <f t="shared" si="172"/>
        <v>136</v>
      </c>
      <c r="AY159" s="6" t="s">
        <v>176</v>
      </c>
      <c r="AZ159" s="26" t="e">
        <f>AZ152/AS152*100</f>
        <v>#REF!</v>
      </c>
      <c r="BA159" s="26">
        <f t="shared" ref="BA159:BF159" si="175">BA152/AT152*100</f>
        <v>141.38044364573034</v>
      </c>
      <c r="BB159" s="26">
        <f t="shared" si="175"/>
        <v>281.83844254352823</v>
      </c>
      <c r="BC159" s="26">
        <f t="shared" si="175"/>
        <v>169.92144753354304</v>
      </c>
      <c r="BD159" s="26">
        <f t="shared" si="175"/>
        <v>254.66549186404146</v>
      </c>
      <c r="BE159" s="26">
        <f t="shared" si="175"/>
        <v>123.99334306264491</v>
      </c>
      <c r="BF159" s="26">
        <f t="shared" si="175"/>
        <v>115.6474232803059</v>
      </c>
      <c r="CM159" s="18">
        <f t="shared" si="164"/>
        <v>0</v>
      </c>
      <c r="CN159" s="18">
        <f t="shared" si="165"/>
        <v>0</v>
      </c>
    </row>
    <row r="160" spans="1:119" customFormat="1" ht="100.5" customHeight="1">
      <c r="A160" s="20">
        <f t="shared" si="172"/>
        <v>137</v>
      </c>
      <c r="H160" s="6">
        <f>H132*1.2</f>
        <v>4606.8047999999999</v>
      </c>
      <c r="I160" s="6">
        <f>I132*1.2</f>
        <v>4606.8047999999999</v>
      </c>
      <c r="N160" s="6">
        <f>N132*1.2</f>
        <v>5024.9088000000002</v>
      </c>
      <c r="O160" s="6">
        <f>O132*1.2</f>
        <v>5024.9088000000002</v>
      </c>
      <c r="AA160" s="181"/>
      <c r="AB160" s="181"/>
      <c r="AC160" s="230">
        <f>AC139+AC50+AC47</f>
        <v>120077.9</v>
      </c>
      <c r="AD160" s="181"/>
      <c r="AE160" s="181"/>
      <c r="AF160" s="181"/>
      <c r="AG160" s="181"/>
      <c r="AH160" s="181">
        <f>AH139+AH50+AH47</f>
        <v>2020262.3849999998</v>
      </c>
      <c r="AK160" s="181">
        <f>AK139+AK50+AK47</f>
        <v>255018.1</v>
      </c>
      <c r="AP160" s="6">
        <f>AP139+AP50+AP47</f>
        <v>2029944.385</v>
      </c>
      <c r="AT160" s="6">
        <f>AT156+AU156</f>
        <v>3063068864.8212214</v>
      </c>
      <c r="CM160" s="18">
        <f t="shared" si="164"/>
        <v>10151634.236695487</v>
      </c>
      <c r="CN160" s="18">
        <f t="shared" si="165"/>
        <v>10151634.236695487</v>
      </c>
    </row>
    <row r="161" spans="1:114" customFormat="1" ht="100.5" customHeight="1">
      <c r="A161" s="20">
        <f t="shared" si="172"/>
        <v>138</v>
      </c>
      <c r="K161" s="9"/>
      <c r="CM161" s="18">
        <f t="shared" si="164"/>
        <v>0</v>
      </c>
      <c r="CN161" s="18">
        <f t="shared" si="165"/>
        <v>0</v>
      </c>
    </row>
    <row r="162" spans="1:114" customFormat="1" ht="100.5" customHeight="1">
      <c r="A162" s="20">
        <f t="shared" si="172"/>
        <v>139</v>
      </c>
      <c r="K162" s="9"/>
      <c r="AS162" s="6" t="s">
        <v>179</v>
      </c>
      <c r="AT162" s="6">
        <f>AT160/AK160</f>
        <v>12011.18220558157</v>
      </c>
      <c r="BA162" s="97">
        <f>BA152/AT152*100</f>
        <v>141.38044364573034</v>
      </c>
      <c r="BB162" s="6">
        <f>BB152/AU152*100</f>
        <v>281.83844254352823</v>
      </c>
      <c r="BF162" s="6" t="s">
        <v>185</v>
      </c>
      <c r="CM162" s="18">
        <f t="shared" si="164"/>
        <v>0</v>
      </c>
      <c r="CN162" s="18">
        <f t="shared" si="165"/>
        <v>0</v>
      </c>
    </row>
    <row r="163" spans="1:114" customFormat="1" ht="100.5" customHeight="1">
      <c r="A163" s="20">
        <f t="shared" si="172"/>
        <v>140</v>
      </c>
      <c r="K163" s="9"/>
      <c r="CL163" s="6">
        <f>SUBTOTAL(9,CL71:CL83)</f>
        <v>73330.947800079361</v>
      </c>
      <c r="CM163" s="18">
        <f t="shared" si="164"/>
        <v>0</v>
      </c>
      <c r="CN163" s="18">
        <f t="shared" si="165"/>
        <v>-73330.947800079361</v>
      </c>
    </row>
    <row r="164" spans="1:114" customFormat="1" ht="100.5" customHeight="1">
      <c r="A164" s="20">
        <f t="shared" si="172"/>
        <v>141</v>
      </c>
      <c r="CM164" s="18">
        <f t="shared" si="164"/>
        <v>0</v>
      </c>
      <c r="CN164" s="18">
        <f t="shared" si="165"/>
        <v>0</v>
      </c>
    </row>
    <row r="165" spans="1:114" customFormat="1" ht="100.5" customHeight="1">
      <c r="A165" s="20">
        <f t="shared" si="172"/>
        <v>142</v>
      </c>
      <c r="AS165" s="6" t="s">
        <v>180</v>
      </c>
      <c r="AT165" s="9" t="e">
        <f>AT156/AJ155</f>
        <v>#REF!</v>
      </c>
      <c r="BB165" s="25">
        <f>AZ150+BA150+BC150</f>
        <v>8586339072.5562849</v>
      </c>
      <c r="CM165" s="18">
        <f t="shared" si="164"/>
        <v>0</v>
      </c>
      <c r="CN165" s="18">
        <f t="shared" si="165"/>
        <v>0</v>
      </c>
    </row>
    <row r="166" spans="1:114" customFormat="1" ht="100.5" customHeight="1">
      <c r="A166" s="20">
        <f t="shared" si="172"/>
        <v>143</v>
      </c>
      <c r="BB166" s="25" t="e">
        <f>#REF!+AJ150+AL150</f>
        <v>#REF!</v>
      </c>
      <c r="CM166" s="18">
        <f t="shared" si="164"/>
        <v>0</v>
      </c>
      <c r="CN166" s="18">
        <f t="shared" si="165"/>
        <v>0</v>
      </c>
    </row>
    <row r="167" spans="1:114" customFormat="1" ht="100.5" customHeight="1">
      <c r="A167" s="20">
        <f t="shared" si="172"/>
        <v>144</v>
      </c>
      <c r="BB167" s="6" t="e">
        <f>BB165/BB166</f>
        <v>#REF!</v>
      </c>
      <c r="CM167" s="18">
        <f t="shared" si="164"/>
        <v>0</v>
      </c>
      <c r="CN167" s="18">
        <f t="shared" si="165"/>
        <v>0</v>
      </c>
    </row>
    <row r="168" spans="1:114" customFormat="1" ht="100.5" customHeight="1">
      <c r="A168" s="20">
        <f t="shared" si="172"/>
        <v>145</v>
      </c>
      <c r="CM168" s="18">
        <f t="shared" si="164"/>
        <v>0</v>
      </c>
      <c r="CN168" s="18">
        <f t="shared" si="165"/>
        <v>0</v>
      </c>
    </row>
    <row r="169" spans="1:114" customFormat="1" ht="100.5" customHeight="1">
      <c r="A169" s="20">
        <f t="shared" si="172"/>
        <v>146</v>
      </c>
      <c r="CM169" s="18">
        <f t="shared" si="164"/>
        <v>0</v>
      </c>
      <c r="CN169" s="18">
        <f t="shared" si="165"/>
        <v>0</v>
      </c>
    </row>
    <row r="170" spans="1:114" customFormat="1" ht="100.5" customHeight="1">
      <c r="A170" s="20">
        <f t="shared" si="172"/>
        <v>147</v>
      </c>
      <c r="AY170" s="25">
        <f>AY150+BF150</f>
        <v>13006839524.952526</v>
      </c>
      <c r="BA170" s="25">
        <f>BA150+BB150+AT150+AU150</f>
        <v>10276255739.732475</v>
      </c>
      <c r="CM170" s="18">
        <f t="shared" si="164"/>
        <v>0</v>
      </c>
      <c r="CN170" s="18">
        <f t="shared" si="165"/>
        <v>0</v>
      </c>
    </row>
    <row r="171" spans="1:114" customFormat="1" ht="100.5" customHeight="1">
      <c r="A171" s="20">
        <f t="shared" si="172"/>
        <v>148</v>
      </c>
      <c r="AY171" s="25">
        <f>AQ152*2</f>
        <v>7254605.2472401774</v>
      </c>
      <c r="BA171" s="6">
        <f>(AJ151*2)</f>
        <v>5016060.7545086462</v>
      </c>
      <c r="CM171" s="18">
        <f t="shared" si="164"/>
        <v>0</v>
      </c>
      <c r="CN171" s="18">
        <f t="shared" si="165"/>
        <v>0</v>
      </c>
    </row>
    <row r="172" spans="1:114" customFormat="1" ht="100.5" customHeight="1">
      <c r="A172" s="20">
        <f t="shared" si="172"/>
        <v>149</v>
      </c>
      <c r="S172" s="6">
        <v>436449</v>
      </c>
      <c r="T172" s="30">
        <v>11020</v>
      </c>
      <c r="AY172" s="101">
        <f>AY170/AY171</f>
        <v>1792.9079642066856</v>
      </c>
      <c r="BA172" s="102">
        <f>BA170/BA171</f>
        <v>2048.6705091232689</v>
      </c>
      <c r="CM172" s="18">
        <f t="shared" si="164"/>
        <v>0</v>
      </c>
      <c r="CN172" s="18">
        <f t="shared" si="165"/>
        <v>0</v>
      </c>
    </row>
    <row r="173" spans="1:114" customFormat="1" ht="100.5" customHeight="1">
      <c r="S173" s="30">
        <f>S172-T172</f>
        <v>425429</v>
      </c>
      <c r="T173" s="6"/>
      <c r="AA173" s="6"/>
      <c r="AB173" s="8"/>
      <c r="AG173" s="6">
        <v>234909.61222926635</v>
      </c>
      <c r="AO173" s="9"/>
      <c r="AP173" s="9"/>
      <c r="AQ173" s="9"/>
      <c r="AR173" s="43"/>
      <c r="CL173" s="25">
        <f>CL122/1.2</f>
        <v>947279.77073318325</v>
      </c>
      <c r="CM173" s="18">
        <f t="shared" si="164"/>
        <v>0</v>
      </c>
      <c r="CN173" s="18">
        <f t="shared" si="165"/>
        <v>-947279.77073318325</v>
      </c>
      <c r="DJ173" s="25"/>
    </row>
    <row r="174" spans="1:114" customFormat="1" ht="100.5" customHeight="1">
      <c r="T174" s="6"/>
      <c r="AB174" s="8"/>
      <c r="AG174" s="30">
        <f>AG122-AG173</f>
        <v>0.42077073364634998</v>
      </c>
      <c r="AO174" s="9"/>
      <c r="AP174" s="9"/>
      <c r="AQ174" s="9"/>
      <c r="AR174" s="43"/>
      <c r="CM174" s="18">
        <f t="shared" si="164"/>
        <v>0</v>
      </c>
      <c r="CN174" s="18">
        <f t="shared" si="165"/>
        <v>0</v>
      </c>
    </row>
    <row r="175" spans="1:114" customFormat="1" ht="100.5" customHeight="1">
      <c r="AB175" s="8"/>
      <c r="CM175" s="18">
        <f t="shared" si="164"/>
        <v>0</v>
      </c>
      <c r="CN175" s="18">
        <f t="shared" si="165"/>
        <v>0</v>
      </c>
    </row>
    <row r="176" spans="1:114" customFormat="1" ht="100.5" customHeight="1">
      <c r="N176" s="6">
        <f>N144/1.2</f>
        <v>267.85833333333335</v>
      </c>
      <c r="AB176" s="8"/>
      <c r="CJ176" s="159"/>
      <c r="CK176" s="159"/>
      <c r="CL176" s="159"/>
      <c r="CM176" s="18">
        <f t="shared" si="164"/>
        <v>0</v>
      </c>
      <c r="CN176" s="18">
        <f t="shared" si="165"/>
        <v>0</v>
      </c>
      <c r="DH176" s="159"/>
      <c r="DI176" s="159"/>
      <c r="DJ176" s="159"/>
    </row>
    <row r="177" spans="20:114" customFormat="1" ht="100.5" customHeight="1">
      <c r="BG177" s="30"/>
      <c r="BH177" s="30"/>
      <c r="CJ177" s="160"/>
      <c r="CK177" s="160"/>
      <c r="CL177" s="160"/>
      <c r="CM177" s="18">
        <f t="shared" si="164"/>
        <v>0</v>
      </c>
      <c r="CN177" s="18">
        <f t="shared" si="165"/>
        <v>0</v>
      </c>
      <c r="DH177" s="160"/>
      <c r="DI177" s="160"/>
      <c r="DJ177" s="160"/>
    </row>
    <row r="178" spans="20:114">
      <c r="T178" s="6"/>
      <c r="V178" s="6"/>
      <c r="AA178" s="6"/>
      <c r="AC178" s="6"/>
      <c r="AR178" s="6"/>
      <c r="CL178" s="8"/>
      <c r="CM178" s="18">
        <f t="shared" si="164"/>
        <v>0</v>
      </c>
      <c r="CN178" s="18">
        <f t="shared" si="165"/>
        <v>0</v>
      </c>
      <c r="CW178" s="6"/>
      <c r="DJ178" s="160"/>
    </row>
    <row r="179" spans="20:114">
      <c r="BI179" s="754"/>
      <c r="CM179" s="18">
        <f t="shared" si="164"/>
        <v>0</v>
      </c>
      <c r="CN179" s="18">
        <f t="shared" si="165"/>
        <v>0</v>
      </c>
    </row>
    <row r="180" spans="20:114">
      <c r="CL180" s="754"/>
      <c r="CM180" s="18">
        <f t="shared" si="164"/>
        <v>0</v>
      </c>
      <c r="CN180" s="18">
        <f t="shared" si="165"/>
        <v>0</v>
      </c>
    </row>
    <row r="181" spans="20:114">
      <c r="CM181" s="18">
        <f t="shared" si="164"/>
        <v>0</v>
      </c>
      <c r="CN181" s="18">
        <f t="shared" si="165"/>
        <v>0</v>
      </c>
    </row>
    <row r="182" spans="20:114">
      <c r="BI182" s="30"/>
      <c r="CL182" s="754"/>
      <c r="CM182" s="18">
        <f t="shared" si="164"/>
        <v>0</v>
      </c>
      <c r="CN182" s="18">
        <f t="shared" si="165"/>
        <v>0</v>
      </c>
    </row>
    <row r="183" spans="20:114">
      <c r="BI183" s="754"/>
      <c r="CM183" s="18">
        <f t="shared" si="164"/>
        <v>0</v>
      </c>
      <c r="CN183" s="18">
        <f t="shared" si="165"/>
        <v>0</v>
      </c>
    </row>
    <row r="184" spans="20:114">
      <c r="CM184" s="18">
        <f t="shared" si="164"/>
        <v>0</v>
      </c>
      <c r="CN184" s="18">
        <f t="shared" si="165"/>
        <v>0</v>
      </c>
    </row>
    <row r="185" spans="20:114">
      <c r="CM185" s="18">
        <f t="shared" si="164"/>
        <v>0</v>
      </c>
      <c r="CN185" s="18">
        <f t="shared" si="165"/>
        <v>0</v>
      </c>
    </row>
    <row r="186" spans="20:114">
      <c r="CL186" s="754"/>
      <c r="CM186" s="18">
        <f t="shared" si="164"/>
        <v>0</v>
      </c>
      <c r="CN186" s="18">
        <f t="shared" si="165"/>
        <v>0</v>
      </c>
    </row>
    <row r="187" spans="20:114">
      <c r="CM187" s="18">
        <f t="shared" si="164"/>
        <v>0</v>
      </c>
      <c r="CN187" s="18">
        <f t="shared" si="165"/>
        <v>0</v>
      </c>
    </row>
    <row r="188" spans="20:114">
      <c r="CM188" s="18">
        <f t="shared" si="164"/>
        <v>0</v>
      </c>
      <c r="CN188" s="18">
        <f t="shared" si="165"/>
        <v>0</v>
      </c>
    </row>
    <row r="189" spans="20:114">
      <c r="CM189" s="18">
        <f t="shared" si="164"/>
        <v>0</v>
      </c>
      <c r="CN189" s="18">
        <f t="shared" si="165"/>
        <v>0</v>
      </c>
    </row>
    <row r="190" spans="20:114">
      <c r="CM190" s="18">
        <f t="shared" si="164"/>
        <v>0</v>
      </c>
      <c r="CN190" s="18">
        <f t="shared" si="165"/>
        <v>0</v>
      </c>
    </row>
    <row r="191" spans="20:114">
      <c r="CM191" s="18">
        <f t="shared" si="164"/>
        <v>0</v>
      </c>
      <c r="CN191" s="18">
        <f t="shared" si="165"/>
        <v>0</v>
      </c>
    </row>
    <row r="192" spans="20:114">
      <c r="CM192" s="18">
        <f t="shared" si="164"/>
        <v>0</v>
      </c>
      <c r="CN192" s="18">
        <f t="shared" si="165"/>
        <v>0</v>
      </c>
    </row>
    <row r="193" spans="91:92">
      <c r="CM193" s="18">
        <f t="shared" si="164"/>
        <v>0</v>
      </c>
      <c r="CN193" s="18">
        <f t="shared" si="165"/>
        <v>0</v>
      </c>
    </row>
    <row r="194" spans="91:92">
      <c r="CM194" s="18">
        <f t="shared" si="164"/>
        <v>0</v>
      </c>
      <c r="CN194" s="18">
        <f t="shared" si="165"/>
        <v>0</v>
      </c>
    </row>
    <row r="195" spans="91:92">
      <c r="CM195" s="18">
        <f t="shared" si="164"/>
        <v>0</v>
      </c>
      <c r="CN195" s="18">
        <f t="shared" si="165"/>
        <v>0</v>
      </c>
    </row>
    <row r="196" spans="91:92">
      <c r="CM196" s="18">
        <f t="shared" si="164"/>
        <v>0</v>
      </c>
      <c r="CN196" s="18">
        <f t="shared" si="165"/>
        <v>0</v>
      </c>
    </row>
    <row r="197" spans="91:92">
      <c r="CM197" s="18">
        <f t="shared" si="164"/>
        <v>0</v>
      </c>
      <c r="CN197" s="18">
        <f t="shared" si="165"/>
        <v>0</v>
      </c>
    </row>
    <row r="198" spans="91:92">
      <c r="CM198" s="18">
        <f t="shared" si="164"/>
        <v>0</v>
      </c>
      <c r="CN198" s="18">
        <f t="shared" si="165"/>
        <v>0</v>
      </c>
    </row>
    <row r="199" spans="91:92">
      <c r="CM199" s="18">
        <f t="shared" si="164"/>
        <v>0</v>
      </c>
      <c r="CN199" s="18">
        <f t="shared" si="165"/>
        <v>0</v>
      </c>
    </row>
    <row r="200" spans="91:92">
      <c r="CM200" s="18">
        <f t="shared" si="164"/>
        <v>0</v>
      </c>
      <c r="CN200" s="18">
        <f t="shared" si="165"/>
        <v>0</v>
      </c>
    </row>
    <row r="201" spans="91:92">
      <c r="CM201" s="18">
        <f t="shared" si="164"/>
        <v>0</v>
      </c>
      <c r="CN201" s="18">
        <f t="shared" si="165"/>
        <v>0</v>
      </c>
    </row>
    <row r="202" spans="91:92">
      <c r="CM202" s="18">
        <f t="shared" si="164"/>
        <v>0</v>
      </c>
      <c r="CN202" s="18">
        <f t="shared" si="165"/>
        <v>0</v>
      </c>
    </row>
    <row r="203" spans="91:92">
      <c r="CM203" s="18">
        <f t="shared" si="164"/>
        <v>0</v>
      </c>
      <c r="CN203" s="18">
        <f t="shared" si="165"/>
        <v>0</v>
      </c>
    </row>
    <row r="204" spans="91:92">
      <c r="CM204" s="18">
        <f t="shared" si="164"/>
        <v>0</v>
      </c>
      <c r="CN204" s="18">
        <f t="shared" si="165"/>
        <v>0</v>
      </c>
    </row>
    <row r="205" spans="91:92">
      <c r="CM205" s="18">
        <f t="shared" si="164"/>
        <v>0</v>
      </c>
      <c r="CN205" s="18">
        <f t="shared" si="165"/>
        <v>0</v>
      </c>
    </row>
    <row r="206" spans="91:92">
      <c r="CM206" s="18">
        <f t="shared" si="164"/>
        <v>0</v>
      </c>
      <c r="CN206" s="18">
        <f t="shared" si="165"/>
        <v>0</v>
      </c>
    </row>
    <row r="207" spans="91:92">
      <c r="CM207" s="18">
        <f t="shared" si="164"/>
        <v>0</v>
      </c>
      <c r="CN207" s="18">
        <f t="shared" si="165"/>
        <v>0</v>
      </c>
    </row>
    <row r="208" spans="91:92">
      <c r="CM208" s="18">
        <f t="shared" si="164"/>
        <v>0</v>
      </c>
      <c r="CN208" s="18">
        <f t="shared" si="165"/>
        <v>0</v>
      </c>
    </row>
    <row r="209" spans="91:92">
      <c r="CM209" s="18">
        <f t="shared" si="164"/>
        <v>0</v>
      </c>
      <c r="CN209" s="18">
        <f t="shared" si="165"/>
        <v>0</v>
      </c>
    </row>
    <row r="210" spans="91:92">
      <c r="CM210" s="18">
        <f t="shared" ref="CM210:CM273" si="176">N210*AH210/1000</f>
        <v>0</v>
      </c>
      <c r="CN210" s="18">
        <f t="shared" ref="CN210:CN273" si="177">CM210-CL210</f>
        <v>0</v>
      </c>
    </row>
    <row r="211" spans="91:92">
      <c r="CM211" s="18">
        <f t="shared" si="176"/>
        <v>0</v>
      </c>
      <c r="CN211" s="18">
        <f t="shared" si="177"/>
        <v>0</v>
      </c>
    </row>
    <row r="212" spans="91:92">
      <c r="CM212" s="18">
        <f t="shared" si="176"/>
        <v>0</v>
      </c>
      <c r="CN212" s="18">
        <f t="shared" si="177"/>
        <v>0</v>
      </c>
    </row>
    <row r="213" spans="91:92">
      <c r="CM213" s="18">
        <f t="shared" si="176"/>
        <v>0</v>
      </c>
      <c r="CN213" s="18">
        <f t="shared" si="177"/>
        <v>0</v>
      </c>
    </row>
    <row r="214" spans="91:92">
      <c r="CM214" s="18">
        <f t="shared" si="176"/>
        <v>0</v>
      </c>
      <c r="CN214" s="18">
        <f t="shared" si="177"/>
        <v>0</v>
      </c>
    </row>
    <row r="215" spans="91:92">
      <c r="CM215" s="18">
        <f t="shared" si="176"/>
        <v>0</v>
      </c>
      <c r="CN215" s="18">
        <f t="shared" si="177"/>
        <v>0</v>
      </c>
    </row>
    <row r="216" spans="91:92">
      <c r="CM216" s="18">
        <f t="shared" si="176"/>
        <v>0</v>
      </c>
      <c r="CN216" s="18">
        <f t="shared" si="177"/>
        <v>0</v>
      </c>
    </row>
    <row r="217" spans="91:92">
      <c r="CM217" s="18">
        <f t="shared" si="176"/>
        <v>0</v>
      </c>
      <c r="CN217" s="18">
        <f t="shared" si="177"/>
        <v>0</v>
      </c>
    </row>
    <row r="218" spans="91:92">
      <c r="CM218" s="18">
        <f t="shared" si="176"/>
        <v>0</v>
      </c>
      <c r="CN218" s="18">
        <f t="shared" si="177"/>
        <v>0</v>
      </c>
    </row>
    <row r="219" spans="91:92">
      <c r="CM219" s="18">
        <f t="shared" si="176"/>
        <v>0</v>
      </c>
      <c r="CN219" s="18">
        <f t="shared" si="177"/>
        <v>0</v>
      </c>
    </row>
    <row r="220" spans="91:92">
      <c r="CM220" s="18">
        <f t="shared" si="176"/>
        <v>0</v>
      </c>
      <c r="CN220" s="18">
        <f t="shared" si="177"/>
        <v>0</v>
      </c>
    </row>
    <row r="221" spans="91:92">
      <c r="CM221" s="18">
        <f t="shared" si="176"/>
        <v>0</v>
      </c>
      <c r="CN221" s="18">
        <f t="shared" si="177"/>
        <v>0</v>
      </c>
    </row>
    <row r="222" spans="91:92">
      <c r="CM222" s="18">
        <f t="shared" si="176"/>
        <v>0</v>
      </c>
      <c r="CN222" s="18">
        <f t="shared" si="177"/>
        <v>0</v>
      </c>
    </row>
    <row r="223" spans="91:92">
      <c r="CM223" s="18">
        <f t="shared" si="176"/>
        <v>0</v>
      </c>
      <c r="CN223" s="18">
        <f t="shared" si="177"/>
        <v>0</v>
      </c>
    </row>
    <row r="224" spans="91:92">
      <c r="CM224" s="18">
        <f t="shared" si="176"/>
        <v>0</v>
      </c>
      <c r="CN224" s="18">
        <f t="shared" si="177"/>
        <v>0</v>
      </c>
    </row>
    <row r="225" spans="91:92">
      <c r="CM225" s="18">
        <f t="shared" si="176"/>
        <v>0</v>
      </c>
      <c r="CN225" s="18">
        <f t="shared" si="177"/>
        <v>0</v>
      </c>
    </row>
    <row r="226" spans="91:92">
      <c r="CM226" s="18">
        <f t="shared" si="176"/>
        <v>0</v>
      </c>
      <c r="CN226" s="18">
        <f t="shared" si="177"/>
        <v>0</v>
      </c>
    </row>
    <row r="227" spans="91:92">
      <c r="CM227" s="18">
        <f t="shared" si="176"/>
        <v>0</v>
      </c>
      <c r="CN227" s="18">
        <f t="shared" si="177"/>
        <v>0</v>
      </c>
    </row>
    <row r="228" spans="91:92">
      <c r="CM228" s="18">
        <f t="shared" si="176"/>
        <v>0</v>
      </c>
      <c r="CN228" s="18">
        <f t="shared" si="177"/>
        <v>0</v>
      </c>
    </row>
    <row r="229" spans="91:92">
      <c r="CM229" s="18">
        <f t="shared" si="176"/>
        <v>0</v>
      </c>
      <c r="CN229" s="18">
        <f t="shared" si="177"/>
        <v>0</v>
      </c>
    </row>
    <row r="230" spans="91:92">
      <c r="CM230" s="18">
        <f t="shared" si="176"/>
        <v>0</v>
      </c>
      <c r="CN230" s="18">
        <f t="shared" si="177"/>
        <v>0</v>
      </c>
    </row>
    <row r="231" spans="91:92">
      <c r="CM231" s="18">
        <f t="shared" si="176"/>
        <v>0</v>
      </c>
      <c r="CN231" s="18">
        <f t="shared" si="177"/>
        <v>0</v>
      </c>
    </row>
    <row r="232" spans="91:92">
      <c r="CM232" s="18">
        <f t="shared" si="176"/>
        <v>0</v>
      </c>
      <c r="CN232" s="18">
        <f t="shared" si="177"/>
        <v>0</v>
      </c>
    </row>
    <row r="233" spans="91:92">
      <c r="CM233" s="18">
        <f t="shared" si="176"/>
        <v>0</v>
      </c>
      <c r="CN233" s="18">
        <f t="shared" si="177"/>
        <v>0</v>
      </c>
    </row>
    <row r="234" spans="91:92">
      <c r="CM234" s="18">
        <f t="shared" si="176"/>
        <v>0</v>
      </c>
      <c r="CN234" s="18">
        <f t="shared" si="177"/>
        <v>0</v>
      </c>
    </row>
    <row r="235" spans="91:92">
      <c r="CM235" s="18">
        <f t="shared" si="176"/>
        <v>0</v>
      </c>
      <c r="CN235" s="18">
        <f t="shared" si="177"/>
        <v>0</v>
      </c>
    </row>
    <row r="236" spans="91:92">
      <c r="CM236" s="18">
        <f t="shared" si="176"/>
        <v>0</v>
      </c>
      <c r="CN236" s="18">
        <f t="shared" si="177"/>
        <v>0</v>
      </c>
    </row>
    <row r="237" spans="91:92">
      <c r="CM237" s="18">
        <f t="shared" si="176"/>
        <v>0</v>
      </c>
      <c r="CN237" s="18">
        <f t="shared" si="177"/>
        <v>0</v>
      </c>
    </row>
    <row r="238" spans="91:92">
      <c r="CM238" s="18">
        <f t="shared" si="176"/>
        <v>0</v>
      </c>
      <c r="CN238" s="18">
        <f t="shared" si="177"/>
        <v>0</v>
      </c>
    </row>
    <row r="239" spans="91:92">
      <c r="CM239" s="18">
        <f t="shared" si="176"/>
        <v>0</v>
      </c>
      <c r="CN239" s="18">
        <f t="shared" si="177"/>
        <v>0</v>
      </c>
    </row>
    <row r="240" spans="91:92">
      <c r="CM240" s="18">
        <f t="shared" si="176"/>
        <v>0</v>
      </c>
      <c r="CN240" s="18">
        <f t="shared" si="177"/>
        <v>0</v>
      </c>
    </row>
    <row r="241" spans="91:92">
      <c r="CM241" s="18">
        <f t="shared" si="176"/>
        <v>0</v>
      </c>
      <c r="CN241" s="18">
        <f t="shared" si="177"/>
        <v>0</v>
      </c>
    </row>
    <row r="242" spans="91:92">
      <c r="CM242" s="18">
        <f t="shared" si="176"/>
        <v>0</v>
      </c>
      <c r="CN242" s="18">
        <f t="shared" si="177"/>
        <v>0</v>
      </c>
    </row>
    <row r="243" spans="91:92">
      <c r="CM243" s="18">
        <f t="shared" si="176"/>
        <v>0</v>
      </c>
      <c r="CN243" s="18">
        <f t="shared" si="177"/>
        <v>0</v>
      </c>
    </row>
    <row r="244" spans="91:92">
      <c r="CM244" s="18">
        <f t="shared" si="176"/>
        <v>0</v>
      </c>
      <c r="CN244" s="18">
        <f t="shared" si="177"/>
        <v>0</v>
      </c>
    </row>
    <row r="245" spans="91:92">
      <c r="CM245" s="18">
        <f t="shared" si="176"/>
        <v>0</v>
      </c>
      <c r="CN245" s="18">
        <f t="shared" si="177"/>
        <v>0</v>
      </c>
    </row>
    <row r="246" spans="91:92">
      <c r="CM246" s="18">
        <f t="shared" si="176"/>
        <v>0</v>
      </c>
      <c r="CN246" s="18">
        <f t="shared" si="177"/>
        <v>0</v>
      </c>
    </row>
    <row r="247" spans="91:92">
      <c r="CM247" s="18">
        <f t="shared" si="176"/>
        <v>0</v>
      </c>
      <c r="CN247" s="18">
        <f t="shared" si="177"/>
        <v>0</v>
      </c>
    </row>
    <row r="248" spans="91:92">
      <c r="CM248" s="18">
        <f t="shared" si="176"/>
        <v>0</v>
      </c>
      <c r="CN248" s="18">
        <f t="shared" si="177"/>
        <v>0</v>
      </c>
    </row>
    <row r="249" spans="91:92">
      <c r="CM249" s="18">
        <f t="shared" si="176"/>
        <v>0</v>
      </c>
      <c r="CN249" s="18">
        <f t="shared" si="177"/>
        <v>0</v>
      </c>
    </row>
    <row r="250" spans="91:92">
      <c r="CM250" s="18">
        <f t="shared" si="176"/>
        <v>0</v>
      </c>
      <c r="CN250" s="18">
        <f t="shared" si="177"/>
        <v>0</v>
      </c>
    </row>
    <row r="251" spans="91:92">
      <c r="CM251" s="18">
        <f t="shared" si="176"/>
        <v>0</v>
      </c>
      <c r="CN251" s="18">
        <f t="shared" si="177"/>
        <v>0</v>
      </c>
    </row>
    <row r="252" spans="91:92">
      <c r="CM252" s="18">
        <f t="shared" si="176"/>
        <v>0</v>
      </c>
      <c r="CN252" s="18">
        <f t="shared" si="177"/>
        <v>0</v>
      </c>
    </row>
    <row r="253" spans="91:92">
      <c r="CM253" s="18">
        <f t="shared" si="176"/>
        <v>0</v>
      </c>
      <c r="CN253" s="18">
        <f t="shared" si="177"/>
        <v>0</v>
      </c>
    </row>
    <row r="254" spans="91:92">
      <c r="CM254" s="18">
        <f t="shared" si="176"/>
        <v>0</v>
      </c>
      <c r="CN254" s="18">
        <f t="shared" si="177"/>
        <v>0</v>
      </c>
    </row>
    <row r="255" spans="91:92">
      <c r="CM255" s="18">
        <f t="shared" si="176"/>
        <v>0</v>
      </c>
      <c r="CN255" s="18">
        <f t="shared" si="177"/>
        <v>0</v>
      </c>
    </row>
    <row r="256" spans="91:92">
      <c r="CM256" s="18">
        <f t="shared" si="176"/>
        <v>0</v>
      </c>
      <c r="CN256" s="18">
        <f t="shared" si="177"/>
        <v>0</v>
      </c>
    </row>
    <row r="257" spans="91:92">
      <c r="CM257" s="18">
        <f t="shared" si="176"/>
        <v>0</v>
      </c>
      <c r="CN257" s="18">
        <f t="shared" si="177"/>
        <v>0</v>
      </c>
    </row>
    <row r="258" spans="91:92">
      <c r="CM258" s="18">
        <f t="shared" si="176"/>
        <v>0</v>
      </c>
      <c r="CN258" s="18">
        <f t="shared" si="177"/>
        <v>0</v>
      </c>
    </row>
    <row r="259" spans="91:92">
      <c r="CM259" s="18">
        <f t="shared" si="176"/>
        <v>0</v>
      </c>
      <c r="CN259" s="18">
        <f t="shared" si="177"/>
        <v>0</v>
      </c>
    </row>
    <row r="260" spans="91:92">
      <c r="CM260" s="18">
        <f t="shared" si="176"/>
        <v>0</v>
      </c>
      <c r="CN260" s="18">
        <f t="shared" si="177"/>
        <v>0</v>
      </c>
    </row>
    <row r="261" spans="91:92">
      <c r="CM261" s="18">
        <f t="shared" si="176"/>
        <v>0</v>
      </c>
      <c r="CN261" s="18">
        <f t="shared" si="177"/>
        <v>0</v>
      </c>
    </row>
    <row r="262" spans="91:92">
      <c r="CM262" s="18">
        <f t="shared" si="176"/>
        <v>0</v>
      </c>
      <c r="CN262" s="18">
        <f t="shared" si="177"/>
        <v>0</v>
      </c>
    </row>
    <row r="263" spans="91:92">
      <c r="CM263" s="18">
        <f t="shared" si="176"/>
        <v>0</v>
      </c>
      <c r="CN263" s="18">
        <f t="shared" si="177"/>
        <v>0</v>
      </c>
    </row>
    <row r="264" spans="91:92">
      <c r="CM264" s="18">
        <f t="shared" si="176"/>
        <v>0</v>
      </c>
      <c r="CN264" s="18">
        <f t="shared" si="177"/>
        <v>0</v>
      </c>
    </row>
    <row r="265" spans="91:92">
      <c r="CM265" s="18">
        <f t="shared" si="176"/>
        <v>0</v>
      </c>
      <c r="CN265" s="18">
        <f t="shared" si="177"/>
        <v>0</v>
      </c>
    </row>
    <row r="266" spans="91:92">
      <c r="CM266" s="18">
        <f t="shared" si="176"/>
        <v>0</v>
      </c>
      <c r="CN266" s="18">
        <f t="shared" si="177"/>
        <v>0</v>
      </c>
    </row>
    <row r="267" spans="91:92">
      <c r="CM267" s="18">
        <f t="shared" si="176"/>
        <v>0</v>
      </c>
      <c r="CN267" s="18">
        <f t="shared" si="177"/>
        <v>0</v>
      </c>
    </row>
    <row r="268" spans="91:92">
      <c r="CM268" s="18">
        <f t="shared" si="176"/>
        <v>0</v>
      </c>
      <c r="CN268" s="18">
        <f t="shared" si="177"/>
        <v>0</v>
      </c>
    </row>
    <row r="269" spans="91:92">
      <c r="CM269" s="18">
        <f t="shared" si="176"/>
        <v>0</v>
      </c>
      <c r="CN269" s="18">
        <f t="shared" si="177"/>
        <v>0</v>
      </c>
    </row>
    <row r="270" spans="91:92">
      <c r="CM270" s="18">
        <f t="shared" si="176"/>
        <v>0</v>
      </c>
      <c r="CN270" s="18">
        <f t="shared" si="177"/>
        <v>0</v>
      </c>
    </row>
    <row r="271" spans="91:92">
      <c r="CM271" s="18">
        <f t="shared" si="176"/>
        <v>0</v>
      </c>
      <c r="CN271" s="18">
        <f t="shared" si="177"/>
        <v>0</v>
      </c>
    </row>
    <row r="272" spans="91:92">
      <c r="CM272" s="18">
        <f t="shared" si="176"/>
        <v>0</v>
      </c>
      <c r="CN272" s="18">
        <f t="shared" si="177"/>
        <v>0</v>
      </c>
    </row>
    <row r="273" spans="91:92">
      <c r="CM273" s="18">
        <f t="shared" si="176"/>
        <v>0</v>
      </c>
      <c r="CN273" s="18">
        <f t="shared" si="177"/>
        <v>0</v>
      </c>
    </row>
    <row r="274" spans="91:92">
      <c r="CM274" s="18">
        <f t="shared" ref="CM274:CM337" si="178">N274*AH274/1000</f>
        <v>0</v>
      </c>
      <c r="CN274" s="18">
        <f t="shared" ref="CN274:CN337" si="179">CM274-CL274</f>
        <v>0</v>
      </c>
    </row>
    <row r="275" spans="91:92">
      <c r="CM275" s="18">
        <f t="shared" si="178"/>
        <v>0</v>
      </c>
      <c r="CN275" s="18">
        <f t="shared" si="179"/>
        <v>0</v>
      </c>
    </row>
    <row r="276" spans="91:92">
      <c r="CM276" s="18">
        <f t="shared" si="178"/>
        <v>0</v>
      </c>
      <c r="CN276" s="18">
        <f t="shared" si="179"/>
        <v>0</v>
      </c>
    </row>
    <row r="277" spans="91:92">
      <c r="CM277" s="18">
        <f t="shared" si="178"/>
        <v>0</v>
      </c>
      <c r="CN277" s="18">
        <f t="shared" si="179"/>
        <v>0</v>
      </c>
    </row>
    <row r="278" spans="91:92">
      <c r="CM278" s="18">
        <f t="shared" si="178"/>
        <v>0</v>
      </c>
      <c r="CN278" s="18">
        <f t="shared" si="179"/>
        <v>0</v>
      </c>
    </row>
    <row r="279" spans="91:92">
      <c r="CM279" s="18">
        <f t="shared" si="178"/>
        <v>0</v>
      </c>
      <c r="CN279" s="18">
        <f t="shared" si="179"/>
        <v>0</v>
      </c>
    </row>
    <row r="280" spans="91:92">
      <c r="CM280" s="18">
        <f t="shared" si="178"/>
        <v>0</v>
      </c>
      <c r="CN280" s="18">
        <f t="shared" si="179"/>
        <v>0</v>
      </c>
    </row>
    <row r="281" spans="91:92">
      <c r="CM281" s="18">
        <f t="shared" si="178"/>
        <v>0</v>
      </c>
      <c r="CN281" s="18">
        <f t="shared" si="179"/>
        <v>0</v>
      </c>
    </row>
    <row r="282" spans="91:92">
      <c r="CM282" s="18">
        <f t="shared" si="178"/>
        <v>0</v>
      </c>
      <c r="CN282" s="18">
        <f t="shared" si="179"/>
        <v>0</v>
      </c>
    </row>
    <row r="283" spans="91:92">
      <c r="CM283" s="18">
        <f t="shared" si="178"/>
        <v>0</v>
      </c>
      <c r="CN283" s="18">
        <f t="shared" si="179"/>
        <v>0</v>
      </c>
    </row>
    <row r="284" spans="91:92">
      <c r="CM284" s="18">
        <f t="shared" si="178"/>
        <v>0</v>
      </c>
      <c r="CN284" s="18">
        <f t="shared" si="179"/>
        <v>0</v>
      </c>
    </row>
    <row r="285" spans="91:92">
      <c r="CM285" s="18">
        <f t="shared" si="178"/>
        <v>0</v>
      </c>
      <c r="CN285" s="18">
        <f t="shared" si="179"/>
        <v>0</v>
      </c>
    </row>
    <row r="286" spans="91:92">
      <c r="CM286" s="18">
        <f t="shared" si="178"/>
        <v>0</v>
      </c>
      <c r="CN286" s="18">
        <f t="shared" si="179"/>
        <v>0</v>
      </c>
    </row>
    <row r="287" spans="91:92">
      <c r="CM287" s="18">
        <f t="shared" si="178"/>
        <v>0</v>
      </c>
      <c r="CN287" s="18">
        <f t="shared" si="179"/>
        <v>0</v>
      </c>
    </row>
    <row r="288" spans="91:92">
      <c r="CM288" s="18">
        <f t="shared" si="178"/>
        <v>0</v>
      </c>
      <c r="CN288" s="18">
        <f t="shared" si="179"/>
        <v>0</v>
      </c>
    </row>
    <row r="289" spans="91:92">
      <c r="CM289" s="18">
        <f t="shared" si="178"/>
        <v>0</v>
      </c>
      <c r="CN289" s="18">
        <f t="shared" si="179"/>
        <v>0</v>
      </c>
    </row>
    <row r="290" spans="91:92">
      <c r="CM290" s="18">
        <f t="shared" si="178"/>
        <v>0</v>
      </c>
      <c r="CN290" s="18">
        <f t="shared" si="179"/>
        <v>0</v>
      </c>
    </row>
    <row r="291" spans="91:92">
      <c r="CM291" s="18">
        <f t="shared" si="178"/>
        <v>0</v>
      </c>
      <c r="CN291" s="18">
        <f t="shared" si="179"/>
        <v>0</v>
      </c>
    </row>
    <row r="292" spans="91:92">
      <c r="CM292" s="18">
        <f t="shared" si="178"/>
        <v>0</v>
      </c>
      <c r="CN292" s="18">
        <f t="shared" si="179"/>
        <v>0</v>
      </c>
    </row>
    <row r="293" spans="91:92">
      <c r="CM293" s="18">
        <f t="shared" si="178"/>
        <v>0</v>
      </c>
      <c r="CN293" s="18">
        <f t="shared" si="179"/>
        <v>0</v>
      </c>
    </row>
    <row r="294" spans="91:92">
      <c r="CM294" s="18">
        <f t="shared" si="178"/>
        <v>0</v>
      </c>
      <c r="CN294" s="18">
        <f t="shared" si="179"/>
        <v>0</v>
      </c>
    </row>
    <row r="295" spans="91:92">
      <c r="CM295" s="18">
        <f t="shared" si="178"/>
        <v>0</v>
      </c>
      <c r="CN295" s="18">
        <f t="shared" si="179"/>
        <v>0</v>
      </c>
    </row>
    <row r="296" spans="91:92">
      <c r="CM296" s="18">
        <f t="shared" si="178"/>
        <v>0</v>
      </c>
      <c r="CN296" s="18">
        <f t="shared" si="179"/>
        <v>0</v>
      </c>
    </row>
    <row r="297" spans="91:92">
      <c r="CM297" s="18">
        <f t="shared" si="178"/>
        <v>0</v>
      </c>
      <c r="CN297" s="18">
        <f t="shared" si="179"/>
        <v>0</v>
      </c>
    </row>
    <row r="298" spans="91:92">
      <c r="CM298" s="18">
        <f t="shared" si="178"/>
        <v>0</v>
      </c>
      <c r="CN298" s="18">
        <f t="shared" si="179"/>
        <v>0</v>
      </c>
    </row>
    <row r="299" spans="91:92">
      <c r="CM299" s="18">
        <f t="shared" si="178"/>
        <v>0</v>
      </c>
      <c r="CN299" s="18">
        <f t="shared" si="179"/>
        <v>0</v>
      </c>
    </row>
    <row r="300" spans="91:92">
      <c r="CM300" s="18">
        <f t="shared" si="178"/>
        <v>0</v>
      </c>
      <c r="CN300" s="18">
        <f t="shared" si="179"/>
        <v>0</v>
      </c>
    </row>
    <row r="301" spans="91:92">
      <c r="CM301" s="18">
        <f t="shared" si="178"/>
        <v>0</v>
      </c>
      <c r="CN301" s="18">
        <f t="shared" si="179"/>
        <v>0</v>
      </c>
    </row>
    <row r="302" spans="91:92">
      <c r="CM302" s="18">
        <f t="shared" si="178"/>
        <v>0</v>
      </c>
      <c r="CN302" s="18">
        <f t="shared" si="179"/>
        <v>0</v>
      </c>
    </row>
    <row r="303" spans="91:92">
      <c r="CM303" s="18">
        <f t="shared" si="178"/>
        <v>0</v>
      </c>
      <c r="CN303" s="18">
        <f t="shared" si="179"/>
        <v>0</v>
      </c>
    </row>
    <row r="304" spans="91:92">
      <c r="CM304" s="18">
        <f t="shared" si="178"/>
        <v>0</v>
      </c>
      <c r="CN304" s="18">
        <f t="shared" si="179"/>
        <v>0</v>
      </c>
    </row>
    <row r="305" spans="91:92">
      <c r="CM305" s="18">
        <f t="shared" si="178"/>
        <v>0</v>
      </c>
      <c r="CN305" s="18">
        <f t="shared" si="179"/>
        <v>0</v>
      </c>
    </row>
    <row r="306" spans="91:92">
      <c r="CM306" s="18">
        <f t="shared" si="178"/>
        <v>0</v>
      </c>
      <c r="CN306" s="18">
        <f t="shared" si="179"/>
        <v>0</v>
      </c>
    </row>
    <row r="307" spans="91:92">
      <c r="CM307" s="18">
        <f t="shared" si="178"/>
        <v>0</v>
      </c>
      <c r="CN307" s="18">
        <f t="shared" si="179"/>
        <v>0</v>
      </c>
    </row>
    <row r="308" spans="91:92">
      <c r="CM308" s="18">
        <f t="shared" si="178"/>
        <v>0</v>
      </c>
      <c r="CN308" s="18">
        <f t="shared" si="179"/>
        <v>0</v>
      </c>
    </row>
    <row r="309" spans="91:92">
      <c r="CM309" s="18">
        <f t="shared" si="178"/>
        <v>0</v>
      </c>
      <c r="CN309" s="18">
        <f t="shared" si="179"/>
        <v>0</v>
      </c>
    </row>
    <row r="310" spans="91:92">
      <c r="CM310" s="18">
        <f t="shared" si="178"/>
        <v>0</v>
      </c>
      <c r="CN310" s="18">
        <f t="shared" si="179"/>
        <v>0</v>
      </c>
    </row>
    <row r="311" spans="91:92">
      <c r="CM311" s="18">
        <f t="shared" si="178"/>
        <v>0</v>
      </c>
      <c r="CN311" s="18">
        <f t="shared" si="179"/>
        <v>0</v>
      </c>
    </row>
    <row r="312" spans="91:92">
      <c r="CM312" s="18">
        <f t="shared" si="178"/>
        <v>0</v>
      </c>
      <c r="CN312" s="18">
        <f t="shared" si="179"/>
        <v>0</v>
      </c>
    </row>
    <row r="313" spans="91:92">
      <c r="CM313" s="18">
        <f t="shared" si="178"/>
        <v>0</v>
      </c>
      <c r="CN313" s="18">
        <f t="shared" si="179"/>
        <v>0</v>
      </c>
    </row>
    <row r="314" spans="91:92">
      <c r="CM314" s="18">
        <f t="shared" si="178"/>
        <v>0</v>
      </c>
      <c r="CN314" s="18">
        <f t="shared" si="179"/>
        <v>0</v>
      </c>
    </row>
    <row r="315" spans="91:92">
      <c r="CM315" s="18">
        <f t="shared" si="178"/>
        <v>0</v>
      </c>
      <c r="CN315" s="18">
        <f t="shared" si="179"/>
        <v>0</v>
      </c>
    </row>
    <row r="316" spans="91:92">
      <c r="CM316" s="18">
        <f t="shared" si="178"/>
        <v>0</v>
      </c>
      <c r="CN316" s="18">
        <f t="shared" si="179"/>
        <v>0</v>
      </c>
    </row>
    <row r="317" spans="91:92">
      <c r="CM317" s="18">
        <f t="shared" si="178"/>
        <v>0</v>
      </c>
      <c r="CN317" s="18">
        <f t="shared" si="179"/>
        <v>0</v>
      </c>
    </row>
    <row r="318" spans="91:92">
      <c r="CM318" s="18">
        <f t="shared" si="178"/>
        <v>0</v>
      </c>
      <c r="CN318" s="18">
        <f t="shared" si="179"/>
        <v>0</v>
      </c>
    </row>
    <row r="319" spans="91:92">
      <c r="CM319" s="18">
        <f t="shared" si="178"/>
        <v>0</v>
      </c>
      <c r="CN319" s="18">
        <f t="shared" si="179"/>
        <v>0</v>
      </c>
    </row>
    <row r="320" spans="91:92">
      <c r="CM320" s="18">
        <f t="shared" si="178"/>
        <v>0</v>
      </c>
      <c r="CN320" s="18">
        <f t="shared" si="179"/>
        <v>0</v>
      </c>
    </row>
    <row r="321" spans="91:92">
      <c r="CM321" s="18">
        <f t="shared" si="178"/>
        <v>0</v>
      </c>
      <c r="CN321" s="18">
        <f t="shared" si="179"/>
        <v>0</v>
      </c>
    </row>
    <row r="322" spans="91:92">
      <c r="CM322" s="18">
        <f t="shared" si="178"/>
        <v>0</v>
      </c>
      <c r="CN322" s="18">
        <f t="shared" si="179"/>
        <v>0</v>
      </c>
    </row>
    <row r="323" spans="91:92">
      <c r="CM323" s="18">
        <f t="shared" si="178"/>
        <v>0</v>
      </c>
      <c r="CN323" s="18">
        <f t="shared" si="179"/>
        <v>0</v>
      </c>
    </row>
    <row r="324" spans="91:92">
      <c r="CM324" s="18">
        <f t="shared" si="178"/>
        <v>0</v>
      </c>
      <c r="CN324" s="18">
        <f t="shared" si="179"/>
        <v>0</v>
      </c>
    </row>
    <row r="325" spans="91:92">
      <c r="CM325" s="18">
        <f t="shared" si="178"/>
        <v>0</v>
      </c>
      <c r="CN325" s="18">
        <f t="shared" si="179"/>
        <v>0</v>
      </c>
    </row>
    <row r="326" spans="91:92">
      <c r="CM326" s="18">
        <f t="shared" si="178"/>
        <v>0</v>
      </c>
      <c r="CN326" s="18">
        <f t="shared" si="179"/>
        <v>0</v>
      </c>
    </row>
    <row r="327" spans="91:92">
      <c r="CM327" s="18">
        <f t="shared" si="178"/>
        <v>0</v>
      </c>
      <c r="CN327" s="18">
        <f t="shared" si="179"/>
        <v>0</v>
      </c>
    </row>
    <row r="328" spans="91:92">
      <c r="CM328" s="18">
        <f t="shared" si="178"/>
        <v>0</v>
      </c>
      <c r="CN328" s="18">
        <f t="shared" si="179"/>
        <v>0</v>
      </c>
    </row>
    <row r="329" spans="91:92">
      <c r="CM329" s="18">
        <f t="shared" si="178"/>
        <v>0</v>
      </c>
      <c r="CN329" s="18">
        <f t="shared" si="179"/>
        <v>0</v>
      </c>
    </row>
    <row r="330" spans="91:92">
      <c r="CM330" s="18">
        <f t="shared" si="178"/>
        <v>0</v>
      </c>
      <c r="CN330" s="18">
        <f t="shared" si="179"/>
        <v>0</v>
      </c>
    </row>
    <row r="331" spans="91:92">
      <c r="CM331" s="18">
        <f t="shared" si="178"/>
        <v>0</v>
      </c>
      <c r="CN331" s="18">
        <f t="shared" si="179"/>
        <v>0</v>
      </c>
    </row>
    <row r="332" spans="91:92">
      <c r="CM332" s="18">
        <f t="shared" si="178"/>
        <v>0</v>
      </c>
      <c r="CN332" s="18">
        <f t="shared" si="179"/>
        <v>0</v>
      </c>
    </row>
    <row r="333" spans="91:92">
      <c r="CM333" s="18">
        <f t="shared" si="178"/>
        <v>0</v>
      </c>
      <c r="CN333" s="18">
        <f t="shared" si="179"/>
        <v>0</v>
      </c>
    </row>
    <row r="334" spans="91:92">
      <c r="CM334" s="18">
        <f t="shared" si="178"/>
        <v>0</v>
      </c>
      <c r="CN334" s="18">
        <f t="shared" si="179"/>
        <v>0</v>
      </c>
    </row>
    <row r="335" spans="91:92">
      <c r="CM335" s="18">
        <f t="shared" si="178"/>
        <v>0</v>
      </c>
      <c r="CN335" s="18">
        <f t="shared" si="179"/>
        <v>0</v>
      </c>
    </row>
    <row r="336" spans="91:92">
      <c r="CM336" s="18">
        <f t="shared" si="178"/>
        <v>0</v>
      </c>
      <c r="CN336" s="18">
        <f t="shared" si="179"/>
        <v>0</v>
      </c>
    </row>
    <row r="337" spans="91:92">
      <c r="CM337" s="18">
        <f t="shared" si="178"/>
        <v>0</v>
      </c>
      <c r="CN337" s="18">
        <f t="shared" si="179"/>
        <v>0</v>
      </c>
    </row>
    <row r="338" spans="91:92">
      <c r="CM338" s="18">
        <f t="shared" ref="CM338:CM401" si="180">N338*AH338/1000</f>
        <v>0</v>
      </c>
      <c r="CN338" s="18">
        <f t="shared" ref="CN338:CN401" si="181">CM338-CL338</f>
        <v>0</v>
      </c>
    </row>
    <row r="339" spans="91:92">
      <c r="CM339" s="18">
        <f t="shared" si="180"/>
        <v>0</v>
      </c>
      <c r="CN339" s="18">
        <f t="shared" si="181"/>
        <v>0</v>
      </c>
    </row>
    <row r="340" spans="91:92">
      <c r="CM340" s="18">
        <f t="shared" si="180"/>
        <v>0</v>
      </c>
      <c r="CN340" s="18">
        <f t="shared" si="181"/>
        <v>0</v>
      </c>
    </row>
    <row r="341" spans="91:92">
      <c r="CM341" s="18">
        <f t="shared" si="180"/>
        <v>0</v>
      </c>
      <c r="CN341" s="18">
        <f t="shared" si="181"/>
        <v>0</v>
      </c>
    </row>
    <row r="342" spans="91:92">
      <c r="CM342" s="18">
        <f t="shared" si="180"/>
        <v>0</v>
      </c>
      <c r="CN342" s="18">
        <f t="shared" si="181"/>
        <v>0</v>
      </c>
    </row>
    <row r="343" spans="91:92">
      <c r="CM343" s="18">
        <f t="shared" si="180"/>
        <v>0</v>
      </c>
      <c r="CN343" s="18">
        <f t="shared" si="181"/>
        <v>0</v>
      </c>
    </row>
    <row r="344" spans="91:92">
      <c r="CM344" s="18">
        <f t="shared" si="180"/>
        <v>0</v>
      </c>
      <c r="CN344" s="18">
        <f t="shared" si="181"/>
        <v>0</v>
      </c>
    </row>
    <row r="345" spans="91:92">
      <c r="CM345" s="18">
        <f t="shared" si="180"/>
        <v>0</v>
      </c>
      <c r="CN345" s="18">
        <f t="shared" si="181"/>
        <v>0</v>
      </c>
    </row>
    <row r="346" spans="91:92">
      <c r="CM346" s="18">
        <f t="shared" si="180"/>
        <v>0</v>
      </c>
      <c r="CN346" s="18">
        <f t="shared" si="181"/>
        <v>0</v>
      </c>
    </row>
    <row r="347" spans="91:92">
      <c r="CM347" s="18">
        <f t="shared" si="180"/>
        <v>0</v>
      </c>
      <c r="CN347" s="18">
        <f t="shared" si="181"/>
        <v>0</v>
      </c>
    </row>
    <row r="348" spans="91:92">
      <c r="CM348" s="18">
        <f t="shared" si="180"/>
        <v>0</v>
      </c>
      <c r="CN348" s="18">
        <f t="shared" si="181"/>
        <v>0</v>
      </c>
    </row>
    <row r="349" spans="91:92">
      <c r="CM349" s="18">
        <f t="shared" si="180"/>
        <v>0</v>
      </c>
      <c r="CN349" s="18">
        <f t="shared" si="181"/>
        <v>0</v>
      </c>
    </row>
    <row r="350" spans="91:92">
      <c r="CM350" s="18">
        <f t="shared" si="180"/>
        <v>0</v>
      </c>
      <c r="CN350" s="18">
        <f t="shared" si="181"/>
        <v>0</v>
      </c>
    </row>
    <row r="351" spans="91:92">
      <c r="CM351" s="18">
        <f t="shared" si="180"/>
        <v>0</v>
      </c>
      <c r="CN351" s="18">
        <f t="shared" si="181"/>
        <v>0</v>
      </c>
    </row>
    <row r="352" spans="91:92">
      <c r="CM352" s="18">
        <f t="shared" si="180"/>
        <v>0</v>
      </c>
      <c r="CN352" s="18">
        <f t="shared" si="181"/>
        <v>0</v>
      </c>
    </row>
    <row r="353" spans="91:92">
      <c r="CM353" s="18">
        <f t="shared" si="180"/>
        <v>0</v>
      </c>
      <c r="CN353" s="18">
        <f t="shared" si="181"/>
        <v>0</v>
      </c>
    </row>
    <row r="354" spans="91:92">
      <c r="CM354" s="18">
        <f t="shared" si="180"/>
        <v>0</v>
      </c>
      <c r="CN354" s="18">
        <f t="shared" si="181"/>
        <v>0</v>
      </c>
    </row>
    <row r="355" spans="91:92">
      <c r="CM355" s="18">
        <f t="shared" si="180"/>
        <v>0</v>
      </c>
      <c r="CN355" s="18">
        <f t="shared" si="181"/>
        <v>0</v>
      </c>
    </row>
    <row r="356" spans="91:92">
      <c r="CM356" s="18">
        <f t="shared" si="180"/>
        <v>0</v>
      </c>
      <c r="CN356" s="18">
        <f t="shared" si="181"/>
        <v>0</v>
      </c>
    </row>
    <row r="357" spans="91:92">
      <c r="CM357" s="18">
        <f t="shared" si="180"/>
        <v>0</v>
      </c>
      <c r="CN357" s="18">
        <f t="shared" si="181"/>
        <v>0</v>
      </c>
    </row>
    <row r="358" spans="91:92">
      <c r="CM358" s="18">
        <f t="shared" si="180"/>
        <v>0</v>
      </c>
      <c r="CN358" s="18">
        <f t="shared" si="181"/>
        <v>0</v>
      </c>
    </row>
    <row r="359" spans="91:92">
      <c r="CM359" s="18">
        <f t="shared" si="180"/>
        <v>0</v>
      </c>
      <c r="CN359" s="18">
        <f t="shared" si="181"/>
        <v>0</v>
      </c>
    </row>
    <row r="360" spans="91:92">
      <c r="CM360" s="18">
        <f t="shared" si="180"/>
        <v>0</v>
      </c>
      <c r="CN360" s="18">
        <f t="shared" si="181"/>
        <v>0</v>
      </c>
    </row>
    <row r="361" spans="91:92">
      <c r="CM361" s="18">
        <f t="shared" si="180"/>
        <v>0</v>
      </c>
      <c r="CN361" s="18">
        <f t="shared" si="181"/>
        <v>0</v>
      </c>
    </row>
    <row r="362" spans="91:92">
      <c r="CM362" s="18">
        <f t="shared" si="180"/>
        <v>0</v>
      </c>
      <c r="CN362" s="18">
        <f t="shared" si="181"/>
        <v>0</v>
      </c>
    </row>
    <row r="363" spans="91:92">
      <c r="CM363" s="18">
        <f t="shared" si="180"/>
        <v>0</v>
      </c>
      <c r="CN363" s="18">
        <f t="shared" si="181"/>
        <v>0</v>
      </c>
    </row>
    <row r="364" spans="91:92">
      <c r="CM364" s="18">
        <f t="shared" si="180"/>
        <v>0</v>
      </c>
      <c r="CN364" s="18">
        <f t="shared" si="181"/>
        <v>0</v>
      </c>
    </row>
    <row r="365" spans="91:92">
      <c r="CM365" s="18">
        <f t="shared" si="180"/>
        <v>0</v>
      </c>
      <c r="CN365" s="18">
        <f t="shared" si="181"/>
        <v>0</v>
      </c>
    </row>
    <row r="366" spans="91:92">
      <c r="CM366" s="18">
        <f t="shared" si="180"/>
        <v>0</v>
      </c>
      <c r="CN366" s="18">
        <f t="shared" si="181"/>
        <v>0</v>
      </c>
    </row>
    <row r="367" spans="91:92">
      <c r="CM367" s="18">
        <f t="shared" si="180"/>
        <v>0</v>
      </c>
      <c r="CN367" s="18">
        <f t="shared" si="181"/>
        <v>0</v>
      </c>
    </row>
    <row r="368" spans="91:92">
      <c r="CM368" s="18">
        <f t="shared" si="180"/>
        <v>0</v>
      </c>
      <c r="CN368" s="18">
        <f t="shared" si="181"/>
        <v>0</v>
      </c>
    </row>
    <row r="369" spans="91:92">
      <c r="CM369" s="18">
        <f t="shared" si="180"/>
        <v>0</v>
      </c>
      <c r="CN369" s="18">
        <f t="shared" si="181"/>
        <v>0</v>
      </c>
    </row>
    <row r="370" spans="91:92">
      <c r="CM370" s="18">
        <f t="shared" si="180"/>
        <v>0</v>
      </c>
      <c r="CN370" s="18">
        <f t="shared" si="181"/>
        <v>0</v>
      </c>
    </row>
    <row r="371" spans="91:92">
      <c r="CM371" s="18">
        <f t="shared" si="180"/>
        <v>0</v>
      </c>
      <c r="CN371" s="18">
        <f t="shared" si="181"/>
        <v>0</v>
      </c>
    </row>
    <row r="372" spans="91:92">
      <c r="CM372" s="18">
        <f t="shared" si="180"/>
        <v>0</v>
      </c>
      <c r="CN372" s="18">
        <f t="shared" si="181"/>
        <v>0</v>
      </c>
    </row>
    <row r="373" spans="91:92">
      <c r="CM373" s="18">
        <f t="shared" si="180"/>
        <v>0</v>
      </c>
      <c r="CN373" s="18">
        <f t="shared" si="181"/>
        <v>0</v>
      </c>
    </row>
    <row r="374" spans="91:92">
      <c r="CM374" s="18">
        <f t="shared" si="180"/>
        <v>0</v>
      </c>
      <c r="CN374" s="18">
        <f t="shared" si="181"/>
        <v>0</v>
      </c>
    </row>
    <row r="375" spans="91:92">
      <c r="CM375" s="18">
        <f t="shared" si="180"/>
        <v>0</v>
      </c>
      <c r="CN375" s="18">
        <f t="shared" si="181"/>
        <v>0</v>
      </c>
    </row>
    <row r="376" spans="91:92">
      <c r="CM376" s="18">
        <f t="shared" si="180"/>
        <v>0</v>
      </c>
      <c r="CN376" s="18">
        <f t="shared" si="181"/>
        <v>0</v>
      </c>
    </row>
    <row r="377" spans="91:92">
      <c r="CM377" s="18">
        <f t="shared" si="180"/>
        <v>0</v>
      </c>
      <c r="CN377" s="18">
        <f t="shared" si="181"/>
        <v>0</v>
      </c>
    </row>
    <row r="378" spans="91:92">
      <c r="CM378" s="18">
        <f t="shared" si="180"/>
        <v>0</v>
      </c>
      <c r="CN378" s="18">
        <f t="shared" si="181"/>
        <v>0</v>
      </c>
    </row>
    <row r="379" spans="91:92">
      <c r="CM379" s="18">
        <f t="shared" si="180"/>
        <v>0</v>
      </c>
      <c r="CN379" s="18">
        <f t="shared" si="181"/>
        <v>0</v>
      </c>
    </row>
    <row r="380" spans="91:92">
      <c r="CM380" s="18">
        <f t="shared" si="180"/>
        <v>0</v>
      </c>
      <c r="CN380" s="18">
        <f t="shared" si="181"/>
        <v>0</v>
      </c>
    </row>
    <row r="381" spans="91:92">
      <c r="CM381" s="18">
        <f t="shared" si="180"/>
        <v>0</v>
      </c>
      <c r="CN381" s="18">
        <f t="shared" si="181"/>
        <v>0</v>
      </c>
    </row>
    <row r="382" spans="91:92">
      <c r="CM382" s="18">
        <f t="shared" si="180"/>
        <v>0</v>
      </c>
      <c r="CN382" s="18">
        <f t="shared" si="181"/>
        <v>0</v>
      </c>
    </row>
    <row r="383" spans="91:92">
      <c r="CM383" s="18">
        <f t="shared" si="180"/>
        <v>0</v>
      </c>
      <c r="CN383" s="18">
        <f t="shared" si="181"/>
        <v>0</v>
      </c>
    </row>
    <row r="384" spans="91:92">
      <c r="CM384" s="18">
        <f t="shared" si="180"/>
        <v>0</v>
      </c>
      <c r="CN384" s="18">
        <f t="shared" si="181"/>
        <v>0</v>
      </c>
    </row>
    <row r="385" spans="91:92">
      <c r="CM385" s="18">
        <f t="shared" si="180"/>
        <v>0</v>
      </c>
      <c r="CN385" s="18">
        <f t="shared" si="181"/>
        <v>0</v>
      </c>
    </row>
    <row r="386" spans="91:92">
      <c r="CM386" s="18">
        <f t="shared" si="180"/>
        <v>0</v>
      </c>
      <c r="CN386" s="18">
        <f t="shared" si="181"/>
        <v>0</v>
      </c>
    </row>
    <row r="387" spans="91:92">
      <c r="CM387" s="18">
        <f t="shared" si="180"/>
        <v>0</v>
      </c>
      <c r="CN387" s="18">
        <f t="shared" si="181"/>
        <v>0</v>
      </c>
    </row>
    <row r="388" spans="91:92">
      <c r="CM388" s="18">
        <f t="shared" si="180"/>
        <v>0</v>
      </c>
      <c r="CN388" s="18">
        <f t="shared" si="181"/>
        <v>0</v>
      </c>
    </row>
    <row r="389" spans="91:92">
      <c r="CM389" s="18">
        <f t="shared" si="180"/>
        <v>0</v>
      </c>
      <c r="CN389" s="18">
        <f t="shared" si="181"/>
        <v>0</v>
      </c>
    </row>
    <row r="390" spans="91:92">
      <c r="CM390" s="18">
        <f t="shared" si="180"/>
        <v>0</v>
      </c>
      <c r="CN390" s="18">
        <f t="shared" si="181"/>
        <v>0</v>
      </c>
    </row>
    <row r="391" spans="91:92">
      <c r="CM391" s="18">
        <f t="shared" si="180"/>
        <v>0</v>
      </c>
      <c r="CN391" s="18">
        <f t="shared" si="181"/>
        <v>0</v>
      </c>
    </row>
    <row r="392" spans="91:92">
      <c r="CM392" s="18">
        <f t="shared" si="180"/>
        <v>0</v>
      </c>
      <c r="CN392" s="18">
        <f t="shared" si="181"/>
        <v>0</v>
      </c>
    </row>
    <row r="393" spans="91:92">
      <c r="CM393" s="18">
        <f t="shared" si="180"/>
        <v>0</v>
      </c>
      <c r="CN393" s="18">
        <f t="shared" si="181"/>
        <v>0</v>
      </c>
    </row>
    <row r="394" spans="91:92">
      <c r="CM394" s="18">
        <f t="shared" si="180"/>
        <v>0</v>
      </c>
      <c r="CN394" s="18">
        <f t="shared" si="181"/>
        <v>0</v>
      </c>
    </row>
    <row r="395" spans="91:92">
      <c r="CM395" s="18">
        <f t="shared" si="180"/>
        <v>0</v>
      </c>
      <c r="CN395" s="18">
        <f t="shared" si="181"/>
        <v>0</v>
      </c>
    </row>
    <row r="396" spans="91:92">
      <c r="CM396" s="18">
        <f t="shared" si="180"/>
        <v>0</v>
      </c>
      <c r="CN396" s="18">
        <f t="shared" si="181"/>
        <v>0</v>
      </c>
    </row>
    <row r="397" spans="91:92">
      <c r="CM397" s="18">
        <f t="shared" si="180"/>
        <v>0</v>
      </c>
      <c r="CN397" s="18">
        <f t="shared" si="181"/>
        <v>0</v>
      </c>
    </row>
    <row r="398" spans="91:92">
      <c r="CM398" s="18">
        <f t="shared" si="180"/>
        <v>0</v>
      </c>
      <c r="CN398" s="18">
        <f t="shared" si="181"/>
        <v>0</v>
      </c>
    </row>
    <row r="399" spans="91:92">
      <c r="CM399" s="18">
        <f t="shared" si="180"/>
        <v>0</v>
      </c>
      <c r="CN399" s="18">
        <f t="shared" si="181"/>
        <v>0</v>
      </c>
    </row>
    <row r="400" spans="91:92">
      <c r="CM400" s="18">
        <f t="shared" si="180"/>
        <v>0</v>
      </c>
      <c r="CN400" s="18">
        <f t="shared" si="181"/>
        <v>0</v>
      </c>
    </row>
    <row r="401" spans="91:92">
      <c r="CM401" s="18">
        <f t="shared" si="180"/>
        <v>0</v>
      </c>
      <c r="CN401" s="18">
        <f t="shared" si="181"/>
        <v>0</v>
      </c>
    </row>
    <row r="402" spans="91:92">
      <c r="CM402" s="18">
        <f t="shared" ref="CM402:CM427" si="182">N402*AH402/1000</f>
        <v>0</v>
      </c>
      <c r="CN402" s="18">
        <f t="shared" ref="CN402:CN427" si="183">CM402-CL402</f>
        <v>0</v>
      </c>
    </row>
    <row r="403" spans="91:92">
      <c r="CM403" s="18">
        <f t="shared" si="182"/>
        <v>0</v>
      </c>
      <c r="CN403" s="18">
        <f t="shared" si="183"/>
        <v>0</v>
      </c>
    </row>
    <row r="404" spans="91:92">
      <c r="CM404" s="18">
        <f t="shared" si="182"/>
        <v>0</v>
      </c>
      <c r="CN404" s="18">
        <f t="shared" si="183"/>
        <v>0</v>
      </c>
    </row>
    <row r="405" spans="91:92">
      <c r="CM405" s="18">
        <f t="shared" si="182"/>
        <v>0</v>
      </c>
      <c r="CN405" s="18">
        <f t="shared" si="183"/>
        <v>0</v>
      </c>
    </row>
    <row r="406" spans="91:92">
      <c r="CM406" s="18">
        <f t="shared" si="182"/>
        <v>0</v>
      </c>
      <c r="CN406" s="18">
        <f t="shared" si="183"/>
        <v>0</v>
      </c>
    </row>
    <row r="407" spans="91:92">
      <c r="CM407" s="18">
        <f t="shared" si="182"/>
        <v>0</v>
      </c>
      <c r="CN407" s="18">
        <f t="shared" si="183"/>
        <v>0</v>
      </c>
    </row>
    <row r="408" spans="91:92">
      <c r="CM408" s="18">
        <f t="shared" si="182"/>
        <v>0</v>
      </c>
      <c r="CN408" s="18">
        <f t="shared" si="183"/>
        <v>0</v>
      </c>
    </row>
    <row r="409" spans="91:92">
      <c r="CM409" s="18">
        <f t="shared" si="182"/>
        <v>0</v>
      </c>
      <c r="CN409" s="18">
        <f t="shared" si="183"/>
        <v>0</v>
      </c>
    </row>
    <row r="410" spans="91:92">
      <c r="CM410" s="18">
        <f t="shared" si="182"/>
        <v>0</v>
      </c>
      <c r="CN410" s="18">
        <f t="shared" si="183"/>
        <v>0</v>
      </c>
    </row>
    <row r="411" spans="91:92">
      <c r="CM411" s="18">
        <f t="shared" si="182"/>
        <v>0</v>
      </c>
      <c r="CN411" s="18">
        <f t="shared" si="183"/>
        <v>0</v>
      </c>
    </row>
    <row r="412" spans="91:92">
      <c r="CM412" s="18">
        <f t="shared" si="182"/>
        <v>0</v>
      </c>
      <c r="CN412" s="18">
        <f t="shared" si="183"/>
        <v>0</v>
      </c>
    </row>
    <row r="413" spans="91:92">
      <c r="CM413" s="18">
        <f t="shared" si="182"/>
        <v>0</v>
      </c>
      <c r="CN413" s="18">
        <f t="shared" si="183"/>
        <v>0</v>
      </c>
    </row>
    <row r="414" spans="91:92">
      <c r="CM414" s="18">
        <f t="shared" si="182"/>
        <v>0</v>
      </c>
      <c r="CN414" s="18">
        <f t="shared" si="183"/>
        <v>0</v>
      </c>
    </row>
    <row r="415" spans="91:92">
      <c r="CM415" s="18">
        <f t="shared" si="182"/>
        <v>0</v>
      </c>
      <c r="CN415" s="18">
        <f t="shared" si="183"/>
        <v>0</v>
      </c>
    </row>
    <row r="416" spans="91:92">
      <c r="CM416" s="18">
        <f t="shared" si="182"/>
        <v>0</v>
      </c>
      <c r="CN416" s="18">
        <f t="shared" si="183"/>
        <v>0</v>
      </c>
    </row>
    <row r="417" spans="91:92">
      <c r="CM417" s="18">
        <f t="shared" si="182"/>
        <v>0</v>
      </c>
      <c r="CN417" s="18">
        <f t="shared" si="183"/>
        <v>0</v>
      </c>
    </row>
    <row r="418" spans="91:92">
      <c r="CM418" s="18">
        <f t="shared" si="182"/>
        <v>0</v>
      </c>
      <c r="CN418" s="18">
        <f t="shared" si="183"/>
        <v>0</v>
      </c>
    </row>
    <row r="419" spans="91:92">
      <c r="CM419" s="18">
        <f t="shared" si="182"/>
        <v>0</v>
      </c>
      <c r="CN419" s="18">
        <f t="shared" si="183"/>
        <v>0</v>
      </c>
    </row>
    <row r="420" spans="91:92">
      <c r="CM420" s="18">
        <f t="shared" si="182"/>
        <v>0</v>
      </c>
      <c r="CN420" s="18">
        <f t="shared" si="183"/>
        <v>0</v>
      </c>
    </row>
    <row r="421" spans="91:92">
      <c r="CM421" s="18">
        <f t="shared" si="182"/>
        <v>0</v>
      </c>
      <c r="CN421" s="18">
        <f t="shared" si="183"/>
        <v>0</v>
      </c>
    </row>
    <row r="422" spans="91:92">
      <c r="CM422" s="18">
        <f t="shared" si="182"/>
        <v>0</v>
      </c>
      <c r="CN422" s="18">
        <f t="shared" si="183"/>
        <v>0</v>
      </c>
    </row>
    <row r="423" spans="91:92">
      <c r="CM423" s="18">
        <f t="shared" si="182"/>
        <v>0</v>
      </c>
      <c r="CN423" s="18">
        <f t="shared" si="183"/>
        <v>0</v>
      </c>
    </row>
    <row r="424" spans="91:92">
      <c r="CM424" s="18">
        <f t="shared" si="182"/>
        <v>0</v>
      </c>
      <c r="CN424" s="18">
        <f t="shared" si="183"/>
        <v>0</v>
      </c>
    </row>
    <row r="425" spans="91:92">
      <c r="CM425" s="18">
        <f t="shared" si="182"/>
        <v>0</v>
      </c>
      <c r="CN425" s="18">
        <f t="shared" si="183"/>
        <v>0</v>
      </c>
    </row>
    <row r="426" spans="91:92">
      <c r="CM426" s="18">
        <f t="shared" si="182"/>
        <v>0</v>
      </c>
      <c r="CN426" s="18">
        <f t="shared" si="183"/>
        <v>0</v>
      </c>
    </row>
    <row r="427" spans="91:92">
      <c r="CM427" s="18">
        <f t="shared" si="182"/>
        <v>0</v>
      </c>
      <c r="CN427" s="18">
        <f t="shared" si="183"/>
        <v>0</v>
      </c>
    </row>
  </sheetData>
  <autoFilter ref="A13:GI427"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 filterMode="1"/>
  <dimension ref="A1:GI451"/>
  <sheetViews>
    <sheetView topLeftCell="A4" zoomScale="85" zoomScaleNormal="85" workbookViewId="0">
      <pane xSplit="4" ySplit="10" topLeftCell="Q58" activePane="bottomRight" state="frozen"/>
      <selection activeCell="G169" sqref="G169"/>
      <selection pane="topRight" activeCell="G169" sqref="G169"/>
      <selection pane="bottomLeft" activeCell="G169" sqref="G169"/>
      <selection pane="bottomRight" activeCell="T111" sqref="T111:T136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2.5703125" style="6" customWidth="1"/>
    <col min="20" max="20" width="15.42578125" style="30" customWidth="1"/>
    <col min="21" max="21" width="16.85546875" style="6" customWidth="1"/>
    <col min="22" max="22" width="14.42578125" style="222" customWidth="1"/>
    <col min="23" max="23" width="15.28515625" style="6" customWidth="1"/>
    <col min="24" max="24" width="15.85546875" style="6" customWidth="1"/>
    <col min="25" max="25" width="16.85546875" style="6" customWidth="1"/>
    <col min="26" max="26" width="16" style="6" customWidth="1"/>
    <col min="27" max="27" width="16.5703125" style="30" customWidth="1"/>
    <col min="28" max="28" width="15.42578125" style="6" customWidth="1"/>
    <col min="29" max="29" width="15.7109375" style="222" customWidth="1"/>
    <col min="30" max="30" width="14.5703125" style="6" customWidth="1"/>
    <col min="31" max="31" width="14" style="6" customWidth="1"/>
    <col min="32" max="32" width="16.28515625" style="6" customWidth="1"/>
    <col min="33" max="33" width="16.140625" style="6" customWidth="1"/>
    <col min="34" max="34" width="22.42578125" style="6" customWidth="1"/>
    <col min="35" max="35" width="17.7109375" style="6" customWidth="1"/>
    <col min="36" max="36" width="18.7109375" style="6" customWidth="1"/>
    <col min="37" max="37" width="17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36" customWidth="1"/>
    <col min="102" max="104" width="21.28515625" style="6" customWidth="1"/>
    <col min="105" max="105" width="21" style="6" customWidth="1"/>
    <col min="106" max="106" width="20.28515625" style="6" customWidth="1"/>
    <col min="107" max="111" width="9.140625" style="27" customWidth="1"/>
    <col min="112" max="112" width="24.7109375" style="6" customWidth="1"/>
    <col min="113" max="114" width="22.28515625" style="6" customWidth="1"/>
    <col min="115" max="115" width="9.140625" style="6" customWidth="1"/>
    <col min="116" max="116" width="14.28515625" style="219" bestFit="1" customWidth="1"/>
    <col min="117" max="118" width="14.28515625" style="6" bestFit="1" customWidth="1"/>
    <col min="119" max="119" width="9.140625" style="6" customWidth="1"/>
    <col min="120" max="16384" width="9.140625" style="6"/>
  </cols>
  <sheetData>
    <row r="1" spans="1:142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36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42">
      <c r="B3" s="2"/>
      <c r="C3" s="2"/>
      <c r="D3" s="2"/>
      <c r="E3" s="2"/>
      <c r="F3" s="2"/>
      <c r="G3" s="2"/>
    </row>
    <row r="4" spans="1:142" ht="15" hidden="1" customHeight="1">
      <c r="B4" s="2"/>
      <c r="C4" s="2"/>
      <c r="D4" s="2"/>
      <c r="E4" s="2"/>
      <c r="F4" s="2"/>
      <c r="G4" s="2"/>
      <c r="CJ4" s="25">
        <f>CJ6*1000-CJ5</f>
        <v>-126023008.20303401</v>
      </c>
      <c r="CK4" s="25">
        <f>CK6*1000-CK5</f>
        <v>-68809433.937504023</v>
      </c>
      <c r="CM4" s="6"/>
      <c r="CN4" s="6"/>
      <c r="DH4" s="25"/>
      <c r="DI4" s="25"/>
    </row>
    <row r="5" spans="1:142" ht="15" hidden="1" customHeight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42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34820.586624765267</v>
      </c>
      <c r="CG6" s="25"/>
      <c r="CH6" s="25"/>
      <c r="CJ6" s="8">
        <f>CJ8/1.2</f>
        <v>173785.10513772996</v>
      </c>
      <c r="CK6" s="8">
        <f>CK8/1.2</f>
        <v>134843.98116887998</v>
      </c>
      <c r="CL6" s="8">
        <f>CL8/1.2</f>
        <v>308629.08630660997</v>
      </c>
      <c r="CM6" s="8"/>
      <c r="CN6" s="8"/>
      <c r="DH6" s="8"/>
      <c r="DI6" s="8"/>
      <c r="DJ6" s="8"/>
    </row>
    <row r="7" spans="1:142" ht="18.75">
      <c r="B7" s="2">
        <v>2024</v>
      </c>
      <c r="C7" s="2"/>
      <c r="D7" s="2"/>
      <c r="E7" s="2"/>
      <c r="F7" s="2"/>
      <c r="G7" s="1684">
        <v>100</v>
      </c>
      <c r="H7" s="1702">
        <f>2762.47*1.2</f>
        <v>3314.9639999999995</v>
      </c>
      <c r="L7" s="6">
        <v>3758.5679999999998</v>
      </c>
      <c r="M7" s="1683">
        <f>3132.14*1.2</f>
        <v>3758.5679999999998</v>
      </c>
      <c r="N7" s="753">
        <f>2749.3*1.2</f>
        <v>3299.1600000000003</v>
      </c>
      <c r="O7" s="753">
        <f>2749.3*1.2</f>
        <v>3299.1600000000003</v>
      </c>
      <c r="P7" s="10"/>
      <c r="Q7" s="10"/>
      <c r="R7" s="753">
        <f>2749.3*1.2</f>
        <v>3299.1600000000003</v>
      </c>
      <c r="T7" s="30">
        <v>928.61700000002747</v>
      </c>
      <c r="V7" s="231"/>
      <c r="Z7" s="8">
        <f>Z8/AH8</f>
        <v>0.59500630831419066</v>
      </c>
      <c r="AA7" s="30">
        <v>671.25900000002002</v>
      </c>
      <c r="AH7" s="1210"/>
      <c r="AI7" s="1211"/>
      <c r="BE7" s="6">
        <f>(N120-P120)*AB120/1000/1.2</f>
        <v>-0.24010086499432237</v>
      </c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4">
        <v>59417.220359300787</v>
      </c>
      <c r="BK7" s="754">
        <f>BJ7-BI8</f>
        <v>17632.516409582473</v>
      </c>
      <c r="CG7" s="25"/>
      <c r="CH7" s="25"/>
      <c r="CI7" s="755"/>
      <c r="CK7" s="1212" t="s">
        <v>957</v>
      </c>
      <c r="CL7" s="1213">
        <f>513454.73654768*1.2</f>
        <v>616145.68385721592</v>
      </c>
      <c r="CM7" s="1236"/>
      <c r="CN7" s="1236"/>
      <c r="DH7" s="159"/>
      <c r="DI7" s="159"/>
      <c r="DJ7" s="8"/>
    </row>
    <row r="8" spans="1:142" ht="26.25">
      <c r="B8" s="7" t="s">
        <v>996</v>
      </c>
      <c r="C8" s="7"/>
      <c r="D8" s="7"/>
      <c r="E8" s="7"/>
      <c r="F8" s="7"/>
      <c r="G8" s="7"/>
      <c r="T8" s="610">
        <f>SUBTOTAL(9,T14:T142)</f>
        <v>38721.001000000004</v>
      </c>
      <c r="U8" s="610">
        <f>SUBTOTAL(9,U14:U142)</f>
        <v>28326.652000000002</v>
      </c>
      <c r="V8" s="1021">
        <f>SUBTOTAL(9,V14:V142)</f>
        <v>434.75600000000003</v>
      </c>
      <c r="W8" s="610">
        <f t="shared" ref="W8:Y8" si="2">SUBTOTAL(9,W14:W142)</f>
        <v>0</v>
      </c>
      <c r="X8" s="610">
        <f t="shared" si="2"/>
        <v>0</v>
      </c>
      <c r="Y8" s="610">
        <f t="shared" si="2"/>
        <v>0</v>
      </c>
      <c r="Z8" s="610">
        <f>SUBTOTAL(9,Z14:Z142)</f>
        <v>67482.409</v>
      </c>
      <c r="AA8" s="610">
        <f>SUBTOTAL(9,AA14:AA142)</f>
        <v>23965.991999999995</v>
      </c>
      <c r="AB8" s="610">
        <f>SUBTOTAL(9,AB14:AB142)</f>
        <v>21181.702999999998</v>
      </c>
      <c r="AC8" s="1021">
        <f>SUBTOTAL(9,AC14:AC142)</f>
        <v>784.50699999999995</v>
      </c>
      <c r="AD8" s="610">
        <f>SUBTOTAL(9,AD14:AD142)</f>
        <v>0</v>
      </c>
      <c r="AE8" s="610">
        <v>0</v>
      </c>
      <c r="AF8" s="610">
        <f>77580.827-AG8</f>
        <v>31648.625000000007</v>
      </c>
      <c r="AG8" s="610">
        <f t="shared" ref="AG8:AQ8" si="3">SUBTOTAL(9,AG14:AG142)</f>
        <v>45932.201999999997</v>
      </c>
      <c r="AH8" s="616">
        <f t="shared" si="3"/>
        <v>113414.611</v>
      </c>
      <c r="AI8" s="613">
        <f t="shared" si="3"/>
        <v>62686.993000000002</v>
      </c>
      <c r="AJ8" s="613">
        <f t="shared" si="3"/>
        <v>49508.354999999996</v>
      </c>
      <c r="AK8" s="613">
        <f t="shared" si="3"/>
        <v>1219.2629999999999</v>
      </c>
      <c r="AL8" s="181">
        <f t="shared" si="3"/>
        <v>0</v>
      </c>
      <c r="AM8" s="181">
        <f t="shared" si="3"/>
        <v>0</v>
      </c>
      <c r="AN8" s="181">
        <f t="shared" si="3"/>
        <v>0</v>
      </c>
      <c r="AO8" s="611">
        <f t="shared" si="3"/>
        <v>113414.611</v>
      </c>
      <c r="AP8" s="611">
        <f t="shared" si="3"/>
        <v>113414.611</v>
      </c>
      <c r="AQ8" s="613">
        <f t="shared" si="3"/>
        <v>113414.611</v>
      </c>
      <c r="BG8" s="611">
        <f>SUBTOTAL(9,BG14:BG142)</f>
        <v>21308.343375068322</v>
      </c>
      <c r="BH8" s="611">
        <f>SUBTOTAL(9,BH14:BH142)</f>
        <v>20476.360574649996</v>
      </c>
      <c r="BI8" s="611">
        <f>SUBTOTAL(9,BI14:BI142)</f>
        <v>41784.703949718314</v>
      </c>
      <c r="BJ8" s="754">
        <f>BK8-BI8</f>
        <v>185950.48904791544</v>
      </c>
      <c r="BK8" s="776">
        <v>227735.19299763377</v>
      </c>
      <c r="CF8" s="25"/>
      <c r="CG8" s="611">
        <f t="shared" ref="CG8:CI8" si="4">SUBTOTAL(9,CG14:CG142)</f>
        <v>173939949.29275197</v>
      </c>
      <c r="CH8" s="611">
        <f t="shared" si="4"/>
        <v>16494.787580478987</v>
      </c>
      <c r="CI8" s="611">
        <f t="shared" si="4"/>
        <v>0</v>
      </c>
      <c r="CJ8" s="611">
        <f>SUBTOTAL(9,CJ14:CJ142)</f>
        <v>208542.12616527593</v>
      </c>
      <c r="CK8" s="611">
        <f>SUBTOTAL(9,CK14:CK142)</f>
        <v>161812.77740265598</v>
      </c>
      <c r="CL8" s="611">
        <f>SUBTOTAL(9,CL14:CL142)</f>
        <v>370354.90356793196</v>
      </c>
      <c r="CM8" s="1237"/>
      <c r="CN8" s="1237"/>
      <c r="CO8" s="755">
        <f>CL8/1.2</f>
        <v>308629.08630660997</v>
      </c>
      <c r="CP8" s="25"/>
      <c r="CQ8" s="158">
        <f>503461.528447148*1000</f>
        <v>503461528.44714797</v>
      </c>
      <c r="DH8" s="611">
        <f>SUM(DH14:DH142)</f>
        <v>3640553.3282431778</v>
      </c>
      <c r="DI8" s="611">
        <f>SUM(DI14:DI142)</f>
        <v>2370681.7118644156</v>
      </c>
      <c r="DJ8" s="611">
        <f>SUM(DJ14:DJ142)</f>
        <v>1269871.6163787621</v>
      </c>
      <c r="DL8" s="6"/>
    </row>
    <row r="9" spans="1:142" s="817" customFormat="1" ht="15.75" thickBot="1">
      <c r="A9" s="817">
        <v>1</v>
      </c>
      <c r="B9" s="817">
        <v>2</v>
      </c>
      <c r="C9" s="817">
        <v>3</v>
      </c>
      <c r="D9" s="817">
        <f t="shared" ref="D9:BO9" si="5">C9+1</f>
        <v>4</v>
      </c>
      <c r="E9" s="817">
        <f>D9+1</f>
        <v>5</v>
      </c>
      <c r="F9" s="817">
        <f t="shared" si="5"/>
        <v>6</v>
      </c>
      <c r="G9" s="817">
        <f t="shared" si="5"/>
        <v>7</v>
      </c>
      <c r="H9" s="817">
        <f t="shared" si="5"/>
        <v>8</v>
      </c>
      <c r="I9" s="817">
        <f t="shared" si="5"/>
        <v>9</v>
      </c>
      <c r="J9" s="817">
        <f t="shared" si="5"/>
        <v>10</v>
      </c>
      <c r="K9" s="817">
        <f t="shared" si="5"/>
        <v>11</v>
      </c>
      <c r="L9" s="817">
        <f t="shared" si="5"/>
        <v>12</v>
      </c>
      <c r="M9" s="817">
        <f t="shared" si="5"/>
        <v>13</v>
      </c>
      <c r="N9" s="817">
        <f t="shared" si="5"/>
        <v>14</v>
      </c>
      <c r="O9" s="817">
        <f t="shared" si="5"/>
        <v>15</v>
      </c>
      <c r="P9" s="817">
        <f t="shared" si="5"/>
        <v>16</v>
      </c>
      <c r="Q9" s="817">
        <f t="shared" si="5"/>
        <v>17</v>
      </c>
      <c r="R9" s="817">
        <f t="shared" si="5"/>
        <v>18</v>
      </c>
      <c r="S9" s="817">
        <f t="shared" si="5"/>
        <v>19</v>
      </c>
      <c r="T9" s="817">
        <f t="shared" si="5"/>
        <v>20</v>
      </c>
      <c r="U9" s="817">
        <f t="shared" si="5"/>
        <v>21</v>
      </c>
      <c r="V9" s="818">
        <f t="shared" si="5"/>
        <v>22</v>
      </c>
      <c r="W9" s="817">
        <f t="shared" si="5"/>
        <v>23</v>
      </c>
      <c r="X9" s="817">
        <f t="shared" si="5"/>
        <v>24</v>
      </c>
      <c r="Y9" s="817">
        <f t="shared" si="5"/>
        <v>25</v>
      </c>
      <c r="Z9" s="817">
        <f t="shared" si="5"/>
        <v>26</v>
      </c>
      <c r="AA9" s="817">
        <f t="shared" si="5"/>
        <v>27</v>
      </c>
      <c r="AB9" s="817">
        <f t="shared" si="5"/>
        <v>28</v>
      </c>
      <c r="AC9" s="818">
        <f t="shared" si="5"/>
        <v>29</v>
      </c>
      <c r="AD9" s="817">
        <f t="shared" si="5"/>
        <v>30</v>
      </c>
      <c r="AE9" s="817">
        <f t="shared" si="5"/>
        <v>31</v>
      </c>
      <c r="AF9" s="817">
        <f t="shared" si="5"/>
        <v>32</v>
      </c>
      <c r="AG9" s="817">
        <f t="shared" si="5"/>
        <v>33</v>
      </c>
      <c r="AH9" s="817">
        <f t="shared" si="5"/>
        <v>34</v>
      </c>
      <c r="AI9" s="817">
        <f t="shared" si="5"/>
        <v>35</v>
      </c>
      <c r="AJ9" s="817">
        <f t="shared" si="5"/>
        <v>36</v>
      </c>
      <c r="AK9" s="817">
        <f t="shared" si="5"/>
        <v>37</v>
      </c>
      <c r="AL9" s="817">
        <f t="shared" si="5"/>
        <v>38</v>
      </c>
      <c r="AM9" s="817">
        <f t="shared" si="5"/>
        <v>39</v>
      </c>
      <c r="AN9" s="817">
        <f t="shared" si="5"/>
        <v>40</v>
      </c>
      <c r="AO9" s="817">
        <f t="shared" si="5"/>
        <v>41</v>
      </c>
      <c r="AP9" s="817">
        <f t="shared" si="5"/>
        <v>42</v>
      </c>
      <c r="AQ9" s="817">
        <f t="shared" si="5"/>
        <v>43</v>
      </c>
      <c r="AR9" s="817">
        <f t="shared" si="5"/>
        <v>44</v>
      </c>
      <c r="AS9" s="817">
        <f t="shared" si="5"/>
        <v>45</v>
      </c>
      <c r="AT9" s="817">
        <f t="shared" si="5"/>
        <v>46</v>
      </c>
      <c r="AU9" s="817">
        <f t="shared" si="5"/>
        <v>47</v>
      </c>
      <c r="AV9" s="817">
        <f t="shared" si="5"/>
        <v>48</v>
      </c>
      <c r="AW9" s="817">
        <f t="shared" si="5"/>
        <v>49</v>
      </c>
      <c r="AX9" s="817">
        <f t="shared" si="5"/>
        <v>50</v>
      </c>
      <c r="AY9" s="817">
        <f t="shared" si="5"/>
        <v>51</v>
      </c>
      <c r="AZ9" s="817">
        <f t="shared" si="5"/>
        <v>52</v>
      </c>
      <c r="BA9" s="817">
        <f t="shared" si="5"/>
        <v>53</v>
      </c>
      <c r="BB9" s="817">
        <f t="shared" si="5"/>
        <v>54</v>
      </c>
      <c r="BC9" s="817">
        <f t="shared" si="5"/>
        <v>55</v>
      </c>
      <c r="BD9" s="817">
        <f t="shared" si="5"/>
        <v>56</v>
      </c>
      <c r="BE9" s="817">
        <f t="shared" si="5"/>
        <v>57</v>
      </c>
      <c r="BF9" s="817">
        <f t="shared" si="5"/>
        <v>58</v>
      </c>
      <c r="BG9" s="817">
        <f t="shared" si="5"/>
        <v>59</v>
      </c>
      <c r="BH9" s="817">
        <f t="shared" si="5"/>
        <v>60</v>
      </c>
      <c r="BI9" s="817">
        <f t="shared" si="5"/>
        <v>61</v>
      </c>
      <c r="BL9" s="817">
        <f>BI9+1</f>
        <v>62</v>
      </c>
      <c r="BM9" s="817">
        <f t="shared" si="5"/>
        <v>63</v>
      </c>
      <c r="BN9" s="817">
        <f t="shared" si="5"/>
        <v>64</v>
      </c>
      <c r="BO9" s="817">
        <f t="shared" si="5"/>
        <v>65</v>
      </c>
      <c r="BP9" s="817">
        <f t="shared" ref="BP9:DB9" si="6">BO9+1</f>
        <v>66</v>
      </c>
      <c r="BQ9" s="817">
        <f t="shared" si="6"/>
        <v>67</v>
      </c>
      <c r="BR9" s="817">
        <f t="shared" si="6"/>
        <v>68</v>
      </c>
      <c r="BS9" s="817">
        <f t="shared" si="6"/>
        <v>69</v>
      </c>
      <c r="BT9" s="817">
        <f t="shared" si="6"/>
        <v>70</v>
      </c>
      <c r="BU9" s="817">
        <f t="shared" si="6"/>
        <v>71</v>
      </c>
      <c r="BV9" s="817">
        <f t="shared" si="6"/>
        <v>72</v>
      </c>
      <c r="BW9" s="817">
        <f t="shared" si="6"/>
        <v>73</v>
      </c>
      <c r="BX9" s="817">
        <f t="shared" si="6"/>
        <v>74</v>
      </c>
      <c r="BY9" s="817">
        <f t="shared" si="6"/>
        <v>75</v>
      </c>
      <c r="BZ9" s="817">
        <f t="shared" si="6"/>
        <v>76</v>
      </c>
      <c r="CA9" s="817">
        <f t="shared" si="6"/>
        <v>77</v>
      </c>
      <c r="CB9" s="817">
        <f t="shared" si="6"/>
        <v>78</v>
      </c>
      <c r="CC9" s="817">
        <f t="shared" si="6"/>
        <v>79</v>
      </c>
      <c r="CD9" s="817">
        <f t="shared" si="6"/>
        <v>80</v>
      </c>
      <c r="CE9" s="817">
        <f t="shared" si="6"/>
        <v>81</v>
      </c>
      <c r="CF9" s="817">
        <f t="shared" si="6"/>
        <v>82</v>
      </c>
      <c r="CG9" s="817">
        <f t="shared" si="6"/>
        <v>83</v>
      </c>
      <c r="CH9" s="817">
        <f t="shared" si="6"/>
        <v>84</v>
      </c>
      <c r="CI9" s="817">
        <f t="shared" si="6"/>
        <v>85</v>
      </c>
      <c r="CJ9" s="817">
        <f t="shared" si="6"/>
        <v>86</v>
      </c>
      <c r="CK9" s="817">
        <f t="shared" si="6"/>
        <v>87</v>
      </c>
      <c r="CL9" s="817">
        <f t="shared" si="6"/>
        <v>88</v>
      </c>
      <c r="CM9" s="1238"/>
      <c r="CN9" s="1238"/>
      <c r="CO9" s="817">
        <f>CL9+1</f>
        <v>89</v>
      </c>
      <c r="CP9" s="817">
        <f t="shared" si="6"/>
        <v>90</v>
      </c>
      <c r="CQ9" s="817">
        <f t="shared" si="6"/>
        <v>91</v>
      </c>
      <c r="CR9" s="817">
        <f t="shared" si="6"/>
        <v>92</v>
      </c>
      <c r="CS9" s="817">
        <f t="shared" si="6"/>
        <v>93</v>
      </c>
      <c r="CT9" s="817">
        <f t="shared" si="6"/>
        <v>94</v>
      </c>
      <c r="CU9" s="817">
        <f t="shared" si="6"/>
        <v>95</v>
      </c>
      <c r="CV9" s="817">
        <f t="shared" si="6"/>
        <v>96</v>
      </c>
      <c r="CW9" s="835">
        <f t="shared" si="6"/>
        <v>97</v>
      </c>
      <c r="CX9" s="817">
        <f t="shared" si="6"/>
        <v>98</v>
      </c>
      <c r="CY9" s="817">
        <f t="shared" si="6"/>
        <v>99</v>
      </c>
      <c r="CZ9" s="817">
        <f t="shared" si="6"/>
        <v>100</v>
      </c>
      <c r="DA9" s="817">
        <f t="shared" si="6"/>
        <v>101</v>
      </c>
      <c r="DB9" s="817">
        <f t="shared" si="6"/>
        <v>102</v>
      </c>
      <c r="DC9" s="1573"/>
      <c r="DD9" s="1573"/>
      <c r="DE9" s="1573"/>
      <c r="DF9" s="1573"/>
      <c r="DG9" s="1573"/>
    </row>
    <row r="10" spans="1:142" s="819" customFormat="1" ht="41.25" customHeight="1" thickBot="1">
      <c r="A10" s="1917" t="s">
        <v>233</v>
      </c>
      <c r="B10" s="1896" t="s">
        <v>134</v>
      </c>
      <c r="C10" s="1896" t="s">
        <v>1</v>
      </c>
      <c r="D10" s="1896" t="s">
        <v>0</v>
      </c>
      <c r="E10" s="1896" t="s">
        <v>223</v>
      </c>
      <c r="F10" s="1906" t="s">
        <v>2</v>
      </c>
      <c r="G10" s="1896" t="s">
        <v>3</v>
      </c>
      <c r="H10" s="2058" t="s">
        <v>230</v>
      </c>
      <c r="I10" s="2058"/>
      <c r="J10" s="2058"/>
      <c r="K10" s="2058"/>
      <c r="L10" s="2058"/>
      <c r="M10" s="2058"/>
      <c r="N10" s="2058"/>
      <c r="O10" s="2058"/>
      <c r="P10" s="2058"/>
      <c r="Q10" s="2058"/>
      <c r="R10" s="2058"/>
      <c r="S10" s="2058"/>
      <c r="T10" s="2059" t="s">
        <v>917</v>
      </c>
      <c r="U10" s="2059"/>
      <c r="V10" s="2059"/>
      <c r="W10" s="2059"/>
      <c r="X10" s="2059"/>
      <c r="Y10" s="2059"/>
      <c r="Z10" s="2059"/>
      <c r="AA10" s="2059"/>
      <c r="AB10" s="2059"/>
      <c r="AC10" s="2059"/>
      <c r="AD10" s="2059"/>
      <c r="AE10" s="2059"/>
      <c r="AF10" s="2059"/>
      <c r="AG10" s="2060"/>
      <c r="AH10" s="2061" t="s">
        <v>267</v>
      </c>
      <c r="AI10" s="2062"/>
      <c r="AJ10" s="2062"/>
      <c r="AK10" s="2062"/>
      <c r="AL10" s="2062"/>
      <c r="AM10" s="2062"/>
      <c r="AN10" s="2062"/>
      <c r="AO10" s="2062"/>
      <c r="AP10" s="2062"/>
      <c r="AQ10" s="2063"/>
      <c r="AR10" s="1320"/>
      <c r="AS10" s="2064" t="s">
        <v>268</v>
      </c>
      <c r="AT10" s="2065"/>
      <c r="AU10" s="2065"/>
      <c r="AV10" s="2065"/>
      <c r="AW10" s="2065"/>
      <c r="AX10" s="2065"/>
      <c r="AY10" s="2065"/>
      <c r="AZ10" s="2065"/>
      <c r="BA10" s="2065"/>
      <c r="BB10" s="2065"/>
      <c r="BC10" s="2065"/>
      <c r="BD10" s="2065"/>
      <c r="BE10" s="2065"/>
      <c r="BF10" s="2066"/>
      <c r="BG10" s="2006" t="s">
        <v>269</v>
      </c>
      <c r="BH10" s="2006"/>
      <c r="BI10" s="2007"/>
      <c r="BJ10" s="1198" t="s">
        <v>988</v>
      </c>
      <c r="BK10" s="1227" t="s">
        <v>1041</v>
      </c>
      <c r="BL10" s="2055" t="s">
        <v>997</v>
      </c>
      <c r="BM10" s="2055"/>
      <c r="BN10" s="2055"/>
      <c r="BO10" s="2055"/>
      <c r="BP10" s="2055"/>
      <c r="BQ10" s="2055"/>
      <c r="BR10" s="2055"/>
      <c r="BS10" s="2055"/>
      <c r="BT10" s="2055"/>
      <c r="BU10" s="2055"/>
      <c r="BV10" s="2055"/>
      <c r="BW10" s="2055"/>
      <c r="BX10" s="2055"/>
      <c r="BY10" s="2055"/>
      <c r="BZ10" s="2056" t="s">
        <v>192</v>
      </c>
      <c r="CA10" s="2056" t="s">
        <v>193</v>
      </c>
      <c r="CB10" s="2026" t="s">
        <v>201</v>
      </c>
      <c r="CC10" s="1298" t="s">
        <v>191</v>
      </c>
      <c r="CD10" s="1298" t="s">
        <v>191</v>
      </c>
      <c r="CE10" s="1298" t="s">
        <v>202</v>
      </c>
      <c r="CF10" s="1298" t="s">
        <v>197</v>
      </c>
      <c r="CG10" s="1299" t="s">
        <v>199</v>
      </c>
      <c r="CH10" s="1300" t="s">
        <v>198</v>
      </c>
      <c r="CI10" s="625"/>
      <c r="CJ10" s="2029" t="s">
        <v>277</v>
      </c>
      <c r="CK10" s="2030"/>
      <c r="CL10" s="2031"/>
      <c r="CM10" s="1301"/>
      <c r="CN10" s="1301"/>
      <c r="CO10" s="1302" t="s">
        <v>211</v>
      </c>
      <c r="CP10" s="2041" t="s">
        <v>228</v>
      </c>
      <c r="CQ10" s="2042"/>
      <c r="CR10" s="2042"/>
      <c r="CS10" s="2042"/>
      <c r="CT10" s="2042"/>
      <c r="CU10" s="2042"/>
      <c r="CV10" s="2042"/>
      <c r="CW10" s="2043"/>
      <c r="CX10" s="2041" t="s">
        <v>229</v>
      </c>
      <c r="CY10" s="2042"/>
      <c r="CZ10" s="2043"/>
      <c r="DA10" s="2044" t="s">
        <v>221</v>
      </c>
      <c r="DB10" s="2044"/>
      <c r="DC10" s="675"/>
      <c r="DD10" s="675" t="s">
        <v>263</v>
      </c>
      <c r="DE10" s="675"/>
      <c r="DF10" s="675"/>
      <c r="DG10" s="675"/>
      <c r="DH10" s="2045" t="s">
        <v>995</v>
      </c>
      <c r="DI10" s="2046"/>
      <c r="DJ10" s="2047"/>
      <c r="DK10" s="625"/>
      <c r="DL10" s="625"/>
      <c r="DM10" s="625"/>
      <c r="DN10" s="625"/>
      <c r="DO10" s="625"/>
    </row>
    <row r="11" spans="1:142" s="819" customFormat="1" ht="28.5" customHeight="1">
      <c r="A11" s="1917"/>
      <c r="B11" s="1897"/>
      <c r="C11" s="1897"/>
      <c r="D11" s="1897"/>
      <c r="E11" s="1897"/>
      <c r="F11" s="1907"/>
      <c r="G11" s="1910"/>
      <c r="H11" s="2048" t="s">
        <v>990</v>
      </c>
      <c r="I11" s="2049"/>
      <c r="J11" s="2049"/>
      <c r="K11" s="2049"/>
      <c r="L11" s="2049"/>
      <c r="M11" s="2050"/>
      <c r="N11" s="2049" t="s">
        <v>989</v>
      </c>
      <c r="O11" s="2049"/>
      <c r="P11" s="2049"/>
      <c r="Q11" s="2049"/>
      <c r="R11" s="2049"/>
      <c r="S11" s="2050"/>
      <c r="T11" s="2051" t="s">
        <v>265</v>
      </c>
      <c r="U11" s="2052"/>
      <c r="V11" s="2052"/>
      <c r="W11" s="2052"/>
      <c r="X11" s="2052"/>
      <c r="Y11" s="2052"/>
      <c r="Z11" s="2053"/>
      <c r="AA11" s="2052" t="s">
        <v>266</v>
      </c>
      <c r="AB11" s="2052"/>
      <c r="AC11" s="2052"/>
      <c r="AD11" s="2052"/>
      <c r="AE11" s="2052"/>
      <c r="AF11" s="2052"/>
      <c r="AG11" s="2052"/>
      <c r="AH11" s="1317" t="s">
        <v>208</v>
      </c>
      <c r="AI11" s="2014"/>
      <c r="AJ11" s="2015"/>
      <c r="AK11" s="2015"/>
      <c r="AL11" s="2015"/>
      <c r="AM11" s="2015"/>
      <c r="AN11" s="2015"/>
      <c r="AO11" s="2015"/>
      <c r="AP11" s="2015"/>
      <c r="AQ11" s="2054"/>
      <c r="AR11" s="1805" t="s">
        <v>210</v>
      </c>
      <c r="AS11" s="2067" t="s">
        <v>265</v>
      </c>
      <c r="AT11" s="1942"/>
      <c r="AU11" s="1942"/>
      <c r="AV11" s="1942"/>
      <c r="AW11" s="1942"/>
      <c r="AX11" s="1942"/>
      <c r="AY11" s="1943"/>
      <c r="AZ11" s="1941" t="s">
        <v>266</v>
      </c>
      <c r="BA11" s="1942"/>
      <c r="BB11" s="1942"/>
      <c r="BC11" s="1942"/>
      <c r="BD11" s="1942"/>
      <c r="BE11" s="1942"/>
      <c r="BF11" s="2068"/>
      <c r="BG11" s="1323" t="s">
        <v>225</v>
      </c>
      <c r="BH11" s="108" t="s">
        <v>226</v>
      </c>
      <c r="BI11" s="1806" t="s">
        <v>163</v>
      </c>
      <c r="BJ11" s="1806"/>
      <c r="BK11" s="1635"/>
      <c r="BL11" s="2057" t="s">
        <v>991</v>
      </c>
      <c r="BM11" s="2057"/>
      <c r="BN11" s="2057"/>
      <c r="BO11" s="2057"/>
      <c r="BP11" s="2057"/>
      <c r="BQ11" s="2057"/>
      <c r="BR11" s="2057"/>
      <c r="BS11" s="2057" t="s">
        <v>992</v>
      </c>
      <c r="BT11" s="2057"/>
      <c r="BU11" s="2057"/>
      <c r="BV11" s="2057"/>
      <c r="BW11" s="2057"/>
      <c r="BX11" s="2057"/>
      <c r="BY11" s="2057"/>
      <c r="BZ11" s="2056"/>
      <c r="CA11" s="2056"/>
      <c r="CB11" s="2027"/>
      <c r="CC11" s="1806" t="s">
        <v>194</v>
      </c>
      <c r="CD11" s="1303" t="s">
        <v>195</v>
      </c>
      <c r="CE11" s="1806" t="s">
        <v>200</v>
      </c>
      <c r="CF11" s="1806"/>
      <c r="CG11" s="111"/>
      <c r="CH11" s="625"/>
      <c r="CI11" s="625"/>
      <c r="CJ11" s="2032" t="s">
        <v>203</v>
      </c>
      <c r="CK11" s="2032" t="s">
        <v>204</v>
      </c>
      <c r="CL11" s="2032" t="s">
        <v>205</v>
      </c>
      <c r="CM11" s="1240"/>
      <c r="CN11" s="1240"/>
      <c r="CO11" s="2038"/>
      <c r="CP11" s="126"/>
      <c r="CQ11" s="126"/>
      <c r="CR11" s="126"/>
      <c r="CS11" s="126"/>
      <c r="CT11" s="126"/>
      <c r="CU11" s="126"/>
      <c r="CV11" s="126"/>
      <c r="CW11" s="1304"/>
      <c r="CX11" s="126" t="s">
        <v>218</v>
      </c>
      <c r="CY11" s="126" t="s">
        <v>218</v>
      </c>
      <c r="CZ11" s="126" t="s">
        <v>218</v>
      </c>
      <c r="DA11" s="2038" t="s">
        <v>203</v>
      </c>
      <c r="DB11" s="2038" t="s">
        <v>204</v>
      </c>
      <c r="DC11" s="675"/>
      <c r="DD11" s="675" t="s">
        <v>264</v>
      </c>
      <c r="DE11" s="675"/>
      <c r="DF11" s="675"/>
      <c r="DG11" s="675"/>
      <c r="DH11" s="1995" t="s">
        <v>163</v>
      </c>
      <c r="DI11" s="1999" t="s">
        <v>1020</v>
      </c>
      <c r="DJ11" s="1999" t="s">
        <v>923</v>
      </c>
      <c r="DK11" s="625"/>
      <c r="DL11" s="625"/>
      <c r="DM11" s="625"/>
      <c r="DN11" s="625"/>
      <c r="DO11" s="625"/>
    </row>
    <row r="12" spans="1:142" s="819" customFormat="1" ht="29.25" customHeight="1">
      <c r="A12" s="1917"/>
      <c r="B12" s="1897"/>
      <c r="C12" s="1897"/>
      <c r="D12" s="1897"/>
      <c r="E12" s="1897"/>
      <c r="F12" s="1907"/>
      <c r="G12" s="1910"/>
      <c r="H12" s="1915" t="s">
        <v>207</v>
      </c>
      <c r="I12" s="1900" t="s">
        <v>909</v>
      </c>
      <c r="J12" s="1901" t="s">
        <v>139</v>
      </c>
      <c r="K12" s="1902"/>
      <c r="L12" s="1896" t="s">
        <v>5</v>
      </c>
      <c r="M12" s="1898" t="s">
        <v>6</v>
      </c>
      <c r="N12" s="1903" t="s">
        <v>207</v>
      </c>
      <c r="O12" s="1896" t="s">
        <v>909</v>
      </c>
      <c r="P12" s="1901" t="s">
        <v>139</v>
      </c>
      <c r="Q12" s="1902"/>
      <c r="R12" s="1896" t="s">
        <v>5</v>
      </c>
      <c r="S12" s="1898" t="s">
        <v>6</v>
      </c>
      <c r="T12" s="2022" t="s">
        <v>909</v>
      </c>
      <c r="U12" s="1901" t="s">
        <v>139</v>
      </c>
      <c r="V12" s="1902"/>
      <c r="W12" s="1896" t="s">
        <v>5</v>
      </c>
      <c r="X12" s="1896" t="s">
        <v>6</v>
      </c>
      <c r="Y12" s="1896" t="s">
        <v>164</v>
      </c>
      <c r="Z12" s="1898" t="s">
        <v>206</v>
      </c>
      <c r="AA12" s="1993" t="s">
        <v>909</v>
      </c>
      <c r="AB12" s="1901" t="s">
        <v>139</v>
      </c>
      <c r="AC12" s="1902"/>
      <c r="AD12" s="1896" t="s">
        <v>5</v>
      </c>
      <c r="AE12" s="1896" t="s">
        <v>6</v>
      </c>
      <c r="AF12" s="1896" t="s">
        <v>164</v>
      </c>
      <c r="AG12" s="2037" t="s">
        <v>206</v>
      </c>
      <c r="AH12" s="1318" t="s">
        <v>209</v>
      </c>
      <c r="AI12" s="1896" t="s">
        <v>909</v>
      </c>
      <c r="AJ12" s="1991" t="s">
        <v>139</v>
      </c>
      <c r="AK12" s="1992"/>
      <c r="AL12" s="1896" t="s">
        <v>5</v>
      </c>
      <c r="AM12" s="1896" t="s">
        <v>6</v>
      </c>
      <c r="AN12" s="1896" t="s">
        <v>164</v>
      </c>
      <c r="AO12" s="1896" t="s">
        <v>173</v>
      </c>
      <c r="AP12" s="1896" t="s">
        <v>174</v>
      </c>
      <c r="AQ12" s="1898" t="s">
        <v>175</v>
      </c>
      <c r="AR12" s="1321"/>
      <c r="AS12" s="2035" t="s">
        <v>4</v>
      </c>
      <c r="AT12" s="1961" t="s">
        <v>139</v>
      </c>
      <c r="AU12" s="1962"/>
      <c r="AV12" s="1959" t="s">
        <v>5</v>
      </c>
      <c r="AW12" s="1959" t="s">
        <v>6</v>
      </c>
      <c r="AX12" s="1959" t="s">
        <v>171</v>
      </c>
      <c r="AY12" s="1959" t="s">
        <v>172</v>
      </c>
      <c r="AZ12" s="1959" t="s">
        <v>909</v>
      </c>
      <c r="BA12" s="1961" t="s">
        <v>139</v>
      </c>
      <c r="BB12" s="1962"/>
      <c r="BC12" s="1959" t="s">
        <v>5</v>
      </c>
      <c r="BD12" s="1967" t="s">
        <v>6</v>
      </c>
      <c r="BE12" s="1959" t="s">
        <v>171</v>
      </c>
      <c r="BF12" s="2024" t="s">
        <v>172</v>
      </c>
      <c r="BG12" s="1324"/>
      <c r="BH12" s="126"/>
      <c r="BI12" s="126">
        <f>BG12+BH12</f>
        <v>0</v>
      </c>
      <c r="BJ12" s="1305"/>
      <c r="BK12" s="1636"/>
      <c r="BL12" s="1959" t="s">
        <v>4</v>
      </c>
      <c r="BM12" s="1961" t="s">
        <v>139</v>
      </c>
      <c r="BN12" s="1962"/>
      <c r="BO12" s="1959" t="s">
        <v>5</v>
      </c>
      <c r="BP12" s="1959" t="s">
        <v>6</v>
      </c>
      <c r="BQ12" s="1959" t="s">
        <v>171</v>
      </c>
      <c r="BR12" s="1959" t="s">
        <v>172</v>
      </c>
      <c r="BS12" s="1959" t="s">
        <v>4</v>
      </c>
      <c r="BT12" s="1961" t="s">
        <v>139</v>
      </c>
      <c r="BU12" s="1962"/>
      <c r="BV12" s="1959" t="s">
        <v>5</v>
      </c>
      <c r="BW12" s="1967" t="s">
        <v>6</v>
      </c>
      <c r="BX12" s="1959" t="s">
        <v>171</v>
      </c>
      <c r="BY12" s="1959" t="s">
        <v>172</v>
      </c>
      <c r="BZ12" s="2056"/>
      <c r="CA12" s="2056"/>
      <c r="CB12" s="2027"/>
      <c r="CC12" s="126"/>
      <c r="CD12" s="126"/>
      <c r="CE12" s="126"/>
      <c r="CF12" s="126"/>
      <c r="CG12" s="675"/>
      <c r="CH12" s="625"/>
      <c r="CI12" s="625"/>
      <c r="CJ12" s="2033"/>
      <c r="CK12" s="2033"/>
      <c r="CL12" s="2033"/>
      <c r="CM12" s="1241"/>
      <c r="CN12" s="1241"/>
      <c r="CO12" s="2039"/>
      <c r="CP12" s="1302" t="s">
        <v>216</v>
      </c>
      <c r="CQ12" s="1302" t="s">
        <v>217</v>
      </c>
      <c r="CR12" s="126" t="s">
        <v>215</v>
      </c>
      <c r="CS12" s="1302" t="s">
        <v>216</v>
      </c>
      <c r="CT12" s="1302" t="s">
        <v>217</v>
      </c>
      <c r="CU12" s="126" t="s">
        <v>215</v>
      </c>
      <c r="CV12" s="1302" t="s">
        <v>216</v>
      </c>
      <c r="CW12" s="1304"/>
      <c r="CX12" s="1310" t="s">
        <v>993</v>
      </c>
      <c r="CY12" s="1310" t="s">
        <v>994</v>
      </c>
      <c r="CZ12" s="844" t="s">
        <v>205</v>
      </c>
      <c r="DA12" s="2039"/>
      <c r="DB12" s="2039"/>
      <c r="DC12" s="675"/>
      <c r="DD12" s="675"/>
      <c r="DE12" s="675"/>
      <c r="DF12" s="675"/>
      <c r="DG12" s="675"/>
      <c r="DH12" s="1996"/>
      <c r="DI12" s="2000"/>
      <c r="DJ12" s="2000"/>
      <c r="DK12" s="625"/>
      <c r="DL12" s="1306" t="s">
        <v>285</v>
      </c>
      <c r="DM12" s="1306"/>
      <c r="DN12" s="1306"/>
      <c r="DO12" s="625"/>
    </row>
    <row r="13" spans="1:142" s="819" customFormat="1" ht="45" customHeight="1">
      <c r="A13" s="1917"/>
      <c r="B13" s="1905"/>
      <c r="C13" s="1905"/>
      <c r="D13" s="1905"/>
      <c r="E13" s="1905"/>
      <c r="F13" s="1908"/>
      <c r="G13" s="1911"/>
      <c r="H13" s="1916"/>
      <c r="I13" s="1896"/>
      <c r="J13" s="1807" t="s">
        <v>149</v>
      </c>
      <c r="K13" s="1807" t="s">
        <v>150</v>
      </c>
      <c r="L13" s="1905"/>
      <c r="M13" s="1990"/>
      <c r="N13" s="1998"/>
      <c r="O13" s="1905"/>
      <c r="P13" s="1807" t="s">
        <v>149</v>
      </c>
      <c r="Q13" s="1807" t="s">
        <v>150</v>
      </c>
      <c r="R13" s="1905"/>
      <c r="S13" s="1990"/>
      <c r="T13" s="2023"/>
      <c r="U13" s="1807" t="s">
        <v>149</v>
      </c>
      <c r="V13" s="223" t="s">
        <v>150</v>
      </c>
      <c r="W13" s="1905"/>
      <c r="X13" s="1905"/>
      <c r="Y13" s="1905"/>
      <c r="Z13" s="1990"/>
      <c r="AA13" s="1994"/>
      <c r="AB13" s="1807" t="s">
        <v>149</v>
      </c>
      <c r="AC13" s="223" t="s">
        <v>150</v>
      </c>
      <c r="AD13" s="1905"/>
      <c r="AE13" s="1905"/>
      <c r="AF13" s="1905"/>
      <c r="AG13" s="1911"/>
      <c r="AH13" s="1319"/>
      <c r="AI13" s="1905"/>
      <c r="AJ13" s="824" t="s">
        <v>149</v>
      </c>
      <c r="AK13" s="824" t="s">
        <v>150</v>
      </c>
      <c r="AL13" s="1905"/>
      <c r="AM13" s="1905"/>
      <c r="AN13" s="1905"/>
      <c r="AO13" s="1905"/>
      <c r="AP13" s="1905"/>
      <c r="AQ13" s="1990"/>
      <c r="AR13" s="1322"/>
      <c r="AS13" s="2036"/>
      <c r="AT13" s="114" t="s">
        <v>149</v>
      </c>
      <c r="AU13" s="114" t="s">
        <v>150</v>
      </c>
      <c r="AV13" s="1960"/>
      <c r="AW13" s="1960"/>
      <c r="AX13" s="1960"/>
      <c r="AY13" s="1960"/>
      <c r="AZ13" s="1960"/>
      <c r="BA13" s="114" t="s">
        <v>149</v>
      </c>
      <c r="BB13" s="114" t="s">
        <v>150</v>
      </c>
      <c r="BC13" s="1960"/>
      <c r="BD13" s="1968"/>
      <c r="BE13" s="1960"/>
      <c r="BF13" s="2025"/>
      <c r="BG13" s="1324"/>
      <c r="BH13" s="126"/>
      <c r="BI13" s="126">
        <f t="shared" ref="BI13:BI45" si="7">BG13+BH13</f>
        <v>0</v>
      </c>
      <c r="BJ13" s="1307"/>
      <c r="BK13" s="1637"/>
      <c r="BL13" s="1960"/>
      <c r="BM13" s="114" t="s">
        <v>149</v>
      </c>
      <c r="BN13" s="114" t="s">
        <v>150</v>
      </c>
      <c r="BO13" s="1960"/>
      <c r="BP13" s="1960"/>
      <c r="BQ13" s="1960"/>
      <c r="BR13" s="1960"/>
      <c r="BS13" s="1960"/>
      <c r="BT13" s="114" t="s">
        <v>149</v>
      </c>
      <c r="BU13" s="114" t="s">
        <v>150</v>
      </c>
      <c r="BV13" s="1960"/>
      <c r="BW13" s="1968"/>
      <c r="BX13" s="1960"/>
      <c r="BY13" s="1960"/>
      <c r="BZ13" s="2056"/>
      <c r="CA13" s="2056"/>
      <c r="CB13" s="2028"/>
      <c r="CC13" s="126"/>
      <c r="CD13" s="126"/>
      <c r="CE13" s="126"/>
      <c r="CF13" s="126"/>
      <c r="CG13" s="675"/>
      <c r="CH13" s="625"/>
      <c r="CI13" s="625"/>
      <c r="CJ13" s="2034"/>
      <c r="CK13" s="2034"/>
      <c r="CL13" s="2034"/>
      <c r="CM13" s="1242"/>
      <c r="CN13" s="1242"/>
      <c r="CO13" s="2040"/>
      <c r="CP13" s="1987" t="s">
        <v>990</v>
      </c>
      <c r="CQ13" s="1988"/>
      <c r="CR13" s="1989"/>
      <c r="CS13" s="1987" t="s">
        <v>989</v>
      </c>
      <c r="CT13" s="1988"/>
      <c r="CU13" s="1989"/>
      <c r="CV13" s="126" t="s">
        <v>227</v>
      </c>
      <c r="CW13" s="1308" t="s">
        <v>214</v>
      </c>
      <c r="CX13" s="126"/>
      <c r="CY13" s="126"/>
      <c r="CZ13" s="126"/>
      <c r="DA13" s="2040"/>
      <c r="DB13" s="2040"/>
      <c r="DC13" s="675"/>
      <c r="DD13" s="675"/>
      <c r="DE13" s="675"/>
      <c r="DF13" s="675"/>
      <c r="DG13" s="675"/>
      <c r="DH13" s="1997"/>
      <c r="DI13" s="2001"/>
      <c r="DJ13" s="2001"/>
      <c r="DK13" s="1309"/>
      <c r="DL13" s="1309" t="s">
        <v>203</v>
      </c>
      <c r="DM13" s="1309" t="s">
        <v>204</v>
      </c>
      <c r="DN13" s="1309" t="s">
        <v>208</v>
      </c>
      <c r="DO13" s="1309"/>
    </row>
    <row r="14" spans="1:142" s="1313" customFormat="1" ht="80.25" hidden="1" customHeight="1">
      <c r="A14" s="6">
        <v>1</v>
      </c>
      <c r="B14" s="1325" t="s">
        <v>7</v>
      </c>
      <c r="C14" s="1837" t="s">
        <v>69</v>
      </c>
      <c r="D14" s="1705" t="s">
        <v>141</v>
      </c>
      <c r="E14" s="1326">
        <v>4632024035</v>
      </c>
      <c r="F14" s="1325" t="s">
        <v>8</v>
      </c>
      <c r="G14" s="1682" t="s">
        <v>1034</v>
      </c>
      <c r="H14" s="1700">
        <v>3314.9639999999995</v>
      </c>
      <c r="I14" s="1701">
        <f>H14</f>
        <v>3314.9639999999995</v>
      </c>
      <c r="J14" s="1327"/>
      <c r="K14" s="1327"/>
      <c r="L14" s="1700">
        <v>3314.9639999999995</v>
      </c>
      <c r="M14" s="1721"/>
      <c r="N14" s="1703">
        <f>3132.14*1.2</f>
        <v>3758.5679999999998</v>
      </c>
      <c r="O14" s="1704">
        <f>N14</f>
        <v>3758.5679999999998</v>
      </c>
      <c r="P14" s="1327"/>
      <c r="Q14" s="1327"/>
      <c r="R14" s="1704">
        <f>O14</f>
        <v>3758.5679999999998</v>
      </c>
      <c r="S14" s="1721"/>
      <c r="T14" s="1751">
        <v>667.96300000000008</v>
      </c>
      <c r="U14" s="1722"/>
      <c r="V14" s="1722"/>
      <c r="W14" s="1722"/>
      <c r="X14" s="1722"/>
      <c r="Y14" s="1722"/>
      <c r="Z14" s="1723">
        <f t="shared" ref="Z14:Z75" si="8">SUM(T14:W14)</f>
        <v>667.96300000000008</v>
      </c>
      <c r="AA14" s="1752">
        <v>392.226</v>
      </c>
      <c r="AB14" s="1722"/>
      <c r="AC14" s="1722"/>
      <c r="AD14" s="1722"/>
      <c r="AE14" s="1722"/>
      <c r="AF14" s="1722"/>
      <c r="AG14" s="1724">
        <f>SUM(AA14:AD14)</f>
        <v>392.226</v>
      </c>
      <c r="AH14" s="1754">
        <f>Z14+AG14</f>
        <v>1060.1890000000001</v>
      </c>
      <c r="AI14" s="1722">
        <f t="shared" ref="AI14:AM29" si="9">T14+AA14</f>
        <v>1060.1890000000001</v>
      </c>
      <c r="AJ14" s="1722">
        <f t="shared" si="9"/>
        <v>0</v>
      </c>
      <c r="AK14" s="1722">
        <f t="shared" si="9"/>
        <v>0</v>
      </c>
      <c r="AL14" s="1722">
        <f t="shared" si="9"/>
        <v>0</v>
      </c>
      <c r="AM14" s="1722">
        <f t="shared" si="9"/>
        <v>0</v>
      </c>
      <c r="AN14" s="1722"/>
      <c r="AO14" s="1722">
        <f t="shared" ref="AO14:AO27" si="10">SUM(AI14:AN14)</f>
        <v>1060.1890000000001</v>
      </c>
      <c r="AP14" s="1722">
        <f t="shared" ref="AP14:AP27" si="11">SUM(AI14:AM14)</f>
        <v>1060.1890000000001</v>
      </c>
      <c r="AQ14" s="1725">
        <f t="shared" ref="AQ14:AQ27" si="12">SUM(AI14:AL14)</f>
        <v>1060.1890000000001</v>
      </c>
      <c r="AR14" s="1726">
        <f>AQ14-AH14</f>
        <v>0</v>
      </c>
      <c r="AS14" s="1727">
        <f t="shared" ref="AS14:AW29" si="13">I14*AI14</f>
        <v>3514488.3681959999</v>
      </c>
      <c r="AT14" s="1722">
        <f t="shared" si="13"/>
        <v>0</v>
      </c>
      <c r="AU14" s="1722">
        <f t="shared" si="13"/>
        <v>0</v>
      </c>
      <c r="AV14" s="1722">
        <f t="shared" si="13"/>
        <v>0</v>
      </c>
      <c r="AW14" s="1722">
        <f t="shared" si="13"/>
        <v>0</v>
      </c>
      <c r="AX14" s="1722">
        <f>SUM(AS14:AW14)</f>
        <v>3514488.3681959999</v>
      </c>
      <c r="AY14" s="1722">
        <f>SUM(AS14:AV14)</f>
        <v>3514488.3681959999</v>
      </c>
      <c r="AZ14" s="1722">
        <f t="shared" ref="AZ14:BD29" si="14">O14*AI14</f>
        <v>3984792.4493519999</v>
      </c>
      <c r="BA14" s="1722">
        <f t="shared" si="14"/>
        <v>0</v>
      </c>
      <c r="BB14" s="1722">
        <f t="shared" si="14"/>
        <v>0</v>
      </c>
      <c r="BC14" s="1722">
        <f t="shared" si="14"/>
        <v>0</v>
      </c>
      <c r="BD14" s="1722">
        <f t="shared" si="14"/>
        <v>0</v>
      </c>
      <c r="BE14" s="1722">
        <f>SUM(AZ14:BD14)</f>
        <v>3984792.4493519999</v>
      </c>
      <c r="BF14" s="1725">
        <f>SUM(AZ14:BC14)</f>
        <v>3984792.4493519999</v>
      </c>
      <c r="BG14" s="1397">
        <f t="shared" ref="BG14:BG17" si="15">(H14-J14)/1.2*U14/1000+(H14-K14)/1.2*V14/1000</f>
        <v>0</v>
      </c>
      <c r="BH14" s="1398">
        <f t="shared" ref="BH14:BH17" si="16">(O14-P14)*AB14/1000/1.2+(O14-Q14)/1.2*AC14/1000</f>
        <v>0</v>
      </c>
      <c r="BI14" s="1399">
        <f t="shared" si="7"/>
        <v>0</v>
      </c>
      <c r="BJ14" s="1722"/>
      <c r="BK14" s="1728"/>
      <c r="BL14" s="1722">
        <f t="shared" ref="BL14:BP29" si="17">I14*T14</f>
        <v>2214273.2983320002</v>
      </c>
      <c r="BM14" s="1722">
        <f t="shared" si="17"/>
        <v>0</v>
      </c>
      <c r="BN14" s="1722">
        <f t="shared" si="17"/>
        <v>0</v>
      </c>
      <c r="BO14" s="1722">
        <f t="shared" si="17"/>
        <v>0</v>
      </c>
      <c r="BP14" s="1722">
        <f t="shared" si="17"/>
        <v>0</v>
      </c>
      <c r="BQ14" s="1722">
        <f>BL14+BM14+BN14+BO14+BP14</f>
        <v>2214273.2983320002</v>
      </c>
      <c r="BR14" s="1722">
        <f>BQ14-BP14</f>
        <v>2214273.2983320002</v>
      </c>
      <c r="BS14" s="1722">
        <f t="shared" ref="BS14:BU29" si="18">O14*AA14</f>
        <v>1474208.092368</v>
      </c>
      <c r="BT14" s="1722">
        <f t="shared" si="18"/>
        <v>0</v>
      </c>
      <c r="BU14" s="1722">
        <f t="shared" si="18"/>
        <v>0</v>
      </c>
      <c r="BV14" s="1722">
        <f>R14*W14</f>
        <v>0</v>
      </c>
      <c r="BW14" s="1722">
        <f t="shared" ref="BW14:BW77" si="19">S14*AE14</f>
        <v>0</v>
      </c>
      <c r="BX14" s="1722">
        <f>BS14+BT14+BU14+BV14+BW14</f>
        <v>1474208.092368</v>
      </c>
      <c r="BY14" s="1722">
        <f>BX14-BW14</f>
        <v>1474208.092368</v>
      </c>
      <c r="BZ14" s="1729">
        <f>BM14+BT14</f>
        <v>0</v>
      </c>
      <c r="CA14" s="1729">
        <f>BN14+BU14</f>
        <v>0</v>
      </c>
      <c r="CB14" s="1729">
        <f>BZ14+CA14</f>
        <v>0</v>
      </c>
      <c r="CC14" s="1729" t="e">
        <f>BZ14/AJ14</f>
        <v>#DIV/0!</v>
      </c>
      <c r="CD14" s="1729" t="e">
        <f>CA14/AK14</f>
        <v>#DIV/0!</v>
      </c>
      <c r="CE14" s="1729" t="e">
        <f>CB14/(AJ14+AK14)</f>
        <v>#DIV/0!</v>
      </c>
      <c r="CF14" s="1729" t="e">
        <f t="shared" ref="CF14:CF77" si="20">CB14/(U14+V14+AB14+AC14)</f>
        <v>#DIV/0!</v>
      </c>
      <c r="CG14" s="1729">
        <f t="shared" ref="CG14:CG77" si="21">I14*(U14+V14)+O14*(AB14+AC14)</f>
        <v>0</v>
      </c>
      <c r="CH14" s="1729" t="e">
        <f>CG14/(AJ14+AK14)</f>
        <v>#DIV/0!</v>
      </c>
      <c r="CI14" s="1729"/>
      <c r="CJ14" s="1756">
        <f>H14*Z14/1000</f>
        <v>2214.2732983320002</v>
      </c>
      <c r="CK14" s="1756">
        <f t="shared" ref="CK14:CK77" si="22">N14*AG14/1000</f>
        <v>1474.2080923680001</v>
      </c>
      <c r="CL14" s="1756">
        <f>CJ14+CK14</f>
        <v>3688.4813907000002</v>
      </c>
      <c r="CM14" s="1722">
        <f>N14*AH14/1000</f>
        <v>3984.7924493519999</v>
      </c>
      <c r="CN14" s="1722">
        <f>CM14-CL14</f>
        <v>296.3110586519997</v>
      </c>
      <c r="CO14" s="1722">
        <f t="shared" ref="CO14:CO77" si="23">H14*Z14+N14*AG14</f>
        <v>3688481.3907000003</v>
      </c>
      <c r="CP14" s="1722">
        <f t="shared" ref="CP14:CP77" si="24">I14*AI14+J14*AJ14+K14*AK14+L14*AL14</f>
        <v>3514488.3681959999</v>
      </c>
      <c r="CQ14" s="1722">
        <f t="shared" ref="CQ14:CQ77" si="25">I14*AI14+J14*(AJ14+AK14)+L14*AL14</f>
        <v>3514488.3681959999</v>
      </c>
      <c r="CR14" s="1722">
        <f t="shared" ref="CR14:CR77" si="26">I14*T14+J14*U14+K14*V14+L14*W14</f>
        <v>2214273.2983320002</v>
      </c>
      <c r="CS14" s="1722">
        <f t="shared" ref="CS14:CS77" si="27">O14*AI14+P14*AJ14+Q14*AK14+R14*AL14</f>
        <v>3984792.4493519999</v>
      </c>
      <c r="CT14" s="1722">
        <f t="shared" ref="CT14:CT77" si="28">O14*AI14+P14*(AJ14+AK14)+R14*AL14</f>
        <v>3984792.4493519999</v>
      </c>
      <c r="CU14" s="1722">
        <f t="shared" ref="CU14:CU77" si="29">O14*AA14+P14*AB14+Q14*AC14+R14*AD14</f>
        <v>1474208.092368</v>
      </c>
      <c r="CV14" s="1722">
        <f>CP14+CS14</f>
        <v>7499280.8175479993</v>
      </c>
      <c r="CW14" s="1730">
        <f>CV14/AH14</f>
        <v>7073.5319999999992</v>
      </c>
      <c r="CX14" s="1722">
        <f t="shared" ref="CX14:CX77" si="30">J14*AJ14+K14*AK14</f>
        <v>0</v>
      </c>
      <c r="CY14" s="1722">
        <f t="shared" ref="CY14:CY77" si="31">P14*AJ14+Q14*AK14</f>
        <v>0</v>
      </c>
      <c r="CZ14" s="1722"/>
      <c r="DA14" s="1722">
        <f t="shared" ref="DA14:DA77" si="32">H14*AI14+H14*AJ14+H14*AK14+H14*AL14</f>
        <v>3514488.3681959999</v>
      </c>
      <c r="DB14" s="1722">
        <f t="shared" ref="DB14:DB77" si="33">N14*AI14+N14*AJ14+N14*AK14+N14*AL14</f>
        <v>3984792.4493519999</v>
      </c>
      <c r="DC14" s="1223"/>
      <c r="DD14" s="1224" t="e">
        <f>N14/J14*100</f>
        <v>#DIV/0!</v>
      </c>
      <c r="DE14" s="1223"/>
      <c r="DF14" s="1223"/>
      <c r="DG14" s="1223"/>
      <c r="DH14" s="1731"/>
      <c r="DI14" s="1731"/>
      <c r="DJ14" s="1731"/>
      <c r="DK14" s="1729"/>
      <c r="DL14" s="1732">
        <f t="shared" ref="DL14:DL77" si="34">M14*X14/1000</f>
        <v>0</v>
      </c>
      <c r="DM14" s="1732">
        <f t="shared" ref="DM14:DM77" si="35">S14*AE14/1000</f>
        <v>0</v>
      </c>
      <c r="DN14" s="1732">
        <f t="shared" ref="DN14:DN77" si="36">DL14+DM14</f>
        <v>0</v>
      </c>
      <c r="DO14" s="819"/>
      <c r="DP14" s="1315"/>
      <c r="DQ14" s="1315"/>
      <c r="DR14" s="1315"/>
      <c r="DS14" s="1315"/>
      <c r="DT14" s="1315"/>
      <c r="DU14" s="1315"/>
      <c r="DV14" s="1315"/>
      <c r="DW14" s="1315"/>
      <c r="DX14" s="1315"/>
      <c r="DY14" s="1315"/>
      <c r="DZ14" s="1315"/>
      <c r="EA14" s="1315"/>
      <c r="EB14" s="1315"/>
      <c r="EC14" s="1315"/>
      <c r="ED14" s="1315"/>
      <c r="EE14" s="1315"/>
      <c r="EF14" s="1315"/>
      <c r="EG14" s="1315"/>
      <c r="EH14" s="1315"/>
      <c r="EI14" s="1315"/>
      <c r="EJ14" s="1315"/>
      <c r="EK14" s="1315"/>
      <c r="EL14" s="1315"/>
    </row>
    <row r="15" spans="1:142" s="1313" customFormat="1" ht="72.75" hidden="1" customHeight="1">
      <c r="A15" s="6">
        <f>A14+1</f>
        <v>2</v>
      </c>
      <c r="B15" s="1325" t="s">
        <v>7</v>
      </c>
      <c r="C15" s="1838" t="s">
        <v>70</v>
      </c>
      <c r="D15" s="1706" t="s">
        <v>141</v>
      </c>
      <c r="E15" s="1331">
        <v>4632024035</v>
      </c>
      <c r="F15" s="1330" t="s">
        <v>8</v>
      </c>
      <c r="G15" s="1682" t="s">
        <v>1034</v>
      </c>
      <c r="H15" s="1700">
        <v>3314.9639999999995</v>
      </c>
      <c r="I15" s="1701">
        <f t="shared" ref="I15:I17" si="37">H15</f>
        <v>3314.9639999999995</v>
      </c>
      <c r="J15" s="1335"/>
      <c r="K15" s="1335"/>
      <c r="L15" s="1700">
        <v>3314.9639999999995</v>
      </c>
      <c r="M15" s="1390"/>
      <c r="N15" s="1703">
        <f t="shared" ref="N15:N17" si="38">3132.14*1.2</f>
        <v>3758.5679999999998</v>
      </c>
      <c r="O15" s="1704">
        <f t="shared" ref="O15:O17" si="39">N15</f>
        <v>3758.5679999999998</v>
      </c>
      <c r="P15" s="1335"/>
      <c r="Q15" s="1335"/>
      <c r="R15" s="1704">
        <f t="shared" ref="R15:R17" si="40">O15</f>
        <v>3758.5679999999998</v>
      </c>
      <c r="S15" s="1390"/>
      <c r="T15" s="1751">
        <v>215.74499999999998</v>
      </c>
      <c r="U15" s="1334"/>
      <c r="V15" s="1334"/>
      <c r="W15" s="1334"/>
      <c r="X15" s="1334"/>
      <c r="Y15" s="1334"/>
      <c r="Z15" s="1393">
        <f t="shared" si="8"/>
        <v>215.74499999999998</v>
      </c>
      <c r="AA15" s="1752">
        <v>125.28</v>
      </c>
      <c r="AB15" s="1334"/>
      <c r="AC15" s="1334"/>
      <c r="AD15" s="1334"/>
      <c r="AE15" s="1334"/>
      <c r="AF15" s="1334"/>
      <c r="AG15" s="1395">
        <f>SUM(AA15:AD15)</f>
        <v>125.28</v>
      </c>
      <c r="AH15" s="1751">
        <f>Z15+AG15</f>
        <v>341.02499999999998</v>
      </c>
      <c r="AI15" s="1334">
        <f t="shared" si="9"/>
        <v>341.02499999999998</v>
      </c>
      <c r="AJ15" s="1334">
        <f t="shared" si="9"/>
        <v>0</v>
      </c>
      <c r="AK15" s="1334">
        <f t="shared" si="9"/>
        <v>0</v>
      </c>
      <c r="AL15" s="1334">
        <f t="shared" si="9"/>
        <v>0</v>
      </c>
      <c r="AM15" s="1334">
        <f t="shared" si="9"/>
        <v>0</v>
      </c>
      <c r="AN15" s="1334"/>
      <c r="AO15" s="1334">
        <f t="shared" si="10"/>
        <v>341.02499999999998</v>
      </c>
      <c r="AP15" s="1334">
        <f t="shared" si="11"/>
        <v>341.02499999999998</v>
      </c>
      <c r="AQ15" s="1396">
        <f t="shared" si="12"/>
        <v>341.02499999999998</v>
      </c>
      <c r="AR15" s="1417">
        <f t="shared" ref="AR15:AR78" si="41">AQ15-AH15</f>
        <v>0</v>
      </c>
      <c r="AS15" s="1333">
        <f t="shared" si="13"/>
        <v>1130485.5980999998</v>
      </c>
      <c r="AT15" s="1334">
        <f t="shared" si="13"/>
        <v>0</v>
      </c>
      <c r="AU15" s="1334">
        <f t="shared" si="13"/>
        <v>0</v>
      </c>
      <c r="AV15" s="1334">
        <f t="shared" si="13"/>
        <v>0</v>
      </c>
      <c r="AW15" s="1334">
        <f t="shared" si="13"/>
        <v>0</v>
      </c>
      <c r="AX15" s="1334">
        <f>SUM(AS15:AW15)</f>
        <v>1130485.5980999998</v>
      </c>
      <c r="AY15" s="1334">
        <f>SUM(AS15:AV15)</f>
        <v>1130485.5980999998</v>
      </c>
      <c r="AZ15" s="1334">
        <f t="shared" si="14"/>
        <v>1281765.6521999999</v>
      </c>
      <c r="BA15" s="1334">
        <f t="shared" si="14"/>
        <v>0</v>
      </c>
      <c r="BB15" s="1334">
        <f t="shared" si="14"/>
        <v>0</v>
      </c>
      <c r="BC15" s="1334">
        <f t="shared" si="14"/>
        <v>0</v>
      </c>
      <c r="BD15" s="1334">
        <f t="shared" si="14"/>
        <v>0</v>
      </c>
      <c r="BE15" s="1334">
        <f>SUM(AZ15:BD15)</f>
        <v>1281765.6521999999</v>
      </c>
      <c r="BF15" s="1396">
        <f>SUM(AZ15:BC15)</f>
        <v>1281765.6521999999</v>
      </c>
      <c r="BG15" s="1397">
        <f t="shared" si="15"/>
        <v>0</v>
      </c>
      <c r="BH15" s="1398">
        <f t="shared" si="16"/>
        <v>0</v>
      </c>
      <c r="BI15" s="1399">
        <f t="shared" si="7"/>
        <v>0</v>
      </c>
      <c r="BJ15" s="1334"/>
      <c r="BK15" s="1643"/>
      <c r="BL15" s="1334">
        <f t="shared" si="17"/>
        <v>715186.90817999979</v>
      </c>
      <c r="BM15" s="1334">
        <f t="shared" si="17"/>
        <v>0</v>
      </c>
      <c r="BN15" s="1334">
        <f t="shared" si="17"/>
        <v>0</v>
      </c>
      <c r="BO15" s="1334">
        <f t="shared" si="17"/>
        <v>0</v>
      </c>
      <c r="BP15" s="1334">
        <f t="shared" si="17"/>
        <v>0</v>
      </c>
      <c r="BQ15" s="1334">
        <f>BL15+BM15+BN15+BO15+BP15</f>
        <v>715186.90817999979</v>
      </c>
      <c r="BR15" s="1334">
        <f>BQ15-BP15</f>
        <v>715186.90817999979</v>
      </c>
      <c r="BS15" s="1334">
        <f t="shared" si="18"/>
        <v>470873.39903999999</v>
      </c>
      <c r="BT15" s="1334">
        <f t="shared" si="18"/>
        <v>0</v>
      </c>
      <c r="BU15" s="1334">
        <f t="shared" si="18"/>
        <v>0</v>
      </c>
      <c r="BV15" s="1334">
        <f>R15*W15</f>
        <v>0</v>
      </c>
      <c r="BW15" s="1334">
        <f t="shared" si="19"/>
        <v>0</v>
      </c>
      <c r="BX15" s="1334">
        <f>BS15+BT15+BU15+BV15+BW15</f>
        <v>470873.39903999999</v>
      </c>
      <c r="BY15" s="1334">
        <f>BX15-BW15</f>
        <v>470873.39903999999</v>
      </c>
      <c r="BZ15" s="1389">
        <f t="shared" ref="BZ15:CA30" si="42">BM15+BT15</f>
        <v>0</v>
      </c>
      <c r="CA15" s="1389">
        <f t="shared" si="42"/>
        <v>0</v>
      </c>
      <c r="CB15" s="1389">
        <f>BZ15+CA15</f>
        <v>0</v>
      </c>
      <c r="CC15" s="1389" t="e">
        <f t="shared" ref="CC15:CD30" si="43">BZ15/AJ15</f>
        <v>#DIV/0!</v>
      </c>
      <c r="CD15" s="1389" t="e">
        <f t="shared" si="43"/>
        <v>#DIV/0!</v>
      </c>
      <c r="CE15" s="1389" t="e">
        <f t="shared" ref="CE15:CE78" si="44">CB15/(AJ15+AK15)</f>
        <v>#DIV/0!</v>
      </c>
      <c r="CF15" s="1389" t="e">
        <f t="shared" si="20"/>
        <v>#DIV/0!</v>
      </c>
      <c r="CG15" s="1389">
        <f t="shared" si="21"/>
        <v>0</v>
      </c>
      <c r="CH15" s="1389" t="e">
        <f t="shared" ref="CH15:CH78" si="45">CG15/(AJ15+AK15)</f>
        <v>#DIV/0!</v>
      </c>
      <c r="CI15" s="1389"/>
      <c r="CJ15" s="1756">
        <f t="shared" ref="CJ15:CJ17" si="46">H15*Z15/1000</f>
        <v>715.18690817999982</v>
      </c>
      <c r="CK15" s="1756">
        <f t="shared" si="22"/>
        <v>470.87339903999998</v>
      </c>
      <c r="CL15" s="1756">
        <f t="shared" ref="CL15:CL70" si="47">CJ15+CK15</f>
        <v>1186.0603072199997</v>
      </c>
      <c r="CM15" s="1334">
        <f t="shared" ref="CM15:CM78" si="48">N15*AH15/1000</f>
        <v>1281.7656522</v>
      </c>
      <c r="CN15" s="1334">
        <f t="shared" ref="CN15:CN78" si="49">CM15-CL15</f>
        <v>95.705344980000291</v>
      </c>
      <c r="CO15" s="1334">
        <f t="shared" si="23"/>
        <v>1186060.3072199998</v>
      </c>
      <c r="CP15" s="1334">
        <f t="shared" si="24"/>
        <v>1130485.5980999998</v>
      </c>
      <c r="CQ15" s="1334">
        <f t="shared" si="25"/>
        <v>1130485.5980999998</v>
      </c>
      <c r="CR15" s="1334">
        <f t="shared" si="26"/>
        <v>715186.90817999979</v>
      </c>
      <c r="CS15" s="1334">
        <f t="shared" si="27"/>
        <v>1281765.6521999999</v>
      </c>
      <c r="CT15" s="1334">
        <f t="shared" si="28"/>
        <v>1281765.6521999999</v>
      </c>
      <c r="CU15" s="1334">
        <f t="shared" si="29"/>
        <v>470873.39903999999</v>
      </c>
      <c r="CV15" s="1334">
        <f t="shared" ref="CV15:CV78" si="50">CP15+CS15</f>
        <v>2412251.2502999995</v>
      </c>
      <c r="CW15" s="1422">
        <f t="shared" ref="CW15:CW78" si="51">CV15/AH15</f>
        <v>7073.5319999999992</v>
      </c>
      <c r="CX15" s="1334">
        <f t="shared" si="30"/>
        <v>0</v>
      </c>
      <c r="CY15" s="1334">
        <f t="shared" si="31"/>
        <v>0</v>
      </c>
      <c r="CZ15" s="1334"/>
      <c r="DA15" s="1334">
        <f t="shared" si="32"/>
        <v>1130485.5980999998</v>
      </c>
      <c r="DB15" s="1334">
        <f t="shared" si="33"/>
        <v>1281765.6521999999</v>
      </c>
      <c r="DC15" s="1223"/>
      <c r="DD15" s="1224" t="e">
        <f t="shared" ref="DD15:DD78" si="52">N15/J15*100</f>
        <v>#DIV/0!</v>
      </c>
      <c r="DE15" s="1223"/>
      <c r="DF15" s="1223"/>
      <c r="DG15" s="1223"/>
      <c r="DH15" s="1494"/>
      <c r="DI15" s="1494"/>
      <c r="DJ15" s="1494"/>
      <c r="DK15" s="1389"/>
      <c r="DL15" s="1419">
        <f t="shared" si="34"/>
        <v>0</v>
      </c>
      <c r="DM15" s="1419">
        <f t="shared" si="35"/>
        <v>0</v>
      </c>
      <c r="DN15" s="1419">
        <f t="shared" si="36"/>
        <v>0</v>
      </c>
      <c r="DO15" s="819"/>
      <c r="DP15" s="1315"/>
      <c r="DQ15" s="1315"/>
      <c r="DR15" s="1315"/>
      <c r="DS15" s="1315"/>
      <c r="DT15" s="1315"/>
      <c r="DU15" s="1315"/>
      <c r="DV15" s="1315"/>
      <c r="DW15" s="1315"/>
      <c r="DX15" s="1315"/>
      <c r="DY15" s="1315"/>
      <c r="DZ15" s="1315"/>
      <c r="EA15" s="1315"/>
      <c r="EB15" s="1315"/>
      <c r="EC15" s="1315"/>
      <c r="ED15" s="1315"/>
      <c r="EE15" s="1315"/>
      <c r="EF15" s="1315"/>
      <c r="EG15" s="1315"/>
      <c r="EH15" s="1315"/>
      <c r="EI15" s="1315"/>
      <c r="EJ15" s="1315"/>
      <c r="EK15" s="1315"/>
      <c r="EL15" s="1315"/>
    </row>
    <row r="16" spans="1:142" s="1313" customFormat="1" ht="79.5" hidden="1" customHeight="1">
      <c r="A16" s="6">
        <f t="shared" ref="A16:A79" si="53">A15+1</f>
        <v>3</v>
      </c>
      <c r="B16" s="1325" t="s">
        <v>7</v>
      </c>
      <c r="C16" s="1838" t="s">
        <v>71</v>
      </c>
      <c r="D16" s="1706" t="s">
        <v>141</v>
      </c>
      <c r="E16" s="1331">
        <v>4632024035</v>
      </c>
      <c r="F16" s="1330" t="s">
        <v>8</v>
      </c>
      <c r="G16" s="1682" t="s">
        <v>1034</v>
      </c>
      <c r="H16" s="1700">
        <v>3314.9639999999995</v>
      </c>
      <c r="I16" s="1701">
        <f t="shared" si="37"/>
        <v>3314.9639999999995</v>
      </c>
      <c r="J16" s="1335"/>
      <c r="K16" s="1335"/>
      <c r="L16" s="1700">
        <v>3314.9639999999995</v>
      </c>
      <c r="M16" s="1390"/>
      <c r="N16" s="1703">
        <f t="shared" si="38"/>
        <v>3758.5679999999998</v>
      </c>
      <c r="O16" s="1704">
        <f t="shared" si="39"/>
        <v>3758.5679999999998</v>
      </c>
      <c r="P16" s="1335"/>
      <c r="Q16" s="1335"/>
      <c r="R16" s="1704">
        <f t="shared" si="40"/>
        <v>3758.5679999999998</v>
      </c>
      <c r="S16" s="1390"/>
      <c r="T16" s="1751">
        <v>179.78700000000001</v>
      </c>
      <c r="U16" s="1334"/>
      <c r="V16" s="1334"/>
      <c r="W16" s="1334"/>
      <c r="X16" s="1334"/>
      <c r="Y16" s="1334"/>
      <c r="Z16" s="1393">
        <f t="shared" si="8"/>
        <v>179.78700000000001</v>
      </c>
      <c r="AA16" s="1752">
        <v>104.4</v>
      </c>
      <c r="AB16" s="1334"/>
      <c r="AC16" s="1334"/>
      <c r="AD16" s="1334"/>
      <c r="AE16" s="1334"/>
      <c r="AF16" s="1334"/>
      <c r="AG16" s="1395">
        <f>SUM(AA16:AD16)</f>
        <v>104.4</v>
      </c>
      <c r="AH16" s="1751">
        <f>Z16+AG16</f>
        <v>284.18700000000001</v>
      </c>
      <c r="AI16" s="1334">
        <f t="shared" si="9"/>
        <v>284.18700000000001</v>
      </c>
      <c r="AJ16" s="1334">
        <f t="shared" si="9"/>
        <v>0</v>
      </c>
      <c r="AK16" s="1334">
        <f t="shared" si="9"/>
        <v>0</v>
      </c>
      <c r="AL16" s="1334">
        <f t="shared" si="9"/>
        <v>0</v>
      </c>
      <c r="AM16" s="1334">
        <f t="shared" si="9"/>
        <v>0</v>
      </c>
      <c r="AN16" s="1334"/>
      <c r="AO16" s="1334">
        <f t="shared" si="10"/>
        <v>284.18700000000001</v>
      </c>
      <c r="AP16" s="1334">
        <f t="shared" si="11"/>
        <v>284.18700000000001</v>
      </c>
      <c r="AQ16" s="1396">
        <f t="shared" si="12"/>
        <v>284.18700000000001</v>
      </c>
      <c r="AR16" s="1417">
        <f t="shared" si="41"/>
        <v>0</v>
      </c>
      <c r="AS16" s="1333">
        <f t="shared" si="13"/>
        <v>942069.67426799994</v>
      </c>
      <c r="AT16" s="1334">
        <f t="shared" si="13"/>
        <v>0</v>
      </c>
      <c r="AU16" s="1334">
        <f t="shared" si="13"/>
        <v>0</v>
      </c>
      <c r="AV16" s="1334">
        <f t="shared" si="13"/>
        <v>0</v>
      </c>
      <c r="AW16" s="1334">
        <f t="shared" si="13"/>
        <v>0</v>
      </c>
      <c r="AX16" s="1334">
        <f>SUM(AS16:AW16)</f>
        <v>942069.67426799994</v>
      </c>
      <c r="AY16" s="1334">
        <f>SUM(AS16:AV16)</f>
        <v>942069.67426799994</v>
      </c>
      <c r="AZ16" s="1334">
        <f t="shared" si="14"/>
        <v>1068136.1642159999</v>
      </c>
      <c r="BA16" s="1334">
        <f t="shared" si="14"/>
        <v>0</v>
      </c>
      <c r="BB16" s="1334">
        <f t="shared" si="14"/>
        <v>0</v>
      </c>
      <c r="BC16" s="1334">
        <f t="shared" si="14"/>
        <v>0</v>
      </c>
      <c r="BD16" s="1334">
        <f t="shared" si="14"/>
        <v>0</v>
      </c>
      <c r="BE16" s="1334">
        <f>SUM(AZ16:BD16)</f>
        <v>1068136.1642159999</v>
      </c>
      <c r="BF16" s="1396">
        <f>SUM(AZ16:BC16)</f>
        <v>1068136.1642159999</v>
      </c>
      <c r="BG16" s="1397">
        <f t="shared" si="15"/>
        <v>0</v>
      </c>
      <c r="BH16" s="1398">
        <f t="shared" si="16"/>
        <v>0</v>
      </c>
      <c r="BI16" s="1399">
        <f t="shared" si="7"/>
        <v>0</v>
      </c>
      <c r="BJ16" s="1334"/>
      <c r="BK16" s="1643"/>
      <c r="BL16" s="1334">
        <f t="shared" si="17"/>
        <v>595987.43266799988</v>
      </c>
      <c r="BM16" s="1334">
        <f t="shared" si="17"/>
        <v>0</v>
      </c>
      <c r="BN16" s="1334">
        <f t="shared" si="17"/>
        <v>0</v>
      </c>
      <c r="BO16" s="1334">
        <f t="shared" si="17"/>
        <v>0</v>
      </c>
      <c r="BP16" s="1334">
        <f t="shared" si="17"/>
        <v>0</v>
      </c>
      <c r="BQ16" s="1334">
        <f>BL16+BM16+BN16+BO16+BP16</f>
        <v>595987.43266799988</v>
      </c>
      <c r="BR16" s="1334">
        <f>BQ16-BP16</f>
        <v>595987.43266799988</v>
      </c>
      <c r="BS16" s="1334">
        <f t="shared" si="18"/>
        <v>392394.49920000002</v>
      </c>
      <c r="BT16" s="1334">
        <f t="shared" si="18"/>
        <v>0</v>
      </c>
      <c r="BU16" s="1334">
        <f t="shared" si="18"/>
        <v>0</v>
      </c>
      <c r="BV16" s="1334">
        <f>R16*W16</f>
        <v>0</v>
      </c>
      <c r="BW16" s="1334">
        <f t="shared" si="19"/>
        <v>0</v>
      </c>
      <c r="BX16" s="1334">
        <f>BS16+BT16+BU16+BV16+BW16</f>
        <v>392394.49920000002</v>
      </c>
      <c r="BY16" s="1334">
        <f>BX16-BW16</f>
        <v>392394.49920000002</v>
      </c>
      <c r="BZ16" s="1389">
        <f t="shared" si="42"/>
        <v>0</v>
      </c>
      <c r="CA16" s="1389">
        <f t="shared" si="42"/>
        <v>0</v>
      </c>
      <c r="CB16" s="1389">
        <f>BZ16+CA16</f>
        <v>0</v>
      </c>
      <c r="CC16" s="1389" t="e">
        <f t="shared" si="43"/>
        <v>#DIV/0!</v>
      </c>
      <c r="CD16" s="1389" t="e">
        <f t="shared" si="43"/>
        <v>#DIV/0!</v>
      </c>
      <c r="CE16" s="1389" t="e">
        <f t="shared" si="44"/>
        <v>#DIV/0!</v>
      </c>
      <c r="CF16" s="1389" t="e">
        <f t="shared" si="20"/>
        <v>#DIV/0!</v>
      </c>
      <c r="CG16" s="1389">
        <f t="shared" si="21"/>
        <v>0</v>
      </c>
      <c r="CH16" s="1389" t="e">
        <f t="shared" si="45"/>
        <v>#DIV/0!</v>
      </c>
      <c r="CI16" s="1389"/>
      <c r="CJ16" s="1756">
        <f t="shared" si="46"/>
        <v>595.98743266799988</v>
      </c>
      <c r="CK16" s="1756">
        <f t="shared" si="22"/>
        <v>392.39449920000004</v>
      </c>
      <c r="CL16" s="1756">
        <f t="shared" si="47"/>
        <v>988.38193186799992</v>
      </c>
      <c r="CM16" s="1334">
        <f t="shared" si="48"/>
        <v>1068.136164216</v>
      </c>
      <c r="CN16" s="1334">
        <f t="shared" si="49"/>
        <v>79.754232348000073</v>
      </c>
      <c r="CO16" s="1334">
        <f t="shared" si="23"/>
        <v>988381.93186799996</v>
      </c>
      <c r="CP16" s="1334">
        <f t="shared" si="24"/>
        <v>942069.67426799994</v>
      </c>
      <c r="CQ16" s="1334">
        <f t="shared" si="25"/>
        <v>942069.67426799994</v>
      </c>
      <c r="CR16" s="1334">
        <f t="shared" si="26"/>
        <v>595987.43266799988</v>
      </c>
      <c r="CS16" s="1334">
        <f t="shared" si="27"/>
        <v>1068136.1642159999</v>
      </c>
      <c r="CT16" s="1334">
        <f t="shared" si="28"/>
        <v>1068136.1642159999</v>
      </c>
      <c r="CU16" s="1334">
        <f t="shared" si="29"/>
        <v>392394.49920000002</v>
      </c>
      <c r="CV16" s="1334">
        <f t="shared" si="50"/>
        <v>2010205.8384839999</v>
      </c>
      <c r="CW16" s="1422">
        <f t="shared" si="51"/>
        <v>7073.5319999999992</v>
      </c>
      <c r="CX16" s="1334">
        <f t="shared" si="30"/>
        <v>0</v>
      </c>
      <c r="CY16" s="1334">
        <f t="shared" si="31"/>
        <v>0</v>
      </c>
      <c r="CZ16" s="1334"/>
      <c r="DA16" s="1334">
        <f t="shared" si="32"/>
        <v>942069.67426799994</v>
      </c>
      <c r="DB16" s="1334">
        <f t="shared" si="33"/>
        <v>1068136.1642159999</v>
      </c>
      <c r="DC16" s="1223"/>
      <c r="DD16" s="1224" t="e">
        <f t="shared" si="52"/>
        <v>#DIV/0!</v>
      </c>
      <c r="DE16" s="1223"/>
      <c r="DF16" s="1223"/>
      <c r="DG16" s="1223"/>
      <c r="DH16" s="1494"/>
      <c r="DI16" s="1494"/>
      <c r="DJ16" s="1494"/>
      <c r="DK16" s="1389"/>
      <c r="DL16" s="1419">
        <f t="shared" si="34"/>
        <v>0</v>
      </c>
      <c r="DM16" s="1419">
        <f t="shared" si="35"/>
        <v>0</v>
      </c>
      <c r="DN16" s="1419">
        <f t="shared" si="36"/>
        <v>0</v>
      </c>
      <c r="DO16" s="819"/>
      <c r="DP16" s="1315"/>
      <c r="DQ16" s="1315"/>
      <c r="DR16" s="1315"/>
      <c r="DS16" s="1315"/>
      <c r="DT16" s="1315"/>
      <c r="DU16" s="1315"/>
      <c r="DV16" s="1315"/>
      <c r="DW16" s="1315"/>
      <c r="DX16" s="1315"/>
      <c r="DY16" s="1315"/>
      <c r="DZ16" s="1315"/>
      <c r="EA16" s="1315"/>
      <c r="EB16" s="1315"/>
      <c r="EC16" s="1315"/>
      <c r="ED16" s="1315"/>
      <c r="EE16" s="1315"/>
      <c r="EF16" s="1315"/>
      <c r="EG16" s="1315"/>
      <c r="EH16" s="1315"/>
      <c r="EI16" s="1315"/>
      <c r="EJ16" s="1315"/>
      <c r="EK16" s="1315"/>
      <c r="EL16" s="1315"/>
    </row>
    <row r="17" spans="1:142" s="1313" customFormat="1" ht="79.5" hidden="1" customHeight="1">
      <c r="A17" s="6">
        <f t="shared" si="53"/>
        <v>4</v>
      </c>
      <c r="B17" s="1325" t="s">
        <v>7</v>
      </c>
      <c r="C17" s="1838" t="s">
        <v>72</v>
      </c>
      <c r="D17" s="1706" t="s">
        <v>141</v>
      </c>
      <c r="E17" s="1331">
        <v>4632024035</v>
      </c>
      <c r="F17" s="1330" t="s">
        <v>8</v>
      </c>
      <c r="G17" s="223" t="s">
        <v>1034</v>
      </c>
      <c r="H17" s="1700">
        <v>3314.9639999999995</v>
      </c>
      <c r="I17" s="1701">
        <f t="shared" si="37"/>
        <v>3314.9639999999995</v>
      </c>
      <c r="J17" s="1335"/>
      <c r="K17" s="1335"/>
      <c r="L17" s="1700">
        <v>3314.9639999999995</v>
      </c>
      <c r="M17" s="1390"/>
      <c r="N17" s="1703">
        <f t="shared" si="38"/>
        <v>3758.5679999999998</v>
      </c>
      <c r="O17" s="1704">
        <f t="shared" si="39"/>
        <v>3758.5679999999998</v>
      </c>
      <c r="P17" s="1335"/>
      <c r="Q17" s="1335"/>
      <c r="R17" s="1704">
        <f t="shared" si="40"/>
        <v>3758.5679999999998</v>
      </c>
      <c r="S17" s="1390"/>
      <c r="T17" s="1751">
        <v>367.07799999999997</v>
      </c>
      <c r="U17" s="1334"/>
      <c r="V17" s="1334"/>
      <c r="W17" s="1334"/>
      <c r="X17" s="1334"/>
      <c r="Y17" s="1334"/>
      <c r="Z17" s="1393">
        <f t="shared" si="8"/>
        <v>367.07799999999997</v>
      </c>
      <c r="AA17" s="1752">
        <v>264.05</v>
      </c>
      <c r="AB17" s="1334"/>
      <c r="AC17" s="1334"/>
      <c r="AD17" s="1334"/>
      <c r="AE17" s="1334"/>
      <c r="AF17" s="1334"/>
      <c r="AG17" s="1395">
        <f>SUM(AA17:AD17)</f>
        <v>264.05</v>
      </c>
      <c r="AH17" s="1751">
        <f>Z17+AG17</f>
        <v>631.12799999999993</v>
      </c>
      <c r="AI17" s="1334">
        <f t="shared" si="9"/>
        <v>631.12799999999993</v>
      </c>
      <c r="AJ17" s="1334">
        <f t="shared" si="9"/>
        <v>0</v>
      </c>
      <c r="AK17" s="1334">
        <f t="shared" si="9"/>
        <v>0</v>
      </c>
      <c r="AL17" s="1334">
        <f t="shared" si="9"/>
        <v>0</v>
      </c>
      <c r="AM17" s="1334">
        <f t="shared" si="9"/>
        <v>0</v>
      </c>
      <c r="AN17" s="1334"/>
      <c r="AO17" s="1334">
        <f t="shared" si="10"/>
        <v>631.12799999999993</v>
      </c>
      <c r="AP17" s="1334">
        <f t="shared" si="11"/>
        <v>631.12799999999993</v>
      </c>
      <c r="AQ17" s="1396">
        <f t="shared" si="12"/>
        <v>631.12799999999993</v>
      </c>
      <c r="AR17" s="1417">
        <f t="shared" si="41"/>
        <v>0</v>
      </c>
      <c r="AS17" s="1333">
        <f t="shared" si="13"/>
        <v>2092166.5993919994</v>
      </c>
      <c r="AT17" s="1334">
        <f t="shared" si="13"/>
        <v>0</v>
      </c>
      <c r="AU17" s="1334">
        <f t="shared" si="13"/>
        <v>0</v>
      </c>
      <c r="AV17" s="1334">
        <f t="shared" si="13"/>
        <v>0</v>
      </c>
      <c r="AW17" s="1334">
        <f t="shared" si="13"/>
        <v>0</v>
      </c>
      <c r="AX17" s="1334">
        <f>SUM(AS17:AW17)</f>
        <v>2092166.5993919994</v>
      </c>
      <c r="AY17" s="1334">
        <f>SUM(AS17:AV17)</f>
        <v>2092166.5993919994</v>
      </c>
      <c r="AZ17" s="1334">
        <f t="shared" si="14"/>
        <v>2372137.5047039995</v>
      </c>
      <c r="BA17" s="1334">
        <f t="shared" si="14"/>
        <v>0</v>
      </c>
      <c r="BB17" s="1334">
        <f t="shared" si="14"/>
        <v>0</v>
      </c>
      <c r="BC17" s="1334">
        <f t="shared" si="14"/>
        <v>0</v>
      </c>
      <c r="BD17" s="1334">
        <f t="shared" si="14"/>
        <v>0</v>
      </c>
      <c r="BE17" s="1334">
        <f>SUM(AZ17:BD17)</f>
        <v>2372137.5047039995</v>
      </c>
      <c r="BF17" s="1396">
        <f>SUM(AZ17:BC17)</f>
        <v>2372137.5047039995</v>
      </c>
      <c r="BG17" s="1397">
        <f t="shared" si="15"/>
        <v>0</v>
      </c>
      <c r="BH17" s="1398">
        <f t="shared" si="16"/>
        <v>0</v>
      </c>
      <c r="BI17" s="1399">
        <f t="shared" si="7"/>
        <v>0</v>
      </c>
      <c r="BJ17" s="1334"/>
      <c r="BK17" s="1643"/>
      <c r="BL17" s="1334">
        <f t="shared" si="17"/>
        <v>1216850.3551919998</v>
      </c>
      <c r="BM17" s="1334">
        <f t="shared" si="17"/>
        <v>0</v>
      </c>
      <c r="BN17" s="1334">
        <f t="shared" si="17"/>
        <v>0</v>
      </c>
      <c r="BO17" s="1334">
        <f t="shared" si="17"/>
        <v>0</v>
      </c>
      <c r="BP17" s="1334">
        <f t="shared" si="17"/>
        <v>0</v>
      </c>
      <c r="BQ17" s="1334">
        <f>BL17+BM17+BN17+BO17+BP17</f>
        <v>1216850.3551919998</v>
      </c>
      <c r="BR17" s="1334">
        <f>BQ17-BP17</f>
        <v>1216850.3551919998</v>
      </c>
      <c r="BS17" s="1334">
        <f t="shared" si="18"/>
        <v>992449.88040000002</v>
      </c>
      <c r="BT17" s="1334">
        <f t="shared" si="18"/>
        <v>0</v>
      </c>
      <c r="BU17" s="1334">
        <f t="shared" si="18"/>
        <v>0</v>
      </c>
      <c r="BV17" s="1334">
        <f>R17*W17</f>
        <v>0</v>
      </c>
      <c r="BW17" s="1334">
        <f t="shared" si="19"/>
        <v>0</v>
      </c>
      <c r="BX17" s="1334">
        <f>BS17+BT17+BU17+BV17+BW17</f>
        <v>992449.88040000002</v>
      </c>
      <c r="BY17" s="1334">
        <f>BX17-BW17</f>
        <v>992449.88040000002</v>
      </c>
      <c r="BZ17" s="1389">
        <f t="shared" si="42"/>
        <v>0</v>
      </c>
      <c r="CA17" s="1389">
        <f t="shared" si="42"/>
        <v>0</v>
      </c>
      <c r="CB17" s="1389">
        <f>BZ17+CA17</f>
        <v>0</v>
      </c>
      <c r="CC17" s="1389" t="e">
        <f t="shared" si="43"/>
        <v>#DIV/0!</v>
      </c>
      <c r="CD17" s="1389" t="e">
        <f t="shared" si="43"/>
        <v>#DIV/0!</v>
      </c>
      <c r="CE17" s="1389" t="e">
        <f t="shared" si="44"/>
        <v>#DIV/0!</v>
      </c>
      <c r="CF17" s="1389" t="e">
        <f t="shared" si="20"/>
        <v>#DIV/0!</v>
      </c>
      <c r="CG17" s="1389">
        <f t="shared" si="21"/>
        <v>0</v>
      </c>
      <c r="CH17" s="1389" t="e">
        <f t="shared" si="45"/>
        <v>#DIV/0!</v>
      </c>
      <c r="CI17" s="1389"/>
      <c r="CJ17" s="1756">
        <f t="shared" si="46"/>
        <v>1216.8503551919998</v>
      </c>
      <c r="CK17" s="1756">
        <f t="shared" si="22"/>
        <v>992.44988039999998</v>
      </c>
      <c r="CL17" s="1756">
        <f t="shared" si="47"/>
        <v>2209.3002355919998</v>
      </c>
      <c r="CM17" s="1334">
        <f t="shared" si="48"/>
        <v>2372.1375047039996</v>
      </c>
      <c r="CN17" s="1334">
        <f t="shared" si="49"/>
        <v>162.83726911199983</v>
      </c>
      <c r="CO17" s="1334">
        <f t="shared" si="23"/>
        <v>2209300.2355919997</v>
      </c>
      <c r="CP17" s="1334">
        <f t="shared" si="24"/>
        <v>2092166.5993919994</v>
      </c>
      <c r="CQ17" s="1334">
        <f t="shared" si="25"/>
        <v>2092166.5993919994</v>
      </c>
      <c r="CR17" s="1334">
        <f t="shared" si="26"/>
        <v>1216850.3551919998</v>
      </c>
      <c r="CS17" s="1334">
        <f t="shared" si="27"/>
        <v>2372137.5047039995</v>
      </c>
      <c r="CT17" s="1334">
        <f t="shared" si="28"/>
        <v>2372137.5047039995</v>
      </c>
      <c r="CU17" s="1334">
        <f t="shared" si="29"/>
        <v>992449.88040000002</v>
      </c>
      <c r="CV17" s="1334">
        <f t="shared" si="50"/>
        <v>4464304.1040959992</v>
      </c>
      <c r="CW17" s="1422">
        <f t="shared" si="51"/>
        <v>7073.5319999999992</v>
      </c>
      <c r="CX17" s="1334">
        <f t="shared" si="30"/>
        <v>0</v>
      </c>
      <c r="CY17" s="1334">
        <f t="shared" si="31"/>
        <v>0</v>
      </c>
      <c r="CZ17" s="1334"/>
      <c r="DA17" s="1334">
        <f t="shared" si="32"/>
        <v>2092166.5993919994</v>
      </c>
      <c r="DB17" s="1334">
        <f t="shared" si="33"/>
        <v>2372137.5047039995</v>
      </c>
      <c r="DC17" s="1223"/>
      <c r="DD17" s="1224" t="e">
        <f t="shared" si="52"/>
        <v>#DIV/0!</v>
      </c>
      <c r="DE17" s="1223"/>
      <c r="DF17" s="1223"/>
      <c r="DG17" s="1223"/>
      <c r="DH17" s="1494"/>
      <c r="DI17" s="1494"/>
      <c r="DJ17" s="1494"/>
      <c r="DK17" s="1389"/>
      <c r="DL17" s="1419">
        <f t="shared" si="34"/>
        <v>0</v>
      </c>
      <c r="DM17" s="1419">
        <f t="shared" si="35"/>
        <v>0</v>
      </c>
      <c r="DN17" s="1419">
        <f t="shared" si="36"/>
        <v>0</v>
      </c>
      <c r="DO17" s="819"/>
      <c r="DP17" s="1315"/>
      <c r="DQ17" s="1315"/>
      <c r="DR17" s="1315"/>
      <c r="DS17" s="1315"/>
      <c r="DT17" s="1315"/>
      <c r="DU17" s="1315"/>
      <c r="DV17" s="1315"/>
      <c r="DW17" s="1315"/>
      <c r="DX17" s="1315"/>
      <c r="DY17" s="1315"/>
      <c r="DZ17" s="1315"/>
      <c r="EA17" s="1315"/>
      <c r="EB17" s="1315"/>
      <c r="EC17" s="1315"/>
      <c r="ED17" s="1315"/>
      <c r="EE17" s="1315"/>
      <c r="EF17" s="1315"/>
      <c r="EG17" s="1315"/>
      <c r="EH17" s="1315"/>
      <c r="EI17" s="1315"/>
      <c r="EJ17" s="1315"/>
      <c r="EK17" s="1315"/>
      <c r="EL17" s="1315"/>
    </row>
    <row r="18" spans="1:142" s="50" customFormat="1" ht="76.5" hidden="1" customHeight="1">
      <c r="A18" s="6">
        <f t="shared" si="53"/>
        <v>5</v>
      </c>
      <c r="B18" s="1353" t="s">
        <v>9</v>
      </c>
      <c r="C18" s="1353" t="s">
        <v>73</v>
      </c>
      <c r="D18" s="1668" t="s">
        <v>984</v>
      </c>
      <c r="E18" s="1354">
        <v>4603005599</v>
      </c>
      <c r="F18" s="1353" t="s">
        <v>8</v>
      </c>
      <c r="G18" s="1808" t="s">
        <v>985</v>
      </c>
      <c r="H18" s="607">
        <v>3079.41</v>
      </c>
      <c r="I18" s="607">
        <v>3079.41</v>
      </c>
      <c r="J18" s="1356">
        <v>2953.2</v>
      </c>
      <c r="K18" s="1356">
        <v>0</v>
      </c>
      <c r="L18" s="1356">
        <v>3079.41</v>
      </c>
      <c r="M18" s="1357">
        <v>0</v>
      </c>
      <c r="N18" s="1358">
        <v>3469.64</v>
      </c>
      <c r="O18" s="1359">
        <v>3469.64</v>
      </c>
      <c r="P18" s="1359">
        <v>3307.58</v>
      </c>
      <c r="Q18" s="1359">
        <v>0</v>
      </c>
      <c r="R18" s="1359">
        <v>3469.64</v>
      </c>
      <c r="S18" s="1357">
        <v>0</v>
      </c>
      <c r="T18" s="1360">
        <v>1077</v>
      </c>
      <c r="U18" s="1361">
        <v>1388</v>
      </c>
      <c r="V18" s="1361">
        <v>0</v>
      </c>
      <c r="W18" s="1361">
        <v>170</v>
      </c>
      <c r="X18" s="1361">
        <v>0</v>
      </c>
      <c r="Y18" s="1361">
        <v>0</v>
      </c>
      <c r="Z18" s="1342">
        <f t="shared" si="8"/>
        <v>2635</v>
      </c>
      <c r="AA18" s="1362">
        <v>827.06</v>
      </c>
      <c r="AB18" s="1361">
        <v>816.18</v>
      </c>
      <c r="AC18" s="1361">
        <v>0</v>
      </c>
      <c r="AD18" s="1361">
        <v>87.33</v>
      </c>
      <c r="AE18" s="1361">
        <v>0</v>
      </c>
      <c r="AF18" s="1361">
        <v>0</v>
      </c>
      <c r="AG18" s="1344">
        <f>SUM(AA18:AD18)</f>
        <v>1730.5699999999997</v>
      </c>
      <c r="AH18" s="1340">
        <f>Z18+AG18</f>
        <v>4365.57</v>
      </c>
      <c r="AI18" s="1363">
        <f t="shared" si="9"/>
        <v>1904.06</v>
      </c>
      <c r="AJ18" s="1363">
        <f t="shared" si="9"/>
        <v>2204.1799999999998</v>
      </c>
      <c r="AK18" s="1363">
        <f t="shared" si="9"/>
        <v>0</v>
      </c>
      <c r="AL18" s="1363">
        <f t="shared" si="9"/>
        <v>257.33</v>
      </c>
      <c r="AM18" s="1341">
        <f t="shared" si="9"/>
        <v>0</v>
      </c>
      <c r="AN18" s="1341"/>
      <c r="AO18" s="1363">
        <f t="shared" si="10"/>
        <v>4365.57</v>
      </c>
      <c r="AP18" s="1363">
        <f t="shared" si="11"/>
        <v>4365.57</v>
      </c>
      <c r="AQ18" s="1364">
        <f t="shared" si="12"/>
        <v>4365.57</v>
      </c>
      <c r="AR18" s="1346">
        <f t="shared" si="41"/>
        <v>0</v>
      </c>
      <c r="AS18" s="1347">
        <f t="shared" si="13"/>
        <v>5863381.4046</v>
      </c>
      <c r="AT18" s="1341">
        <f t="shared" si="13"/>
        <v>6509384.3759999992</v>
      </c>
      <c r="AU18" s="1341">
        <f t="shared" si="13"/>
        <v>0</v>
      </c>
      <c r="AV18" s="1341">
        <f t="shared" si="13"/>
        <v>792424.57529999991</v>
      </c>
      <c r="AW18" s="1341">
        <f t="shared" si="13"/>
        <v>0</v>
      </c>
      <c r="AX18" s="1341">
        <f t="shared" ref="AX18:AX69" si="54">SUM(AS18:AW18)</f>
        <v>13165190.355900001</v>
      </c>
      <c r="AY18" s="1341">
        <f t="shared" ref="AY18:AY69" si="55">SUM(AS18:AV18)</f>
        <v>13165190.355900001</v>
      </c>
      <c r="AZ18" s="1341">
        <f>O18*AI18</f>
        <v>6606402.7383999992</v>
      </c>
      <c r="BA18" s="1341">
        <f>P18*AJ18</f>
        <v>7290501.6843999997</v>
      </c>
      <c r="BB18" s="1341">
        <f t="shared" si="14"/>
        <v>0</v>
      </c>
      <c r="BC18" s="1341">
        <f t="shared" si="14"/>
        <v>892842.4611999999</v>
      </c>
      <c r="BD18" s="1341">
        <f t="shared" si="14"/>
        <v>0</v>
      </c>
      <c r="BE18" s="1341">
        <f t="shared" ref="BE18:BE70" si="56">SUM(AZ18:BD18)</f>
        <v>14789746.884</v>
      </c>
      <c r="BF18" s="1345">
        <f>SUM(AZ18:BC18)</f>
        <v>14789746.884</v>
      </c>
      <c r="BG18" s="1653">
        <f>(H18-J18)*U18/1000-0.00348</f>
        <v>175.17600000000004</v>
      </c>
      <c r="BH18" s="1654">
        <f>(N18-P18)*AB18/1000-0.00313</f>
        <v>132.26700079999995</v>
      </c>
      <c r="BI18" s="1655">
        <f>BG18+BH18</f>
        <v>307.44300079999999</v>
      </c>
      <c r="BJ18" s="1366">
        <v>14118.69</v>
      </c>
      <c r="BK18" s="1639"/>
      <c r="BL18" s="1341">
        <f>I18*T18</f>
        <v>3316524.57</v>
      </c>
      <c r="BM18" s="1341">
        <f>J18*U18</f>
        <v>4099041.5999999996</v>
      </c>
      <c r="BN18" s="1341">
        <f t="shared" si="17"/>
        <v>0</v>
      </c>
      <c r="BO18" s="1341">
        <f>L18*W18</f>
        <v>523499.69999999995</v>
      </c>
      <c r="BP18" s="1341">
        <f t="shared" si="17"/>
        <v>0</v>
      </c>
      <c r="BQ18" s="1341">
        <f>BL18+BM18+BN18+BO18+BP18</f>
        <v>7939065.8700000001</v>
      </c>
      <c r="BR18" s="1341">
        <f>BQ18-BP18</f>
        <v>7939065.8700000001</v>
      </c>
      <c r="BS18" s="1341">
        <f>O18*AA18</f>
        <v>2869600.4583999999</v>
      </c>
      <c r="BT18" s="1341">
        <f>P18*AB18</f>
        <v>2699580.6443999996</v>
      </c>
      <c r="BU18" s="1341">
        <f t="shared" si="18"/>
        <v>0</v>
      </c>
      <c r="BV18" s="1341">
        <f>R18*AD18</f>
        <v>303003.66119999997</v>
      </c>
      <c r="BW18" s="1341">
        <f t="shared" si="19"/>
        <v>0</v>
      </c>
      <c r="BX18" s="1341">
        <f>BS18+BT18+BU18+BV18+BW18</f>
        <v>5872184.7639999995</v>
      </c>
      <c r="BY18" s="1341">
        <f>BX18-BW18</f>
        <v>5872184.7639999995</v>
      </c>
      <c r="BZ18" s="1349">
        <f>BM18+BT18</f>
        <v>6798622.2443999993</v>
      </c>
      <c r="CA18" s="1349">
        <f t="shared" si="42"/>
        <v>0</v>
      </c>
      <c r="CB18" s="1349">
        <f>BZ18+CA18</f>
        <v>6798622.2443999993</v>
      </c>
      <c r="CC18" s="1351">
        <f>BZ18/AJ18</f>
        <v>3084.4224357357384</v>
      </c>
      <c r="CD18" s="1351" t="e">
        <f t="shared" si="43"/>
        <v>#DIV/0!</v>
      </c>
      <c r="CE18" s="1351">
        <f t="shared" si="44"/>
        <v>3084.4224357357384</v>
      </c>
      <c r="CF18" s="1351">
        <f t="shared" si="20"/>
        <v>3084.4224357357384</v>
      </c>
      <c r="CG18" s="1367">
        <f t="shared" si="21"/>
        <v>7106071.8552000001</v>
      </c>
      <c r="CH18" s="1367">
        <f t="shared" si="45"/>
        <v>3223.9072377029102</v>
      </c>
      <c r="CI18" s="1368"/>
      <c r="CJ18" s="1652">
        <f>H18*Z18/1000</f>
        <v>8114.2453499999992</v>
      </c>
      <c r="CK18" s="1652">
        <f t="shared" si="22"/>
        <v>6004.4548947999992</v>
      </c>
      <c r="CL18" s="1652">
        <f t="shared" si="47"/>
        <v>14118.700244799998</v>
      </c>
      <c r="CM18" s="1341">
        <f t="shared" si="48"/>
        <v>15146.956294799998</v>
      </c>
      <c r="CN18" s="1341">
        <f t="shared" si="49"/>
        <v>1028.25605</v>
      </c>
      <c r="CO18" s="1341">
        <f t="shared" si="23"/>
        <v>14118700.244799998</v>
      </c>
      <c r="CP18" s="1341">
        <f t="shared" si="24"/>
        <v>13165190.355900001</v>
      </c>
      <c r="CQ18" s="1341">
        <f t="shared" si="25"/>
        <v>13165190.355900001</v>
      </c>
      <c r="CR18" s="1341">
        <f t="shared" si="26"/>
        <v>7939065.8700000001</v>
      </c>
      <c r="CS18" s="1341">
        <f t="shared" si="27"/>
        <v>14789746.884</v>
      </c>
      <c r="CT18" s="1341">
        <f t="shared" si="28"/>
        <v>14789746.884</v>
      </c>
      <c r="CU18" s="1341">
        <f t="shared" si="29"/>
        <v>5872184.7639999995</v>
      </c>
      <c r="CV18" s="1341">
        <f t="shared" si="50"/>
        <v>27954937.2399</v>
      </c>
      <c r="CW18" s="1350">
        <f t="shared" si="51"/>
        <v>6403.5022322170989</v>
      </c>
      <c r="CX18" s="1341">
        <f t="shared" si="30"/>
        <v>6509384.3759999992</v>
      </c>
      <c r="CY18" s="1341">
        <f t="shared" si="31"/>
        <v>7290501.6843999997</v>
      </c>
      <c r="CZ18" s="1341"/>
      <c r="DA18" s="1341">
        <f t="shared" si="32"/>
        <v>13443379.913699999</v>
      </c>
      <c r="DB18" s="1341">
        <f t="shared" si="33"/>
        <v>15146956.2948</v>
      </c>
      <c r="DC18" s="599"/>
      <c r="DD18" s="40">
        <f t="shared" si="52"/>
        <v>117.4874712176622</v>
      </c>
      <c r="DE18" s="599"/>
      <c r="DF18" s="599"/>
      <c r="DG18" s="599"/>
      <c r="DH18" s="1487">
        <v>4365.57</v>
      </c>
      <c r="DI18" s="1487">
        <v>2204.1799999999998</v>
      </c>
      <c r="DJ18" s="1487">
        <f t="shared" ref="DJ18:DJ79" si="57">DH18-DI18</f>
        <v>2161.39</v>
      </c>
      <c r="DK18" s="1368"/>
      <c r="DL18" s="1352">
        <f t="shared" si="34"/>
        <v>0</v>
      </c>
      <c r="DM18" s="1352">
        <f t="shared" si="35"/>
        <v>0</v>
      </c>
      <c r="DN18" s="1352">
        <f t="shared" si="36"/>
        <v>0</v>
      </c>
      <c r="DO18" s="8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</row>
    <row r="19" spans="1:142" s="50" customFormat="1" ht="73.5" hidden="1" customHeight="1">
      <c r="A19" s="6">
        <f t="shared" si="53"/>
        <v>6</v>
      </c>
      <c r="B19" s="1353"/>
      <c r="C19" s="1330" t="s">
        <v>167</v>
      </c>
      <c r="D19" s="1330" t="s">
        <v>232</v>
      </c>
      <c r="E19" s="1330">
        <v>4603004186</v>
      </c>
      <c r="F19" s="1330" t="s">
        <v>8</v>
      </c>
      <c r="G19" s="1807" t="s">
        <v>1019</v>
      </c>
      <c r="H19" s="38">
        <v>2541.2199999999998</v>
      </c>
      <c r="I19" s="38">
        <v>2541.2199999999998</v>
      </c>
      <c r="J19" s="1335">
        <v>2541.2199999999998</v>
      </c>
      <c r="K19" s="1335">
        <v>0</v>
      </c>
      <c r="L19" s="1335">
        <v>2541.2199999999998</v>
      </c>
      <c r="M19" s="1370">
        <v>0</v>
      </c>
      <c r="N19" s="1371">
        <v>2798.28</v>
      </c>
      <c r="O19" s="1372">
        <v>2798.28</v>
      </c>
      <c r="P19" s="1372">
        <v>2798.28</v>
      </c>
      <c r="Q19" s="1372"/>
      <c r="R19" s="1372">
        <v>2798.28</v>
      </c>
      <c r="S19" s="1370"/>
      <c r="T19" s="1373">
        <v>2356.9499999999998</v>
      </c>
      <c r="U19" s="1374">
        <v>1254</v>
      </c>
      <c r="V19" s="1374">
        <v>0</v>
      </c>
      <c r="W19" s="1374">
        <v>346.56</v>
      </c>
      <c r="X19" s="1375">
        <v>0</v>
      </c>
      <c r="Y19" s="1375">
        <v>0</v>
      </c>
      <c r="Z19" s="1376">
        <f t="shared" si="8"/>
        <v>3957.5099999999998</v>
      </c>
      <c r="AA19" s="1377">
        <v>1778.05</v>
      </c>
      <c r="AB19" s="1374">
        <v>946</v>
      </c>
      <c r="AC19" s="1374">
        <v>0</v>
      </c>
      <c r="AD19" s="1374">
        <v>261.44</v>
      </c>
      <c r="AE19" s="1375">
        <v>0</v>
      </c>
      <c r="AF19" s="1375">
        <v>0</v>
      </c>
      <c r="AG19" s="1378">
        <f t="shared" ref="AG19:AG75" si="58">SUM(AA19:AD19)</f>
        <v>2985.4900000000002</v>
      </c>
      <c r="AH19" s="1379">
        <f t="shared" ref="AH19:AH82" si="59">Z19+AG19</f>
        <v>6943</v>
      </c>
      <c r="AI19" s="1372">
        <f t="shared" si="9"/>
        <v>4135</v>
      </c>
      <c r="AJ19" s="1372">
        <f t="shared" si="9"/>
        <v>2200</v>
      </c>
      <c r="AK19" s="1375">
        <f t="shared" si="9"/>
        <v>0</v>
      </c>
      <c r="AL19" s="1372">
        <f t="shared" si="9"/>
        <v>608</v>
      </c>
      <c r="AM19" s="1375">
        <f t="shared" si="9"/>
        <v>0</v>
      </c>
      <c r="AN19" s="1375">
        <v>0</v>
      </c>
      <c r="AO19" s="1372">
        <f t="shared" si="10"/>
        <v>6943</v>
      </c>
      <c r="AP19" s="1372">
        <f t="shared" si="11"/>
        <v>6943</v>
      </c>
      <c r="AQ19" s="1370">
        <f t="shared" si="12"/>
        <v>6943</v>
      </c>
      <c r="AR19" s="1380">
        <f t="shared" si="41"/>
        <v>0</v>
      </c>
      <c r="AS19" s="1381">
        <f t="shared" si="13"/>
        <v>10507944.699999999</v>
      </c>
      <c r="AT19" s="1375">
        <f t="shared" si="13"/>
        <v>5590684</v>
      </c>
      <c r="AU19" s="1375">
        <f t="shared" si="13"/>
        <v>0</v>
      </c>
      <c r="AV19" s="1375">
        <f t="shared" si="13"/>
        <v>1545061.7599999998</v>
      </c>
      <c r="AW19" s="1375">
        <f t="shared" si="13"/>
        <v>0</v>
      </c>
      <c r="AX19" s="1375">
        <f t="shared" si="54"/>
        <v>17643690.460000001</v>
      </c>
      <c r="AY19" s="1375">
        <f t="shared" si="55"/>
        <v>17643690.460000001</v>
      </c>
      <c r="AZ19" s="1375">
        <f t="shared" si="14"/>
        <v>11570887.800000001</v>
      </c>
      <c r="BA19" s="1375">
        <f t="shared" si="14"/>
        <v>6156216</v>
      </c>
      <c r="BB19" s="1375">
        <f t="shared" si="14"/>
        <v>0</v>
      </c>
      <c r="BC19" s="1375">
        <f t="shared" si="14"/>
        <v>1701354.2400000002</v>
      </c>
      <c r="BD19" s="1375">
        <f t="shared" si="14"/>
        <v>0</v>
      </c>
      <c r="BE19" s="1375">
        <f t="shared" si="56"/>
        <v>19428458.039999999</v>
      </c>
      <c r="BF19" s="1382">
        <f t="shared" ref="BF19:BF70" si="60">SUM(AZ19:BC19)</f>
        <v>19428458.039999999</v>
      </c>
      <c r="BG19" s="1383">
        <v>0</v>
      </c>
      <c r="BH19" s="1375">
        <v>0</v>
      </c>
      <c r="BI19" s="1375">
        <f t="shared" si="7"/>
        <v>0</v>
      </c>
      <c r="BJ19" s="1384">
        <v>18411.14</v>
      </c>
      <c r="BK19" s="1640">
        <v>20037.580000000002</v>
      </c>
      <c r="BL19" s="1375">
        <f t="shared" ref="BL19:BP44" si="61">I19*T19</f>
        <v>5989528.4789999994</v>
      </c>
      <c r="BM19" s="1375">
        <f t="shared" si="61"/>
        <v>3186689.88</v>
      </c>
      <c r="BN19" s="1375">
        <f t="shared" si="17"/>
        <v>0</v>
      </c>
      <c r="BO19" s="1375">
        <f t="shared" si="17"/>
        <v>880685.20319999999</v>
      </c>
      <c r="BP19" s="1375">
        <f t="shared" si="17"/>
        <v>0</v>
      </c>
      <c r="BQ19" s="1375">
        <f t="shared" ref="BQ19:BQ82" si="62">BL19+BM19+BN19+BO19+BP19</f>
        <v>10056903.562199999</v>
      </c>
      <c r="BR19" s="1375">
        <f t="shared" ref="BR19:BR82" si="63">BQ19-BP19</f>
        <v>10056903.562199999</v>
      </c>
      <c r="BS19" s="1375">
        <f t="shared" ref="BS19:BU44" si="64">O19*AA19</f>
        <v>4975481.7540000007</v>
      </c>
      <c r="BT19" s="1375">
        <f t="shared" si="64"/>
        <v>2647172.8800000004</v>
      </c>
      <c r="BU19" s="1375">
        <f t="shared" si="18"/>
        <v>0</v>
      </c>
      <c r="BV19" s="1375">
        <f t="shared" ref="BV19:BV82" si="65">R19*W19</f>
        <v>969771.91680000012</v>
      </c>
      <c r="BW19" s="1375">
        <f t="shared" si="19"/>
        <v>0</v>
      </c>
      <c r="BX19" s="1375">
        <f t="shared" ref="BX19:BX82" si="66">BS19+BT19+BU19+BV19+BW19</f>
        <v>8592426.5508000012</v>
      </c>
      <c r="BY19" s="1375">
        <f t="shared" ref="BY19:BY82" si="67">BX19-BW19</f>
        <v>8592426.5508000012</v>
      </c>
      <c r="BZ19" s="1385">
        <f t="shared" ref="BZ19:CA74" si="68">BM19+BT19</f>
        <v>5833862.7599999998</v>
      </c>
      <c r="CA19" s="1385">
        <f t="shared" si="42"/>
        <v>0</v>
      </c>
      <c r="CB19" s="1385">
        <f t="shared" ref="CB19:CB82" si="69">BZ19+CA19</f>
        <v>5833862.7599999998</v>
      </c>
      <c r="CC19" s="1380">
        <f t="shared" ref="CC19:CD74" si="70">BZ19/AJ19</f>
        <v>2651.7557999999999</v>
      </c>
      <c r="CD19" s="1380" t="e">
        <f t="shared" si="43"/>
        <v>#DIV/0!</v>
      </c>
      <c r="CE19" s="1380">
        <f t="shared" si="44"/>
        <v>2651.7557999999999</v>
      </c>
      <c r="CF19" s="1386">
        <f t="shared" si="20"/>
        <v>2651.7557999999999</v>
      </c>
      <c r="CG19" s="1387">
        <f t="shared" si="21"/>
        <v>5833862.7599999998</v>
      </c>
      <c r="CH19" s="1387">
        <f t="shared" si="45"/>
        <v>2651.7557999999999</v>
      </c>
      <c r="CI19" s="1385"/>
      <c r="CJ19" s="1341">
        <f t="shared" ref="CJ19:CJ82" si="71">N19*Z19/1000</f>
        <v>11074.221082800001</v>
      </c>
      <c r="CK19" s="1341">
        <f t="shared" si="22"/>
        <v>8354.2369572000007</v>
      </c>
      <c r="CL19" s="1388">
        <f t="shared" si="47"/>
        <v>19428.458040000001</v>
      </c>
      <c r="CM19" s="1341">
        <f t="shared" si="48"/>
        <v>19428.458040000001</v>
      </c>
      <c r="CN19" s="1341">
        <f t="shared" si="49"/>
        <v>0</v>
      </c>
      <c r="CO19" s="1375">
        <f t="shared" si="23"/>
        <v>18411140.519400001</v>
      </c>
      <c r="CP19" s="1375">
        <f t="shared" si="24"/>
        <v>17643690.460000001</v>
      </c>
      <c r="CQ19" s="1375">
        <f t="shared" si="25"/>
        <v>17643690.460000001</v>
      </c>
      <c r="CR19" s="1375">
        <f t="shared" si="26"/>
        <v>10056903.562199999</v>
      </c>
      <c r="CS19" s="1375">
        <f t="shared" si="27"/>
        <v>19428458.039999999</v>
      </c>
      <c r="CT19" s="1375">
        <f t="shared" si="28"/>
        <v>19428458.039999999</v>
      </c>
      <c r="CU19" s="1375">
        <f t="shared" si="29"/>
        <v>8354236.9572000019</v>
      </c>
      <c r="CV19" s="1375">
        <f t="shared" si="50"/>
        <v>37072148.5</v>
      </c>
      <c r="CW19" s="1350">
        <f t="shared" si="51"/>
        <v>5339.5</v>
      </c>
      <c r="CX19" s="1375">
        <f t="shared" si="30"/>
        <v>5590684</v>
      </c>
      <c r="CY19" s="1375">
        <f t="shared" si="31"/>
        <v>6156216</v>
      </c>
      <c r="CZ19" s="1375"/>
      <c r="DA19" s="1375">
        <f t="shared" si="32"/>
        <v>17643690.460000001</v>
      </c>
      <c r="DB19" s="1375">
        <f t="shared" si="33"/>
        <v>19428458.039999999</v>
      </c>
      <c r="DC19" s="1314"/>
      <c r="DD19" s="40">
        <f t="shared" si="52"/>
        <v>110.11561376031986</v>
      </c>
      <c r="DE19" s="1314"/>
      <c r="DF19" s="1314"/>
      <c r="DG19" s="1314"/>
      <c r="DH19" s="1670">
        <v>6943</v>
      </c>
      <c r="DI19" s="1670">
        <v>2200</v>
      </c>
      <c r="DJ19" s="1670">
        <f>DH19-DI19</f>
        <v>4743</v>
      </c>
      <c r="DK19" s="1385"/>
      <c r="DL19" s="1352">
        <f t="shared" si="34"/>
        <v>0</v>
      </c>
      <c r="DM19" s="1352">
        <f t="shared" si="35"/>
        <v>0</v>
      </c>
      <c r="DN19" s="1352">
        <f t="shared" si="36"/>
        <v>0</v>
      </c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</row>
    <row r="20" spans="1:142" s="1313" customFormat="1" ht="79.5" hidden="1" customHeight="1">
      <c r="A20" s="6">
        <f t="shared" si="53"/>
        <v>7</v>
      </c>
      <c r="B20" s="1325" t="s">
        <v>7</v>
      </c>
      <c r="C20" s="1838" t="s">
        <v>132</v>
      </c>
      <c r="D20" s="1706" t="s">
        <v>142</v>
      </c>
      <c r="E20" s="1331">
        <v>4632024035</v>
      </c>
      <c r="F20" s="1330" t="s">
        <v>8</v>
      </c>
      <c r="G20" s="1682" t="s">
        <v>1034</v>
      </c>
      <c r="H20" s="1700">
        <v>3314.9639999999995</v>
      </c>
      <c r="I20" s="1701">
        <f t="shared" ref="I20:I28" si="72">H20</f>
        <v>3314.9639999999995</v>
      </c>
      <c r="J20" s="1335"/>
      <c r="K20" s="1335"/>
      <c r="L20" s="1700">
        <v>3314.9639999999995</v>
      </c>
      <c r="M20" s="1390"/>
      <c r="N20" s="1703">
        <f t="shared" ref="N20:N28" si="73">3132.14*1.2</f>
        <v>3758.5679999999998</v>
      </c>
      <c r="O20" s="1704">
        <f t="shared" ref="O20:O28" si="74">N20</f>
        <v>3758.5679999999998</v>
      </c>
      <c r="P20" s="1335"/>
      <c r="Q20" s="1335"/>
      <c r="R20" s="1704">
        <f t="shared" ref="R20:R28" si="75">O20</f>
        <v>3758.5679999999998</v>
      </c>
      <c r="S20" s="1390"/>
      <c r="T20" s="1751">
        <v>463.24599999999998</v>
      </c>
      <c r="U20" s="1334"/>
      <c r="V20" s="1334"/>
      <c r="W20" s="1334"/>
      <c r="X20" s="1334"/>
      <c r="Y20" s="1334"/>
      <c r="Z20" s="1393">
        <f t="shared" si="8"/>
        <v>463.24599999999998</v>
      </c>
      <c r="AA20" s="1752">
        <v>275</v>
      </c>
      <c r="AB20" s="1334"/>
      <c r="AC20" s="1334"/>
      <c r="AD20" s="1334"/>
      <c r="AE20" s="1334"/>
      <c r="AF20" s="1334"/>
      <c r="AG20" s="1395">
        <f t="shared" si="58"/>
        <v>275</v>
      </c>
      <c r="AH20" s="1736">
        <f t="shared" si="59"/>
        <v>738.24599999999998</v>
      </c>
      <c r="AI20" s="1334">
        <f t="shared" si="9"/>
        <v>738.24599999999998</v>
      </c>
      <c r="AJ20" s="1334">
        <f t="shared" si="9"/>
        <v>0</v>
      </c>
      <c r="AK20" s="1334">
        <f t="shared" si="9"/>
        <v>0</v>
      </c>
      <c r="AL20" s="1334">
        <f t="shared" si="9"/>
        <v>0</v>
      </c>
      <c r="AM20" s="1334">
        <f t="shared" si="9"/>
        <v>0</v>
      </c>
      <c r="AN20" s="1334"/>
      <c r="AO20" s="1334">
        <f t="shared" si="10"/>
        <v>738.24599999999998</v>
      </c>
      <c r="AP20" s="1334">
        <f t="shared" si="11"/>
        <v>738.24599999999998</v>
      </c>
      <c r="AQ20" s="1396">
        <f t="shared" si="12"/>
        <v>738.24599999999998</v>
      </c>
      <c r="AR20" s="1417">
        <f t="shared" si="41"/>
        <v>0</v>
      </c>
      <c r="AS20" s="1333">
        <f t="shared" si="13"/>
        <v>2447258.9131439994</v>
      </c>
      <c r="AT20" s="1334">
        <f t="shared" si="13"/>
        <v>0</v>
      </c>
      <c r="AU20" s="1334">
        <f t="shared" si="13"/>
        <v>0</v>
      </c>
      <c r="AV20" s="1334">
        <f t="shared" si="13"/>
        <v>0</v>
      </c>
      <c r="AW20" s="1334">
        <f t="shared" si="13"/>
        <v>0</v>
      </c>
      <c r="AX20" s="1334">
        <f t="shared" si="54"/>
        <v>2447258.9131439994</v>
      </c>
      <c r="AY20" s="1334">
        <f t="shared" si="55"/>
        <v>2447258.9131439994</v>
      </c>
      <c r="AZ20" s="1334">
        <f t="shared" si="14"/>
        <v>2774747.7917279997</v>
      </c>
      <c r="BA20" s="1334">
        <f t="shared" si="14"/>
        <v>0</v>
      </c>
      <c r="BB20" s="1334">
        <f t="shared" si="14"/>
        <v>0</v>
      </c>
      <c r="BC20" s="1334">
        <f t="shared" si="14"/>
        <v>0</v>
      </c>
      <c r="BD20" s="1334">
        <f t="shared" si="14"/>
        <v>0</v>
      </c>
      <c r="BE20" s="1334">
        <f t="shared" si="56"/>
        <v>2774747.7917279997</v>
      </c>
      <c r="BF20" s="1396">
        <f t="shared" si="60"/>
        <v>2774747.7917279997</v>
      </c>
      <c r="BG20" s="1397">
        <f t="shared" ref="BG20:BG28" si="76">(H20-J20)/1.2*U20/1000+(H20-K20)/1.2*V20/1000</f>
        <v>0</v>
      </c>
      <c r="BH20" s="1398">
        <f t="shared" ref="BH20:BH28" si="77">(O20-P20)*AB20/1000/1.2+(O20-Q20)/1.2*AC20/1000</f>
        <v>0</v>
      </c>
      <c r="BI20" s="1399">
        <f t="shared" si="7"/>
        <v>0</v>
      </c>
      <c r="BJ20" s="1334"/>
      <c r="BK20" s="1643"/>
      <c r="BL20" s="1334">
        <f t="shared" si="61"/>
        <v>1535643.8131439998</v>
      </c>
      <c r="BM20" s="1334">
        <f t="shared" si="61"/>
        <v>0</v>
      </c>
      <c r="BN20" s="1334">
        <f t="shared" si="17"/>
        <v>0</v>
      </c>
      <c r="BO20" s="1334">
        <f t="shared" si="17"/>
        <v>0</v>
      </c>
      <c r="BP20" s="1334">
        <f t="shared" si="17"/>
        <v>0</v>
      </c>
      <c r="BQ20" s="1334">
        <f t="shared" si="62"/>
        <v>1535643.8131439998</v>
      </c>
      <c r="BR20" s="1334">
        <f t="shared" si="63"/>
        <v>1535643.8131439998</v>
      </c>
      <c r="BS20" s="1334">
        <f t="shared" si="64"/>
        <v>1033606.2</v>
      </c>
      <c r="BT20" s="1334">
        <f t="shared" si="64"/>
        <v>0</v>
      </c>
      <c r="BU20" s="1334">
        <f t="shared" si="18"/>
        <v>0</v>
      </c>
      <c r="BV20" s="1334">
        <f t="shared" si="65"/>
        <v>0</v>
      </c>
      <c r="BW20" s="1334">
        <f t="shared" si="19"/>
        <v>0</v>
      </c>
      <c r="BX20" s="1334">
        <f t="shared" si="66"/>
        <v>1033606.2</v>
      </c>
      <c r="BY20" s="1334">
        <f t="shared" si="67"/>
        <v>1033606.2</v>
      </c>
      <c r="BZ20" s="1389">
        <f t="shared" si="68"/>
        <v>0</v>
      </c>
      <c r="CA20" s="1389">
        <f t="shared" si="42"/>
        <v>0</v>
      </c>
      <c r="CB20" s="1389">
        <f t="shared" si="69"/>
        <v>0</v>
      </c>
      <c r="CC20" s="1417" t="e">
        <f t="shared" si="70"/>
        <v>#DIV/0!</v>
      </c>
      <c r="CD20" s="1417" t="e">
        <f t="shared" si="43"/>
        <v>#DIV/0!</v>
      </c>
      <c r="CE20" s="1417" t="e">
        <f t="shared" si="44"/>
        <v>#DIV/0!</v>
      </c>
      <c r="CF20" s="1389" t="e">
        <f t="shared" si="20"/>
        <v>#DIV/0!</v>
      </c>
      <c r="CG20" s="1421">
        <f t="shared" si="21"/>
        <v>0</v>
      </c>
      <c r="CH20" s="1421" t="e">
        <f t="shared" si="45"/>
        <v>#DIV/0!</v>
      </c>
      <c r="CI20" s="1389"/>
      <c r="CJ20" s="1756">
        <f t="shared" ref="CJ20:CJ28" si="78">H20*Z20/1000</f>
        <v>1535.6438131439998</v>
      </c>
      <c r="CK20" s="1756">
        <f t="shared" si="22"/>
        <v>1033.6061999999999</v>
      </c>
      <c r="CL20" s="1756">
        <f t="shared" si="47"/>
        <v>2569.2500131439997</v>
      </c>
      <c r="CM20" s="1334">
        <f t="shared" si="48"/>
        <v>2774.7477917279998</v>
      </c>
      <c r="CN20" s="1334">
        <f t="shared" si="49"/>
        <v>205.49777858400012</v>
      </c>
      <c r="CO20" s="1334">
        <f t="shared" si="23"/>
        <v>2569250.0131439995</v>
      </c>
      <c r="CP20" s="1334">
        <f t="shared" si="24"/>
        <v>2447258.9131439994</v>
      </c>
      <c r="CQ20" s="1334">
        <f t="shared" si="25"/>
        <v>2447258.9131439994</v>
      </c>
      <c r="CR20" s="1334">
        <f t="shared" si="26"/>
        <v>1535643.8131439998</v>
      </c>
      <c r="CS20" s="1334">
        <f t="shared" si="27"/>
        <v>2774747.7917279997</v>
      </c>
      <c r="CT20" s="1334">
        <f t="shared" si="28"/>
        <v>2774747.7917279997</v>
      </c>
      <c r="CU20" s="1334">
        <f t="shared" si="29"/>
        <v>1033606.2</v>
      </c>
      <c r="CV20" s="1334">
        <f t="shared" si="50"/>
        <v>5222006.7048719991</v>
      </c>
      <c r="CW20" s="1422">
        <f t="shared" si="51"/>
        <v>7073.5319999999992</v>
      </c>
      <c r="CX20" s="1334">
        <f t="shared" si="30"/>
        <v>0</v>
      </c>
      <c r="CY20" s="1334">
        <f t="shared" si="31"/>
        <v>0</v>
      </c>
      <c r="CZ20" s="1334"/>
      <c r="DA20" s="1334">
        <f t="shared" si="32"/>
        <v>2447258.9131439994</v>
      </c>
      <c r="DB20" s="1334">
        <f t="shared" si="33"/>
        <v>2774747.7917279997</v>
      </c>
      <c r="DC20" s="1223"/>
      <c r="DD20" s="1224" t="e">
        <f t="shared" si="52"/>
        <v>#DIV/0!</v>
      </c>
      <c r="DE20" s="1223"/>
      <c r="DF20" s="1223"/>
      <c r="DG20" s="1223"/>
      <c r="DH20" s="1494"/>
      <c r="DI20" s="1494"/>
      <c r="DJ20" s="1494"/>
      <c r="DK20" s="1389"/>
      <c r="DL20" s="1419">
        <f t="shared" si="34"/>
        <v>0</v>
      </c>
      <c r="DM20" s="1419">
        <f t="shared" si="35"/>
        <v>0</v>
      </c>
      <c r="DN20" s="1419">
        <f t="shared" si="36"/>
        <v>0</v>
      </c>
      <c r="DO20" s="819"/>
      <c r="DP20" s="1315"/>
      <c r="DQ20" s="1315"/>
      <c r="DR20" s="1315"/>
      <c r="DS20" s="1315"/>
      <c r="DT20" s="1315"/>
      <c r="DU20" s="1315"/>
      <c r="DV20" s="1315"/>
      <c r="DW20" s="1315"/>
      <c r="DX20" s="1315"/>
      <c r="DY20" s="1315"/>
      <c r="DZ20" s="1315"/>
      <c r="EA20" s="1315"/>
      <c r="EB20" s="1315"/>
      <c r="EC20" s="1315"/>
      <c r="ED20" s="1315"/>
      <c r="EE20" s="1315"/>
      <c r="EF20" s="1315"/>
      <c r="EG20" s="1315"/>
      <c r="EH20" s="1315"/>
      <c r="EI20" s="1315"/>
      <c r="EJ20" s="1315"/>
      <c r="EK20" s="1315"/>
      <c r="EL20" s="1315"/>
    </row>
    <row r="21" spans="1:142" s="1313" customFormat="1" ht="79.5" hidden="1" customHeight="1">
      <c r="A21" s="6">
        <f t="shared" si="53"/>
        <v>8</v>
      </c>
      <c r="B21" s="1325" t="s">
        <v>7</v>
      </c>
      <c r="C21" s="1838" t="s">
        <v>74</v>
      </c>
      <c r="D21" s="1706" t="s">
        <v>141</v>
      </c>
      <c r="E21" s="1331">
        <v>4632024035</v>
      </c>
      <c r="F21" s="1330" t="s">
        <v>8</v>
      </c>
      <c r="G21" s="1682" t="s">
        <v>1034</v>
      </c>
      <c r="H21" s="1700">
        <v>3314.9639999999995</v>
      </c>
      <c r="I21" s="1701">
        <f t="shared" si="72"/>
        <v>3314.9639999999995</v>
      </c>
      <c r="J21" s="1335"/>
      <c r="K21" s="1335"/>
      <c r="L21" s="1700">
        <v>3314.9639999999995</v>
      </c>
      <c r="M21" s="1390"/>
      <c r="N21" s="1703">
        <f t="shared" si="73"/>
        <v>3758.5679999999998</v>
      </c>
      <c r="O21" s="1704">
        <f t="shared" si="74"/>
        <v>3758.5679999999998</v>
      </c>
      <c r="P21" s="1335"/>
      <c r="Q21" s="1335"/>
      <c r="R21" s="1704">
        <f t="shared" si="75"/>
        <v>3758.5679999999998</v>
      </c>
      <c r="S21" s="1390"/>
      <c r="T21" s="1752">
        <v>275.15599999999995</v>
      </c>
      <c r="U21" s="1334"/>
      <c r="V21" s="1334"/>
      <c r="W21" s="1334"/>
      <c r="X21" s="1334"/>
      <c r="Y21" s="1334"/>
      <c r="Z21" s="1393">
        <f t="shared" si="8"/>
        <v>275.15599999999995</v>
      </c>
      <c r="AA21" s="1752">
        <v>132.26300000000001</v>
      </c>
      <c r="AB21" s="1334"/>
      <c r="AC21" s="1334"/>
      <c r="AD21" s="1334"/>
      <c r="AE21" s="1334"/>
      <c r="AF21" s="1334"/>
      <c r="AG21" s="1395">
        <f t="shared" si="58"/>
        <v>132.26300000000001</v>
      </c>
      <c r="AH21" s="1736">
        <f t="shared" si="59"/>
        <v>407.41899999999998</v>
      </c>
      <c r="AI21" s="1334">
        <f t="shared" si="9"/>
        <v>407.41899999999998</v>
      </c>
      <c r="AJ21" s="1334">
        <f t="shared" si="9"/>
        <v>0</v>
      </c>
      <c r="AK21" s="1334">
        <f t="shared" si="9"/>
        <v>0</v>
      </c>
      <c r="AL21" s="1334">
        <f t="shared" si="9"/>
        <v>0</v>
      </c>
      <c r="AM21" s="1334">
        <f t="shared" si="9"/>
        <v>0</v>
      </c>
      <c r="AN21" s="1334"/>
      <c r="AO21" s="1334">
        <f t="shared" si="10"/>
        <v>407.41899999999998</v>
      </c>
      <c r="AP21" s="1334">
        <f t="shared" si="11"/>
        <v>407.41899999999998</v>
      </c>
      <c r="AQ21" s="1396">
        <f t="shared" si="12"/>
        <v>407.41899999999998</v>
      </c>
      <c r="AR21" s="1417">
        <f t="shared" si="41"/>
        <v>0</v>
      </c>
      <c r="AS21" s="1333">
        <f t="shared" si="13"/>
        <v>1350579.3179159998</v>
      </c>
      <c r="AT21" s="1334">
        <f t="shared" si="13"/>
        <v>0</v>
      </c>
      <c r="AU21" s="1334">
        <f t="shared" si="13"/>
        <v>0</v>
      </c>
      <c r="AV21" s="1334">
        <f t="shared" si="13"/>
        <v>0</v>
      </c>
      <c r="AW21" s="1334">
        <f t="shared" si="13"/>
        <v>0</v>
      </c>
      <c r="AX21" s="1334">
        <f t="shared" si="54"/>
        <v>1350579.3179159998</v>
      </c>
      <c r="AY21" s="1334">
        <f t="shared" si="55"/>
        <v>1350579.3179159998</v>
      </c>
      <c r="AZ21" s="1334">
        <f t="shared" si="14"/>
        <v>1531312.0159919998</v>
      </c>
      <c r="BA21" s="1334">
        <f t="shared" si="14"/>
        <v>0</v>
      </c>
      <c r="BB21" s="1334">
        <f t="shared" si="14"/>
        <v>0</v>
      </c>
      <c r="BC21" s="1334">
        <f t="shared" si="14"/>
        <v>0</v>
      </c>
      <c r="BD21" s="1334">
        <f t="shared" si="14"/>
        <v>0</v>
      </c>
      <c r="BE21" s="1334">
        <f t="shared" si="56"/>
        <v>1531312.0159919998</v>
      </c>
      <c r="BF21" s="1396">
        <f t="shared" si="60"/>
        <v>1531312.0159919998</v>
      </c>
      <c r="BG21" s="1397">
        <f t="shared" si="76"/>
        <v>0</v>
      </c>
      <c r="BH21" s="1398">
        <f t="shared" si="77"/>
        <v>0</v>
      </c>
      <c r="BI21" s="1399">
        <f t="shared" si="7"/>
        <v>0</v>
      </c>
      <c r="BJ21" s="1334"/>
      <c r="BK21" s="1643"/>
      <c r="BL21" s="1334">
        <f t="shared" si="61"/>
        <v>912132.23438399972</v>
      </c>
      <c r="BM21" s="1334">
        <f t="shared" si="61"/>
        <v>0</v>
      </c>
      <c r="BN21" s="1334">
        <f t="shared" si="17"/>
        <v>0</v>
      </c>
      <c r="BO21" s="1334">
        <f t="shared" si="17"/>
        <v>0</v>
      </c>
      <c r="BP21" s="1334">
        <f t="shared" si="17"/>
        <v>0</v>
      </c>
      <c r="BQ21" s="1334">
        <f t="shared" si="62"/>
        <v>912132.23438399972</v>
      </c>
      <c r="BR21" s="1334">
        <f t="shared" si="63"/>
        <v>912132.23438399972</v>
      </c>
      <c r="BS21" s="1334">
        <f t="shared" si="64"/>
        <v>497119.47938400001</v>
      </c>
      <c r="BT21" s="1334">
        <f t="shared" si="64"/>
        <v>0</v>
      </c>
      <c r="BU21" s="1334">
        <f t="shared" si="18"/>
        <v>0</v>
      </c>
      <c r="BV21" s="1334">
        <f t="shared" si="65"/>
        <v>0</v>
      </c>
      <c r="BW21" s="1334">
        <f t="shared" si="19"/>
        <v>0</v>
      </c>
      <c r="BX21" s="1334">
        <f t="shared" si="66"/>
        <v>497119.47938400001</v>
      </c>
      <c r="BY21" s="1334">
        <f t="shared" si="67"/>
        <v>497119.47938400001</v>
      </c>
      <c r="BZ21" s="1389">
        <f t="shared" si="68"/>
        <v>0</v>
      </c>
      <c r="CA21" s="1389">
        <f t="shared" si="42"/>
        <v>0</v>
      </c>
      <c r="CB21" s="1389">
        <f t="shared" si="69"/>
        <v>0</v>
      </c>
      <c r="CC21" s="1417" t="e">
        <f t="shared" si="70"/>
        <v>#DIV/0!</v>
      </c>
      <c r="CD21" s="1417" t="e">
        <f t="shared" si="43"/>
        <v>#DIV/0!</v>
      </c>
      <c r="CE21" s="1417" t="e">
        <f t="shared" si="44"/>
        <v>#DIV/0!</v>
      </c>
      <c r="CF21" s="1389" t="e">
        <f t="shared" si="20"/>
        <v>#DIV/0!</v>
      </c>
      <c r="CG21" s="1421">
        <f t="shared" si="21"/>
        <v>0</v>
      </c>
      <c r="CH21" s="1421" t="e">
        <f t="shared" si="45"/>
        <v>#DIV/0!</v>
      </c>
      <c r="CI21" s="1389"/>
      <c r="CJ21" s="1756">
        <f t="shared" si="78"/>
        <v>912.13223438399973</v>
      </c>
      <c r="CK21" s="1756">
        <f t="shared" si="22"/>
        <v>497.11947938399999</v>
      </c>
      <c r="CL21" s="1756">
        <f t="shared" si="47"/>
        <v>1409.2517137679997</v>
      </c>
      <c r="CM21" s="1334">
        <f t="shared" si="48"/>
        <v>1531.3120159919997</v>
      </c>
      <c r="CN21" s="1334">
        <f t="shared" si="49"/>
        <v>122.060302224</v>
      </c>
      <c r="CO21" s="1334">
        <f t="shared" si="23"/>
        <v>1409251.7137679998</v>
      </c>
      <c r="CP21" s="1334">
        <f t="shared" si="24"/>
        <v>1350579.3179159998</v>
      </c>
      <c r="CQ21" s="1334">
        <f t="shared" si="25"/>
        <v>1350579.3179159998</v>
      </c>
      <c r="CR21" s="1334">
        <f t="shared" si="26"/>
        <v>912132.23438399972</v>
      </c>
      <c r="CS21" s="1334">
        <f t="shared" si="27"/>
        <v>1531312.0159919998</v>
      </c>
      <c r="CT21" s="1334">
        <f t="shared" si="28"/>
        <v>1531312.0159919998</v>
      </c>
      <c r="CU21" s="1334">
        <f t="shared" si="29"/>
        <v>497119.47938400001</v>
      </c>
      <c r="CV21" s="1334">
        <f t="shared" si="50"/>
        <v>2881891.3339079996</v>
      </c>
      <c r="CW21" s="1422">
        <f t="shared" si="51"/>
        <v>7073.5319999999992</v>
      </c>
      <c r="CX21" s="1334">
        <f t="shared" si="30"/>
        <v>0</v>
      </c>
      <c r="CY21" s="1334">
        <f t="shared" si="31"/>
        <v>0</v>
      </c>
      <c r="CZ21" s="1334"/>
      <c r="DA21" s="1334">
        <f t="shared" si="32"/>
        <v>1350579.3179159998</v>
      </c>
      <c r="DB21" s="1334">
        <f t="shared" si="33"/>
        <v>1531312.0159919998</v>
      </c>
      <c r="DC21" s="1223"/>
      <c r="DD21" s="1224" t="e">
        <f t="shared" si="52"/>
        <v>#DIV/0!</v>
      </c>
      <c r="DE21" s="1223"/>
      <c r="DF21" s="1223"/>
      <c r="DG21" s="1223"/>
      <c r="DH21" s="1494"/>
      <c r="DI21" s="1494"/>
      <c r="DJ21" s="1494"/>
      <c r="DK21" s="1389"/>
      <c r="DL21" s="1419">
        <f t="shared" si="34"/>
        <v>0</v>
      </c>
      <c r="DM21" s="1419">
        <f t="shared" si="35"/>
        <v>0</v>
      </c>
      <c r="DN21" s="1419">
        <f t="shared" si="36"/>
        <v>0</v>
      </c>
      <c r="DO21" s="819"/>
      <c r="DP21" s="1315"/>
      <c r="DQ21" s="1315"/>
      <c r="DR21" s="1315"/>
      <c r="DS21" s="1315"/>
      <c r="DT21" s="1315"/>
      <c r="DU21" s="1315"/>
      <c r="DV21" s="1315"/>
      <c r="DW21" s="1315"/>
      <c r="DX21" s="1315"/>
      <c r="DY21" s="1315"/>
      <c r="DZ21" s="1315"/>
      <c r="EA21" s="1315"/>
      <c r="EB21" s="1315"/>
      <c r="EC21" s="1315"/>
      <c r="ED21" s="1315"/>
      <c r="EE21" s="1315"/>
      <c r="EF21" s="1315"/>
      <c r="EG21" s="1315"/>
      <c r="EH21" s="1315"/>
      <c r="EI21" s="1315"/>
      <c r="EJ21" s="1315"/>
      <c r="EK21" s="1315"/>
      <c r="EL21" s="1315"/>
    </row>
    <row r="22" spans="1:142" s="1313" customFormat="1" ht="75.75" hidden="1" customHeight="1">
      <c r="A22" s="6">
        <f t="shared" si="53"/>
        <v>9</v>
      </c>
      <c r="B22" s="1330" t="s">
        <v>11</v>
      </c>
      <c r="C22" s="1839" t="s">
        <v>75</v>
      </c>
      <c r="D22" s="1706" t="s">
        <v>142</v>
      </c>
      <c r="E22" s="1331">
        <v>4632024035</v>
      </c>
      <c r="F22" s="1330" t="s">
        <v>8</v>
      </c>
      <c r="G22" s="1682" t="s">
        <v>1034</v>
      </c>
      <c r="H22" s="1700">
        <v>3314.9639999999995</v>
      </c>
      <c r="I22" s="1701">
        <f t="shared" si="72"/>
        <v>3314.9639999999995</v>
      </c>
      <c r="J22" s="1707">
        <v>2484</v>
      </c>
      <c r="K22" s="1335"/>
      <c r="L22" s="1700">
        <v>3314.9639999999995</v>
      </c>
      <c r="M22" s="1390"/>
      <c r="N22" s="1703">
        <f t="shared" si="73"/>
        <v>3758.5679999999998</v>
      </c>
      <c r="O22" s="1704">
        <f t="shared" si="74"/>
        <v>3758.5679999999998</v>
      </c>
      <c r="P22" s="1708">
        <v>2719.98</v>
      </c>
      <c r="Q22" s="1335"/>
      <c r="R22" s="1704">
        <f t="shared" si="75"/>
        <v>3758.5679999999998</v>
      </c>
      <c r="S22" s="1390"/>
      <c r="T22" s="1752">
        <v>3592.6419999999998</v>
      </c>
      <c r="U22" s="1736">
        <v>425.14700000000005</v>
      </c>
      <c r="V22" s="1334"/>
      <c r="W22" s="1334"/>
      <c r="X22" s="1334"/>
      <c r="Y22" s="1334"/>
      <c r="Z22" s="1393">
        <f t="shared" si="8"/>
        <v>4017.7889999999998</v>
      </c>
      <c r="AA22" s="1752">
        <v>2260.248</v>
      </c>
      <c r="AB22" s="1736">
        <v>424.18200000000002</v>
      </c>
      <c r="AC22" s="1334"/>
      <c r="AD22" s="1334"/>
      <c r="AE22" s="1334"/>
      <c r="AF22" s="1334"/>
      <c r="AG22" s="1395">
        <f t="shared" si="58"/>
        <v>2684.4300000000003</v>
      </c>
      <c r="AH22" s="1391">
        <f t="shared" si="59"/>
        <v>6702.2190000000001</v>
      </c>
      <c r="AI22" s="1334">
        <f t="shared" si="9"/>
        <v>5852.8899999999994</v>
      </c>
      <c r="AJ22" s="1334">
        <f t="shared" si="9"/>
        <v>849.32900000000006</v>
      </c>
      <c r="AK22" s="1334">
        <f t="shared" si="9"/>
        <v>0</v>
      </c>
      <c r="AL22" s="1334">
        <f t="shared" si="9"/>
        <v>0</v>
      </c>
      <c r="AM22" s="1334">
        <f t="shared" si="9"/>
        <v>0</v>
      </c>
      <c r="AN22" s="1334"/>
      <c r="AO22" s="1334">
        <f t="shared" si="10"/>
        <v>6702.2189999999991</v>
      </c>
      <c r="AP22" s="1334">
        <f t="shared" si="11"/>
        <v>6702.2189999999991</v>
      </c>
      <c r="AQ22" s="1396">
        <f t="shared" si="12"/>
        <v>6702.2189999999991</v>
      </c>
      <c r="AR22" s="1417">
        <f t="shared" si="41"/>
        <v>0</v>
      </c>
      <c r="AS22" s="1333">
        <f t="shared" si="13"/>
        <v>19402119.645959996</v>
      </c>
      <c r="AT22" s="1334">
        <f t="shared" si="13"/>
        <v>2109733.236</v>
      </c>
      <c r="AU22" s="1334">
        <f t="shared" si="13"/>
        <v>0</v>
      </c>
      <c r="AV22" s="1334">
        <f t="shared" si="13"/>
        <v>0</v>
      </c>
      <c r="AW22" s="1334">
        <f t="shared" si="13"/>
        <v>0</v>
      </c>
      <c r="AX22" s="1334">
        <f t="shared" si="54"/>
        <v>21511852.881959997</v>
      </c>
      <c r="AY22" s="1334">
        <f t="shared" si="55"/>
        <v>21511852.881959997</v>
      </c>
      <c r="AZ22" s="1334">
        <f t="shared" si="14"/>
        <v>21998485.061519995</v>
      </c>
      <c r="BA22" s="1334">
        <f t="shared" si="14"/>
        <v>2310157.8934200001</v>
      </c>
      <c r="BB22" s="1334">
        <f t="shared" si="14"/>
        <v>0</v>
      </c>
      <c r="BC22" s="1334">
        <f t="shared" si="14"/>
        <v>0</v>
      </c>
      <c r="BD22" s="1334">
        <f t="shared" si="14"/>
        <v>0</v>
      </c>
      <c r="BE22" s="1334">
        <f t="shared" si="56"/>
        <v>24308642.954939995</v>
      </c>
      <c r="BF22" s="1396">
        <f t="shared" si="60"/>
        <v>24308642.954939995</v>
      </c>
      <c r="BG22" s="1397">
        <f t="shared" si="76"/>
        <v>294.40154308999985</v>
      </c>
      <c r="BH22" s="1398">
        <f t="shared" si="77"/>
        <v>367.12527917999995</v>
      </c>
      <c r="BI22" s="1399">
        <f t="shared" si="7"/>
        <v>661.5268222699998</v>
      </c>
      <c r="BJ22" s="1399"/>
      <c r="BK22" s="1641"/>
      <c r="BL22" s="1334">
        <f t="shared" si="61"/>
        <v>11909478.894887997</v>
      </c>
      <c r="BM22" s="1334">
        <f t="shared" si="61"/>
        <v>1056065.148</v>
      </c>
      <c r="BN22" s="1334">
        <f t="shared" si="17"/>
        <v>0</v>
      </c>
      <c r="BO22" s="1334">
        <f t="shared" si="17"/>
        <v>0</v>
      </c>
      <c r="BP22" s="1334">
        <f t="shared" si="17"/>
        <v>0</v>
      </c>
      <c r="BQ22" s="1334">
        <f t="shared" si="62"/>
        <v>12965544.042887997</v>
      </c>
      <c r="BR22" s="1334">
        <f t="shared" si="63"/>
        <v>12965544.042887997</v>
      </c>
      <c r="BS22" s="1334">
        <f t="shared" si="64"/>
        <v>8495295.8048640005</v>
      </c>
      <c r="BT22" s="1334">
        <f t="shared" si="64"/>
        <v>1153766.55636</v>
      </c>
      <c r="BU22" s="1334">
        <f t="shared" si="18"/>
        <v>0</v>
      </c>
      <c r="BV22" s="1334">
        <f t="shared" si="65"/>
        <v>0</v>
      </c>
      <c r="BW22" s="1334">
        <f t="shared" si="19"/>
        <v>0</v>
      </c>
      <c r="BX22" s="1334">
        <f t="shared" si="66"/>
        <v>9649062.3612240013</v>
      </c>
      <c r="BY22" s="1334">
        <f t="shared" si="67"/>
        <v>9649062.3612240013</v>
      </c>
      <c r="BZ22" s="1389">
        <f t="shared" si="68"/>
        <v>2209831.7043599999</v>
      </c>
      <c r="CA22" s="1389">
        <f t="shared" si="42"/>
        <v>0</v>
      </c>
      <c r="CB22" s="1389">
        <f t="shared" si="69"/>
        <v>2209831.7043599999</v>
      </c>
      <c r="CC22" s="1420">
        <f t="shared" si="70"/>
        <v>2601.8559408191641</v>
      </c>
      <c r="CD22" s="1420" t="e">
        <f t="shared" si="43"/>
        <v>#DIV/0!</v>
      </c>
      <c r="CE22" s="1420">
        <f t="shared" si="44"/>
        <v>2601.8559408191641</v>
      </c>
      <c r="CF22" s="1420">
        <f t="shared" si="20"/>
        <v>2601.8559408191641</v>
      </c>
      <c r="CG22" s="1421">
        <f t="shared" si="21"/>
        <v>3003663.8910839995</v>
      </c>
      <c r="CH22" s="1421">
        <f t="shared" si="45"/>
        <v>3536.5139905548958</v>
      </c>
      <c r="CI22" s="1389"/>
      <c r="CJ22" s="1756">
        <f t="shared" si="78"/>
        <v>13318.825894595997</v>
      </c>
      <c r="CK22" s="1756">
        <f t="shared" si="22"/>
        <v>10089.612696240001</v>
      </c>
      <c r="CL22" s="1756">
        <f t="shared" si="47"/>
        <v>23408.438590835998</v>
      </c>
      <c r="CM22" s="1334">
        <f t="shared" si="48"/>
        <v>25190.745862391996</v>
      </c>
      <c r="CN22" s="1334">
        <f t="shared" si="49"/>
        <v>1782.3072715559974</v>
      </c>
      <c r="CO22" s="1334">
        <f t="shared" si="23"/>
        <v>23408438.590835996</v>
      </c>
      <c r="CP22" s="1334">
        <f t="shared" si="24"/>
        <v>21511852.881959997</v>
      </c>
      <c r="CQ22" s="1334">
        <f t="shared" si="25"/>
        <v>21511852.881959997</v>
      </c>
      <c r="CR22" s="1334">
        <f t="shared" si="26"/>
        <v>12965544.042887997</v>
      </c>
      <c r="CS22" s="1334">
        <f t="shared" si="27"/>
        <v>24308642.954939995</v>
      </c>
      <c r="CT22" s="1334">
        <f t="shared" si="28"/>
        <v>24308642.954939995</v>
      </c>
      <c r="CU22" s="1334">
        <f t="shared" si="29"/>
        <v>9649062.3612240013</v>
      </c>
      <c r="CV22" s="1334">
        <f t="shared" si="50"/>
        <v>45820495.836899996</v>
      </c>
      <c r="CW22" s="1422">
        <f t="shared" si="51"/>
        <v>6836.6157293427741</v>
      </c>
      <c r="CX22" s="1334">
        <f t="shared" si="30"/>
        <v>2109733.236</v>
      </c>
      <c r="CY22" s="1334">
        <f t="shared" si="31"/>
        <v>2310157.8934200001</v>
      </c>
      <c r="CZ22" s="1334"/>
      <c r="DA22" s="1334">
        <f t="shared" si="32"/>
        <v>22217614.705115996</v>
      </c>
      <c r="DB22" s="1334">
        <f t="shared" si="33"/>
        <v>25190745.862391993</v>
      </c>
      <c r="DC22" s="1223"/>
      <c r="DD22" s="1224">
        <f t="shared" si="52"/>
        <v>151.3111111111111</v>
      </c>
      <c r="DE22" s="1223"/>
      <c r="DF22" s="1223"/>
      <c r="DG22" s="1223"/>
      <c r="DH22" s="1494"/>
      <c r="DI22" s="1494"/>
      <c r="DJ22" s="1494"/>
      <c r="DK22" s="1389"/>
      <c r="DL22" s="1419">
        <f t="shared" si="34"/>
        <v>0</v>
      </c>
      <c r="DM22" s="1419">
        <f t="shared" si="35"/>
        <v>0</v>
      </c>
      <c r="DN22" s="1419">
        <f t="shared" si="36"/>
        <v>0</v>
      </c>
      <c r="DO22" s="819"/>
      <c r="DP22" s="1315"/>
      <c r="DQ22" s="1315"/>
      <c r="DR22" s="1315"/>
      <c r="DS22" s="1315"/>
      <c r="DT22" s="1315"/>
      <c r="DU22" s="1315"/>
      <c r="DV22" s="1315"/>
      <c r="DW22" s="1315"/>
      <c r="DX22" s="1315"/>
      <c r="DY22" s="1315"/>
      <c r="DZ22" s="1315"/>
      <c r="EA22" s="1315"/>
      <c r="EB22" s="1315"/>
      <c r="EC22" s="1315"/>
      <c r="ED22" s="1315"/>
      <c r="EE22" s="1315"/>
      <c r="EF22" s="1315"/>
      <c r="EG22" s="1315"/>
      <c r="EH22" s="1315"/>
      <c r="EI22" s="1315"/>
      <c r="EJ22" s="1315"/>
      <c r="EK22" s="1315"/>
      <c r="EL22" s="1315"/>
    </row>
    <row r="23" spans="1:142" s="1313" customFormat="1" ht="69.75" hidden="1" customHeight="1">
      <c r="A23" s="6">
        <f t="shared" si="53"/>
        <v>10</v>
      </c>
      <c r="B23" s="1330" t="s">
        <v>11</v>
      </c>
      <c r="C23" s="1839" t="s">
        <v>76</v>
      </c>
      <c r="D23" s="1706" t="s">
        <v>141</v>
      </c>
      <c r="E23" s="1331">
        <v>4632024035</v>
      </c>
      <c r="F23" s="1330" t="s">
        <v>8</v>
      </c>
      <c r="G23" s="1682" t="s">
        <v>1034</v>
      </c>
      <c r="H23" s="1700">
        <v>3314.9639999999995</v>
      </c>
      <c r="I23" s="1701">
        <f t="shared" si="72"/>
        <v>3314.9639999999995</v>
      </c>
      <c r="J23" s="1335"/>
      <c r="K23" s="1335"/>
      <c r="L23" s="1700">
        <v>3314.9639999999995</v>
      </c>
      <c r="M23" s="1390"/>
      <c r="N23" s="1703">
        <f t="shared" si="73"/>
        <v>3758.5679999999998</v>
      </c>
      <c r="O23" s="1704">
        <f t="shared" si="74"/>
        <v>3758.5679999999998</v>
      </c>
      <c r="P23" s="1335"/>
      <c r="Q23" s="1335"/>
      <c r="R23" s="1704">
        <f t="shared" si="75"/>
        <v>3758.5679999999998</v>
      </c>
      <c r="S23" s="1390"/>
      <c r="T23" s="1751">
        <v>203.75800000000032</v>
      </c>
      <c r="U23" s="1719"/>
      <c r="V23" s="1334"/>
      <c r="W23" s="1334"/>
      <c r="X23" s="1334"/>
      <c r="Y23" s="1334"/>
      <c r="Z23" s="1393">
        <f t="shared" si="8"/>
        <v>203.75800000000032</v>
      </c>
      <c r="AA23" s="1752">
        <v>118.32</v>
      </c>
      <c r="AB23" s="1334"/>
      <c r="AC23" s="1334"/>
      <c r="AD23" s="1334"/>
      <c r="AE23" s="1334"/>
      <c r="AF23" s="1334"/>
      <c r="AG23" s="1395">
        <f t="shared" si="58"/>
        <v>118.32</v>
      </c>
      <c r="AH23" s="1391">
        <f t="shared" si="59"/>
        <v>322.07800000000032</v>
      </c>
      <c r="AI23" s="1334">
        <f t="shared" si="9"/>
        <v>322.07800000000032</v>
      </c>
      <c r="AJ23" s="1334">
        <f t="shared" si="9"/>
        <v>0</v>
      </c>
      <c r="AK23" s="1334">
        <f t="shared" si="9"/>
        <v>0</v>
      </c>
      <c r="AL23" s="1334">
        <f t="shared" si="9"/>
        <v>0</v>
      </c>
      <c r="AM23" s="1334">
        <f t="shared" si="9"/>
        <v>0</v>
      </c>
      <c r="AN23" s="1334"/>
      <c r="AO23" s="1334">
        <f t="shared" si="10"/>
        <v>322.07800000000032</v>
      </c>
      <c r="AP23" s="1334">
        <f t="shared" si="11"/>
        <v>322.07800000000032</v>
      </c>
      <c r="AQ23" s="1396">
        <f t="shared" si="12"/>
        <v>322.07800000000032</v>
      </c>
      <c r="AR23" s="1417">
        <f t="shared" si="41"/>
        <v>0</v>
      </c>
      <c r="AS23" s="1333">
        <f t="shared" si="13"/>
        <v>1067676.9751920009</v>
      </c>
      <c r="AT23" s="1334">
        <f t="shared" si="13"/>
        <v>0</v>
      </c>
      <c r="AU23" s="1334">
        <f t="shared" si="13"/>
        <v>0</v>
      </c>
      <c r="AV23" s="1334">
        <f t="shared" si="13"/>
        <v>0</v>
      </c>
      <c r="AW23" s="1334">
        <f t="shared" si="13"/>
        <v>0</v>
      </c>
      <c r="AX23" s="1334">
        <f t="shared" si="54"/>
        <v>1067676.9751920009</v>
      </c>
      <c r="AY23" s="1334">
        <f t="shared" si="55"/>
        <v>1067676.9751920009</v>
      </c>
      <c r="AZ23" s="1334">
        <f t="shared" si="14"/>
        <v>1210552.0643040012</v>
      </c>
      <c r="BA23" s="1334">
        <f t="shared" si="14"/>
        <v>0</v>
      </c>
      <c r="BB23" s="1334">
        <f t="shared" si="14"/>
        <v>0</v>
      </c>
      <c r="BC23" s="1334">
        <f t="shared" si="14"/>
        <v>0</v>
      </c>
      <c r="BD23" s="1334">
        <f t="shared" si="14"/>
        <v>0</v>
      </c>
      <c r="BE23" s="1334">
        <f t="shared" si="56"/>
        <v>1210552.0643040012</v>
      </c>
      <c r="BF23" s="1396">
        <f t="shared" si="60"/>
        <v>1210552.0643040012</v>
      </c>
      <c r="BG23" s="1397">
        <f t="shared" si="76"/>
        <v>0</v>
      </c>
      <c r="BH23" s="1398">
        <f t="shared" si="77"/>
        <v>0</v>
      </c>
      <c r="BI23" s="1399">
        <f t="shared" si="7"/>
        <v>0</v>
      </c>
      <c r="BJ23" s="1334"/>
      <c r="BK23" s="1643"/>
      <c r="BL23" s="1334">
        <f t="shared" si="61"/>
        <v>675450.43471200101</v>
      </c>
      <c r="BM23" s="1334">
        <f t="shared" si="61"/>
        <v>0</v>
      </c>
      <c r="BN23" s="1334">
        <f t="shared" si="17"/>
        <v>0</v>
      </c>
      <c r="BO23" s="1334">
        <f t="shared" si="17"/>
        <v>0</v>
      </c>
      <c r="BP23" s="1334">
        <f t="shared" si="17"/>
        <v>0</v>
      </c>
      <c r="BQ23" s="1334">
        <f t="shared" si="62"/>
        <v>675450.43471200101</v>
      </c>
      <c r="BR23" s="1334">
        <f t="shared" si="63"/>
        <v>675450.43471200101</v>
      </c>
      <c r="BS23" s="1334">
        <f t="shared" si="64"/>
        <v>444713.76575999992</v>
      </c>
      <c r="BT23" s="1334">
        <f t="shared" si="64"/>
        <v>0</v>
      </c>
      <c r="BU23" s="1334">
        <f t="shared" si="18"/>
        <v>0</v>
      </c>
      <c r="BV23" s="1334">
        <f t="shared" si="65"/>
        <v>0</v>
      </c>
      <c r="BW23" s="1334">
        <f t="shared" si="19"/>
        <v>0</v>
      </c>
      <c r="BX23" s="1334">
        <f t="shared" si="66"/>
        <v>444713.76575999992</v>
      </c>
      <c r="BY23" s="1334">
        <f t="shared" si="67"/>
        <v>444713.76575999992</v>
      </c>
      <c r="BZ23" s="1389">
        <f t="shared" si="68"/>
        <v>0</v>
      </c>
      <c r="CA23" s="1389">
        <f t="shared" si="42"/>
        <v>0</v>
      </c>
      <c r="CB23" s="1389">
        <f t="shared" si="69"/>
        <v>0</v>
      </c>
      <c r="CC23" s="1420" t="e">
        <f t="shared" si="70"/>
        <v>#DIV/0!</v>
      </c>
      <c r="CD23" s="1420" t="e">
        <f t="shared" si="43"/>
        <v>#DIV/0!</v>
      </c>
      <c r="CE23" s="1420" t="e">
        <f t="shared" si="44"/>
        <v>#DIV/0!</v>
      </c>
      <c r="CF23" s="1389" t="e">
        <f t="shared" si="20"/>
        <v>#DIV/0!</v>
      </c>
      <c r="CG23" s="1421">
        <f t="shared" si="21"/>
        <v>0</v>
      </c>
      <c r="CH23" s="1421" t="e">
        <f t="shared" si="45"/>
        <v>#DIV/0!</v>
      </c>
      <c r="CI23" s="1389"/>
      <c r="CJ23" s="1756">
        <f t="shared" si="78"/>
        <v>675.45043471200097</v>
      </c>
      <c r="CK23" s="1756">
        <f t="shared" si="22"/>
        <v>444.71376575999994</v>
      </c>
      <c r="CL23" s="1756">
        <f t="shared" si="47"/>
        <v>1120.1642004720009</v>
      </c>
      <c r="CM23" s="1334">
        <f t="shared" si="48"/>
        <v>1210.5520643040011</v>
      </c>
      <c r="CN23" s="1334">
        <f t="shared" si="49"/>
        <v>90.387863832000221</v>
      </c>
      <c r="CO23" s="1334">
        <f t="shared" si="23"/>
        <v>1120164.200472001</v>
      </c>
      <c r="CP23" s="1334">
        <f t="shared" si="24"/>
        <v>1067676.9751920009</v>
      </c>
      <c r="CQ23" s="1334">
        <f t="shared" si="25"/>
        <v>1067676.9751920009</v>
      </c>
      <c r="CR23" s="1334">
        <f t="shared" si="26"/>
        <v>675450.43471200101</v>
      </c>
      <c r="CS23" s="1334">
        <f t="shared" si="27"/>
        <v>1210552.0643040012</v>
      </c>
      <c r="CT23" s="1334">
        <f t="shared" si="28"/>
        <v>1210552.0643040012</v>
      </c>
      <c r="CU23" s="1334">
        <f t="shared" si="29"/>
        <v>444713.76575999992</v>
      </c>
      <c r="CV23" s="1334">
        <f t="shared" si="50"/>
        <v>2278229.0394960018</v>
      </c>
      <c r="CW23" s="1422">
        <f t="shared" si="51"/>
        <v>7073.5319999999983</v>
      </c>
      <c r="CX23" s="1334">
        <f t="shared" si="30"/>
        <v>0</v>
      </c>
      <c r="CY23" s="1334">
        <f t="shared" si="31"/>
        <v>0</v>
      </c>
      <c r="CZ23" s="1334"/>
      <c r="DA23" s="1334">
        <f t="shared" si="32"/>
        <v>1067676.9751920009</v>
      </c>
      <c r="DB23" s="1334">
        <f t="shared" si="33"/>
        <v>1210552.0643040012</v>
      </c>
      <c r="DC23" s="1223"/>
      <c r="DD23" s="1224" t="e">
        <f t="shared" si="52"/>
        <v>#DIV/0!</v>
      </c>
      <c r="DE23" s="1223"/>
      <c r="DF23" s="1223"/>
      <c r="DG23" s="1223"/>
      <c r="DH23" s="1494"/>
      <c r="DI23" s="1494"/>
      <c r="DJ23" s="1494"/>
      <c r="DK23" s="1389"/>
      <c r="DL23" s="1419">
        <f t="shared" si="34"/>
        <v>0</v>
      </c>
      <c r="DM23" s="1419">
        <f t="shared" si="35"/>
        <v>0</v>
      </c>
      <c r="DN23" s="1419">
        <f t="shared" si="36"/>
        <v>0</v>
      </c>
      <c r="DO23" s="819"/>
      <c r="DP23" s="1315"/>
      <c r="DQ23" s="1315"/>
      <c r="DR23" s="1315"/>
      <c r="DS23" s="1315"/>
      <c r="DT23" s="1315"/>
      <c r="DU23" s="1315"/>
      <c r="DV23" s="1315"/>
      <c r="DW23" s="1315"/>
      <c r="DX23" s="1315"/>
      <c r="DY23" s="1315"/>
      <c r="DZ23" s="1315"/>
      <c r="EA23" s="1315"/>
      <c r="EB23" s="1315"/>
      <c r="EC23" s="1315"/>
      <c r="ED23" s="1315"/>
      <c r="EE23" s="1315"/>
      <c r="EF23" s="1315"/>
      <c r="EG23" s="1315"/>
      <c r="EH23" s="1315"/>
      <c r="EI23" s="1315"/>
      <c r="EJ23" s="1315"/>
      <c r="EK23" s="1315"/>
      <c r="EL23" s="1315"/>
    </row>
    <row r="24" spans="1:142" s="1313" customFormat="1" ht="77.25" hidden="1" customHeight="1">
      <c r="A24" s="6">
        <f t="shared" si="53"/>
        <v>11</v>
      </c>
      <c r="B24" s="1330" t="s">
        <v>11</v>
      </c>
      <c r="C24" s="1839" t="s">
        <v>77</v>
      </c>
      <c r="D24" s="1706" t="s">
        <v>141</v>
      </c>
      <c r="E24" s="1331">
        <v>4632024035</v>
      </c>
      <c r="F24" s="1330" t="s">
        <v>8</v>
      </c>
      <c r="G24" s="1682" t="s">
        <v>1034</v>
      </c>
      <c r="H24" s="1700">
        <v>3314.9639999999995</v>
      </c>
      <c r="I24" s="1701">
        <f t="shared" si="72"/>
        <v>3314.9639999999995</v>
      </c>
      <c r="J24" s="1335"/>
      <c r="K24" s="1335"/>
      <c r="L24" s="1700">
        <v>3314.9639999999995</v>
      </c>
      <c r="M24" s="1390"/>
      <c r="N24" s="1703">
        <f t="shared" si="73"/>
        <v>3758.5679999999998</v>
      </c>
      <c r="O24" s="1704">
        <f t="shared" si="74"/>
        <v>3758.5679999999998</v>
      </c>
      <c r="P24" s="1335"/>
      <c r="Q24" s="1335"/>
      <c r="R24" s="1704">
        <f t="shared" si="75"/>
        <v>3758.5679999999998</v>
      </c>
      <c r="S24" s="1390"/>
      <c r="T24" s="1751">
        <v>239.71700000000035</v>
      </c>
      <c r="U24" s="1719"/>
      <c r="V24" s="1334"/>
      <c r="W24" s="1334"/>
      <c r="X24" s="1334"/>
      <c r="Y24" s="1334"/>
      <c r="Z24" s="1393">
        <f t="shared" si="8"/>
        <v>239.71700000000035</v>
      </c>
      <c r="AA24" s="1752">
        <v>139.19999999999999</v>
      </c>
      <c r="AB24" s="1334"/>
      <c r="AC24" s="1334"/>
      <c r="AD24" s="1334"/>
      <c r="AE24" s="1334"/>
      <c r="AF24" s="1334"/>
      <c r="AG24" s="1395">
        <f t="shared" si="58"/>
        <v>139.19999999999999</v>
      </c>
      <c r="AH24" s="1391">
        <f t="shared" si="59"/>
        <v>378.91700000000037</v>
      </c>
      <c r="AI24" s="1334">
        <f t="shared" si="9"/>
        <v>378.91700000000037</v>
      </c>
      <c r="AJ24" s="1334">
        <f t="shared" si="9"/>
        <v>0</v>
      </c>
      <c r="AK24" s="1334">
        <f t="shared" si="9"/>
        <v>0</v>
      </c>
      <c r="AL24" s="1334">
        <f t="shared" si="9"/>
        <v>0</v>
      </c>
      <c r="AM24" s="1334">
        <f t="shared" si="9"/>
        <v>0</v>
      </c>
      <c r="AN24" s="1334"/>
      <c r="AO24" s="1334">
        <f t="shared" si="10"/>
        <v>378.91700000000037</v>
      </c>
      <c r="AP24" s="1334">
        <f t="shared" si="11"/>
        <v>378.91700000000037</v>
      </c>
      <c r="AQ24" s="1396">
        <f t="shared" si="12"/>
        <v>378.91700000000037</v>
      </c>
      <c r="AR24" s="1417">
        <f t="shared" si="41"/>
        <v>0</v>
      </c>
      <c r="AS24" s="1333">
        <f t="shared" si="13"/>
        <v>1256096.213988001</v>
      </c>
      <c r="AT24" s="1334">
        <f t="shared" si="13"/>
        <v>0</v>
      </c>
      <c r="AU24" s="1334">
        <f t="shared" si="13"/>
        <v>0</v>
      </c>
      <c r="AV24" s="1334">
        <f t="shared" si="13"/>
        <v>0</v>
      </c>
      <c r="AW24" s="1334">
        <f t="shared" si="13"/>
        <v>0</v>
      </c>
      <c r="AX24" s="1334">
        <f t="shared" si="54"/>
        <v>1256096.213988001</v>
      </c>
      <c r="AY24" s="1334">
        <f t="shared" si="55"/>
        <v>1256096.213988001</v>
      </c>
      <c r="AZ24" s="1334">
        <f t="shared" si="14"/>
        <v>1424185.3108560012</v>
      </c>
      <c r="BA24" s="1334">
        <f t="shared" si="14"/>
        <v>0</v>
      </c>
      <c r="BB24" s="1334">
        <f t="shared" si="14"/>
        <v>0</v>
      </c>
      <c r="BC24" s="1334">
        <f t="shared" si="14"/>
        <v>0</v>
      </c>
      <c r="BD24" s="1334">
        <f t="shared" si="14"/>
        <v>0</v>
      </c>
      <c r="BE24" s="1334">
        <f t="shared" si="56"/>
        <v>1424185.3108560012</v>
      </c>
      <c r="BF24" s="1396">
        <f t="shared" si="60"/>
        <v>1424185.3108560012</v>
      </c>
      <c r="BG24" s="1397">
        <f t="shared" si="76"/>
        <v>0</v>
      </c>
      <c r="BH24" s="1398">
        <f t="shared" si="77"/>
        <v>0</v>
      </c>
      <c r="BI24" s="1399">
        <f t="shared" si="7"/>
        <v>0</v>
      </c>
      <c r="BJ24" s="1334"/>
      <c r="BK24" s="1643"/>
      <c r="BL24" s="1334">
        <f t="shared" si="61"/>
        <v>794653.22518800106</v>
      </c>
      <c r="BM24" s="1334">
        <f t="shared" si="61"/>
        <v>0</v>
      </c>
      <c r="BN24" s="1334">
        <f t="shared" si="17"/>
        <v>0</v>
      </c>
      <c r="BO24" s="1334">
        <f t="shared" si="17"/>
        <v>0</v>
      </c>
      <c r="BP24" s="1334">
        <f t="shared" si="17"/>
        <v>0</v>
      </c>
      <c r="BQ24" s="1334">
        <f t="shared" si="62"/>
        <v>794653.22518800106</v>
      </c>
      <c r="BR24" s="1334">
        <f t="shared" si="63"/>
        <v>794653.22518800106</v>
      </c>
      <c r="BS24" s="1334">
        <f t="shared" si="64"/>
        <v>523192.66559999995</v>
      </c>
      <c r="BT24" s="1334">
        <f t="shared" si="64"/>
        <v>0</v>
      </c>
      <c r="BU24" s="1334">
        <f t="shared" si="18"/>
        <v>0</v>
      </c>
      <c r="BV24" s="1334">
        <f t="shared" si="65"/>
        <v>0</v>
      </c>
      <c r="BW24" s="1334">
        <f t="shared" si="19"/>
        <v>0</v>
      </c>
      <c r="BX24" s="1334">
        <f t="shared" si="66"/>
        <v>523192.66559999995</v>
      </c>
      <c r="BY24" s="1334">
        <f t="shared" si="67"/>
        <v>523192.66559999995</v>
      </c>
      <c r="BZ24" s="1389">
        <f t="shared" si="68"/>
        <v>0</v>
      </c>
      <c r="CA24" s="1389">
        <f t="shared" si="42"/>
        <v>0</v>
      </c>
      <c r="CB24" s="1389">
        <f t="shared" si="69"/>
        <v>0</v>
      </c>
      <c r="CC24" s="1420" t="e">
        <f t="shared" si="70"/>
        <v>#DIV/0!</v>
      </c>
      <c r="CD24" s="1420" t="e">
        <f t="shared" si="43"/>
        <v>#DIV/0!</v>
      </c>
      <c r="CE24" s="1420" t="e">
        <f t="shared" si="44"/>
        <v>#DIV/0!</v>
      </c>
      <c r="CF24" s="1389" t="e">
        <f t="shared" si="20"/>
        <v>#DIV/0!</v>
      </c>
      <c r="CG24" s="1421">
        <f t="shared" si="21"/>
        <v>0</v>
      </c>
      <c r="CH24" s="1421" t="e">
        <f t="shared" si="45"/>
        <v>#DIV/0!</v>
      </c>
      <c r="CI24" s="1389"/>
      <c r="CJ24" s="1756">
        <f t="shared" si="78"/>
        <v>794.6532251880011</v>
      </c>
      <c r="CK24" s="1756">
        <f t="shared" si="22"/>
        <v>523.19266559999994</v>
      </c>
      <c r="CL24" s="1756">
        <f t="shared" si="47"/>
        <v>1317.845890788001</v>
      </c>
      <c r="CM24" s="1334">
        <f t="shared" si="48"/>
        <v>1424.1853108560013</v>
      </c>
      <c r="CN24" s="1334">
        <f t="shared" si="49"/>
        <v>106.33942006800021</v>
      </c>
      <c r="CO24" s="1334">
        <f t="shared" si="23"/>
        <v>1317845.890788001</v>
      </c>
      <c r="CP24" s="1334">
        <f t="shared" si="24"/>
        <v>1256096.213988001</v>
      </c>
      <c r="CQ24" s="1334">
        <f t="shared" si="25"/>
        <v>1256096.213988001</v>
      </c>
      <c r="CR24" s="1334">
        <f t="shared" si="26"/>
        <v>794653.22518800106</v>
      </c>
      <c r="CS24" s="1334">
        <f t="shared" si="27"/>
        <v>1424185.3108560012</v>
      </c>
      <c r="CT24" s="1334">
        <f t="shared" si="28"/>
        <v>1424185.3108560012</v>
      </c>
      <c r="CU24" s="1334">
        <f t="shared" si="29"/>
        <v>523192.66559999995</v>
      </c>
      <c r="CV24" s="1334">
        <f t="shared" si="50"/>
        <v>2680281.524844002</v>
      </c>
      <c r="CW24" s="1422">
        <f t="shared" si="51"/>
        <v>7073.5319999999983</v>
      </c>
      <c r="CX24" s="1334">
        <f t="shared" si="30"/>
        <v>0</v>
      </c>
      <c r="CY24" s="1334">
        <f t="shared" si="31"/>
        <v>0</v>
      </c>
      <c r="CZ24" s="1334"/>
      <c r="DA24" s="1334">
        <f t="shared" si="32"/>
        <v>1256096.213988001</v>
      </c>
      <c r="DB24" s="1334">
        <f t="shared" si="33"/>
        <v>1424185.3108560012</v>
      </c>
      <c r="DC24" s="1223"/>
      <c r="DD24" s="1224" t="e">
        <f t="shared" si="52"/>
        <v>#DIV/0!</v>
      </c>
      <c r="DE24" s="1223"/>
      <c r="DF24" s="1223"/>
      <c r="DG24" s="1223"/>
      <c r="DH24" s="1494"/>
      <c r="DI24" s="1494"/>
      <c r="DJ24" s="1494"/>
      <c r="DK24" s="1389"/>
      <c r="DL24" s="1419">
        <f t="shared" si="34"/>
        <v>0</v>
      </c>
      <c r="DM24" s="1419">
        <f t="shared" si="35"/>
        <v>0</v>
      </c>
      <c r="DN24" s="1419">
        <f t="shared" si="36"/>
        <v>0</v>
      </c>
      <c r="DO24" s="819"/>
      <c r="DP24" s="1315"/>
      <c r="DQ24" s="1315"/>
      <c r="DR24" s="1315"/>
      <c r="DS24" s="1315"/>
      <c r="DT24" s="1315"/>
      <c r="DU24" s="1315"/>
      <c r="DV24" s="1315"/>
      <c r="DW24" s="1315"/>
      <c r="DX24" s="1315"/>
      <c r="DY24" s="1315"/>
      <c r="DZ24" s="1315"/>
      <c r="EA24" s="1315"/>
      <c r="EB24" s="1315"/>
      <c r="EC24" s="1315"/>
      <c r="ED24" s="1315"/>
      <c r="EE24" s="1315"/>
      <c r="EF24" s="1315"/>
      <c r="EG24" s="1315"/>
      <c r="EH24" s="1315"/>
      <c r="EI24" s="1315"/>
      <c r="EJ24" s="1315"/>
      <c r="EK24" s="1315"/>
      <c r="EL24" s="1315"/>
    </row>
    <row r="25" spans="1:142" s="1313" customFormat="1" ht="83.25" hidden="1" customHeight="1">
      <c r="A25" s="6">
        <f t="shared" si="53"/>
        <v>12</v>
      </c>
      <c r="B25" s="1330" t="s">
        <v>11</v>
      </c>
      <c r="C25" s="1839" t="s">
        <v>78</v>
      </c>
      <c r="D25" s="1706" t="s">
        <v>141</v>
      </c>
      <c r="E25" s="1331">
        <v>4632024035</v>
      </c>
      <c r="F25" s="1330" t="s">
        <v>8</v>
      </c>
      <c r="G25" s="1682" t="s">
        <v>1034</v>
      </c>
      <c r="H25" s="1700">
        <v>3314.9639999999995</v>
      </c>
      <c r="I25" s="1701">
        <f t="shared" si="72"/>
        <v>3314.9639999999995</v>
      </c>
      <c r="J25" s="1335"/>
      <c r="K25" s="1335"/>
      <c r="L25" s="1700">
        <v>3314.9639999999995</v>
      </c>
      <c r="M25" s="1390"/>
      <c r="N25" s="1703">
        <f t="shared" si="73"/>
        <v>3758.5679999999998</v>
      </c>
      <c r="O25" s="1704">
        <f t="shared" si="74"/>
        <v>3758.5679999999998</v>
      </c>
      <c r="P25" s="1335"/>
      <c r="Q25" s="1335"/>
      <c r="R25" s="1704">
        <f t="shared" si="75"/>
        <v>3758.5679999999998</v>
      </c>
      <c r="S25" s="1390"/>
      <c r="T25" s="1751">
        <v>155.8150000000002</v>
      </c>
      <c r="U25" s="1719"/>
      <c r="V25" s="1334"/>
      <c r="W25" s="1334"/>
      <c r="X25" s="1334"/>
      <c r="Y25" s="1334"/>
      <c r="Z25" s="1393">
        <f t="shared" si="8"/>
        <v>155.8150000000002</v>
      </c>
      <c r="AA25" s="1752">
        <v>90.48</v>
      </c>
      <c r="AB25" s="1334"/>
      <c r="AC25" s="1334"/>
      <c r="AD25" s="1334"/>
      <c r="AE25" s="1334"/>
      <c r="AF25" s="1334"/>
      <c r="AG25" s="1395">
        <f t="shared" si="58"/>
        <v>90.48</v>
      </c>
      <c r="AH25" s="1391">
        <f t="shared" si="59"/>
        <v>246.29500000000019</v>
      </c>
      <c r="AI25" s="1334">
        <f t="shared" si="9"/>
        <v>246.29500000000019</v>
      </c>
      <c r="AJ25" s="1334">
        <f t="shared" si="9"/>
        <v>0</v>
      </c>
      <c r="AK25" s="1334">
        <f t="shared" si="9"/>
        <v>0</v>
      </c>
      <c r="AL25" s="1334">
        <f t="shared" si="9"/>
        <v>0</v>
      </c>
      <c r="AM25" s="1334">
        <f t="shared" si="9"/>
        <v>0</v>
      </c>
      <c r="AN25" s="1334"/>
      <c r="AO25" s="1334">
        <f t="shared" si="10"/>
        <v>246.29500000000019</v>
      </c>
      <c r="AP25" s="1334">
        <f t="shared" si="11"/>
        <v>246.29500000000019</v>
      </c>
      <c r="AQ25" s="1396">
        <f t="shared" si="12"/>
        <v>246.29500000000019</v>
      </c>
      <c r="AR25" s="1417">
        <f t="shared" si="41"/>
        <v>0</v>
      </c>
      <c r="AS25" s="1333">
        <f t="shared" si="13"/>
        <v>816459.05838000053</v>
      </c>
      <c r="AT25" s="1334">
        <f t="shared" si="13"/>
        <v>0</v>
      </c>
      <c r="AU25" s="1334">
        <f t="shared" si="13"/>
        <v>0</v>
      </c>
      <c r="AV25" s="1334">
        <f t="shared" si="13"/>
        <v>0</v>
      </c>
      <c r="AW25" s="1334">
        <f t="shared" si="13"/>
        <v>0</v>
      </c>
      <c r="AX25" s="1334">
        <f t="shared" si="54"/>
        <v>816459.05838000053</v>
      </c>
      <c r="AY25" s="1334">
        <f t="shared" si="55"/>
        <v>816459.05838000053</v>
      </c>
      <c r="AZ25" s="1334">
        <f t="shared" si="14"/>
        <v>925716.50556000066</v>
      </c>
      <c r="BA25" s="1334">
        <f t="shared" si="14"/>
        <v>0</v>
      </c>
      <c r="BB25" s="1334">
        <f t="shared" si="14"/>
        <v>0</v>
      </c>
      <c r="BC25" s="1334">
        <f t="shared" si="14"/>
        <v>0</v>
      </c>
      <c r="BD25" s="1334">
        <f t="shared" si="14"/>
        <v>0</v>
      </c>
      <c r="BE25" s="1334">
        <f t="shared" si="56"/>
        <v>925716.50556000066</v>
      </c>
      <c r="BF25" s="1396">
        <f t="shared" si="60"/>
        <v>925716.50556000066</v>
      </c>
      <c r="BG25" s="1397">
        <f t="shared" si="76"/>
        <v>0</v>
      </c>
      <c r="BH25" s="1398">
        <f t="shared" si="77"/>
        <v>0</v>
      </c>
      <c r="BI25" s="1399">
        <f t="shared" si="7"/>
        <v>0</v>
      </c>
      <c r="BJ25" s="1334"/>
      <c r="BK25" s="1643"/>
      <c r="BL25" s="1334">
        <f t="shared" si="61"/>
        <v>516521.11566000059</v>
      </c>
      <c r="BM25" s="1334">
        <f t="shared" si="61"/>
        <v>0</v>
      </c>
      <c r="BN25" s="1334">
        <f t="shared" si="17"/>
        <v>0</v>
      </c>
      <c r="BO25" s="1334">
        <f t="shared" si="17"/>
        <v>0</v>
      </c>
      <c r="BP25" s="1334">
        <f t="shared" si="17"/>
        <v>0</v>
      </c>
      <c r="BQ25" s="1334">
        <f t="shared" si="62"/>
        <v>516521.11566000059</v>
      </c>
      <c r="BR25" s="1334">
        <f t="shared" si="63"/>
        <v>516521.11566000059</v>
      </c>
      <c r="BS25" s="1334">
        <f t="shared" si="64"/>
        <v>340075.23264</v>
      </c>
      <c r="BT25" s="1334">
        <f t="shared" si="64"/>
        <v>0</v>
      </c>
      <c r="BU25" s="1334">
        <f t="shared" si="18"/>
        <v>0</v>
      </c>
      <c r="BV25" s="1334">
        <f t="shared" si="65"/>
        <v>0</v>
      </c>
      <c r="BW25" s="1334">
        <f t="shared" si="19"/>
        <v>0</v>
      </c>
      <c r="BX25" s="1334">
        <f t="shared" si="66"/>
        <v>340075.23264</v>
      </c>
      <c r="BY25" s="1334">
        <f t="shared" si="67"/>
        <v>340075.23264</v>
      </c>
      <c r="BZ25" s="1389">
        <f t="shared" si="68"/>
        <v>0</v>
      </c>
      <c r="CA25" s="1389">
        <f t="shared" si="42"/>
        <v>0</v>
      </c>
      <c r="CB25" s="1389">
        <f t="shared" si="69"/>
        <v>0</v>
      </c>
      <c r="CC25" s="1420" t="e">
        <f t="shared" si="70"/>
        <v>#DIV/0!</v>
      </c>
      <c r="CD25" s="1420" t="e">
        <f t="shared" si="43"/>
        <v>#DIV/0!</v>
      </c>
      <c r="CE25" s="1420" t="e">
        <f t="shared" si="44"/>
        <v>#DIV/0!</v>
      </c>
      <c r="CF25" s="1389" t="e">
        <f t="shared" si="20"/>
        <v>#DIV/0!</v>
      </c>
      <c r="CG25" s="1421">
        <f t="shared" si="21"/>
        <v>0</v>
      </c>
      <c r="CH25" s="1421" t="e">
        <f t="shared" si="45"/>
        <v>#DIV/0!</v>
      </c>
      <c r="CI25" s="1389"/>
      <c r="CJ25" s="1756">
        <f t="shared" si="78"/>
        <v>516.52111566000065</v>
      </c>
      <c r="CK25" s="1756">
        <f t="shared" si="22"/>
        <v>340.07523264000002</v>
      </c>
      <c r="CL25" s="1756">
        <f t="shared" si="47"/>
        <v>856.59634830000073</v>
      </c>
      <c r="CM25" s="1334">
        <f t="shared" si="48"/>
        <v>925.71650556000066</v>
      </c>
      <c r="CN25" s="1334">
        <f t="shared" si="49"/>
        <v>69.120157259999928</v>
      </c>
      <c r="CO25" s="1334">
        <f t="shared" si="23"/>
        <v>856596.34830000065</v>
      </c>
      <c r="CP25" s="1334">
        <f t="shared" si="24"/>
        <v>816459.05838000053</v>
      </c>
      <c r="CQ25" s="1334">
        <f t="shared" si="25"/>
        <v>816459.05838000053</v>
      </c>
      <c r="CR25" s="1334">
        <f t="shared" si="26"/>
        <v>516521.11566000059</v>
      </c>
      <c r="CS25" s="1334">
        <f t="shared" si="27"/>
        <v>925716.50556000066</v>
      </c>
      <c r="CT25" s="1334">
        <f t="shared" si="28"/>
        <v>925716.50556000066</v>
      </c>
      <c r="CU25" s="1334">
        <f t="shared" si="29"/>
        <v>340075.23264</v>
      </c>
      <c r="CV25" s="1334">
        <f t="shared" si="50"/>
        <v>1742175.5639400012</v>
      </c>
      <c r="CW25" s="1422">
        <f t="shared" si="51"/>
        <v>7073.5319999999992</v>
      </c>
      <c r="CX25" s="1334">
        <f t="shared" si="30"/>
        <v>0</v>
      </c>
      <c r="CY25" s="1334">
        <f t="shared" si="31"/>
        <v>0</v>
      </c>
      <c r="CZ25" s="1334"/>
      <c r="DA25" s="1334">
        <f t="shared" si="32"/>
        <v>816459.05838000053</v>
      </c>
      <c r="DB25" s="1334">
        <f t="shared" si="33"/>
        <v>925716.50556000066</v>
      </c>
      <c r="DC25" s="1223"/>
      <c r="DD25" s="1224" t="e">
        <f t="shared" si="52"/>
        <v>#DIV/0!</v>
      </c>
      <c r="DE25" s="1223"/>
      <c r="DF25" s="1223"/>
      <c r="DG25" s="1223"/>
      <c r="DH25" s="1494"/>
      <c r="DI25" s="1494"/>
      <c r="DJ25" s="1494"/>
      <c r="DK25" s="1389"/>
      <c r="DL25" s="1419">
        <f t="shared" si="34"/>
        <v>0</v>
      </c>
      <c r="DM25" s="1419">
        <f t="shared" si="35"/>
        <v>0</v>
      </c>
      <c r="DN25" s="1419">
        <f t="shared" si="36"/>
        <v>0</v>
      </c>
      <c r="DO25" s="819"/>
      <c r="DP25" s="1315"/>
      <c r="DQ25" s="1315"/>
      <c r="DR25" s="1315"/>
      <c r="DS25" s="1315"/>
      <c r="DT25" s="1315"/>
      <c r="DU25" s="1315"/>
      <c r="DV25" s="1315"/>
      <c r="DW25" s="1315"/>
      <c r="DX25" s="1315"/>
      <c r="DY25" s="1315"/>
      <c r="DZ25" s="1315"/>
      <c r="EA25" s="1315"/>
      <c r="EB25" s="1315"/>
      <c r="EC25" s="1315"/>
      <c r="ED25" s="1315"/>
      <c r="EE25" s="1315"/>
      <c r="EF25" s="1315"/>
      <c r="EG25" s="1315"/>
      <c r="EH25" s="1315"/>
      <c r="EI25" s="1315"/>
      <c r="EJ25" s="1315"/>
      <c r="EK25" s="1315"/>
      <c r="EL25" s="1315"/>
    </row>
    <row r="26" spans="1:142" s="1313" customFormat="1" ht="79.5" hidden="1" customHeight="1">
      <c r="A26" s="6">
        <f t="shared" si="53"/>
        <v>13</v>
      </c>
      <c r="B26" s="1330" t="s">
        <v>11</v>
      </c>
      <c r="C26" s="1839" t="s">
        <v>79</v>
      </c>
      <c r="D26" s="1706" t="s">
        <v>141</v>
      </c>
      <c r="E26" s="1331">
        <v>4632024035</v>
      </c>
      <c r="F26" s="1330" t="s">
        <v>8</v>
      </c>
      <c r="G26" s="1682" t="s">
        <v>1034</v>
      </c>
      <c r="H26" s="1700">
        <v>3314.9639999999995</v>
      </c>
      <c r="I26" s="1701">
        <f t="shared" si="72"/>
        <v>3314.9639999999995</v>
      </c>
      <c r="J26" s="1335"/>
      <c r="K26" s="1335"/>
      <c r="L26" s="1700">
        <v>3314.9639999999995</v>
      </c>
      <c r="M26" s="1390"/>
      <c r="N26" s="1703">
        <f t="shared" si="73"/>
        <v>3758.5679999999998</v>
      </c>
      <c r="O26" s="1704">
        <f t="shared" si="74"/>
        <v>3758.5679999999998</v>
      </c>
      <c r="P26" s="1335"/>
      <c r="Q26" s="1335"/>
      <c r="R26" s="1704">
        <f t="shared" si="75"/>
        <v>3758.5679999999998</v>
      </c>
      <c r="S26" s="1390"/>
      <c r="T26" s="1751">
        <v>179.78700000000026</v>
      </c>
      <c r="U26" s="1719"/>
      <c r="V26" s="1334"/>
      <c r="W26" s="1334"/>
      <c r="X26" s="1334"/>
      <c r="Y26" s="1334"/>
      <c r="Z26" s="1393">
        <f t="shared" si="8"/>
        <v>179.78700000000026</v>
      </c>
      <c r="AA26" s="1752">
        <v>104.4</v>
      </c>
      <c r="AB26" s="1334"/>
      <c r="AC26" s="1334"/>
      <c r="AD26" s="1334"/>
      <c r="AE26" s="1334"/>
      <c r="AF26" s="1334"/>
      <c r="AG26" s="1395">
        <f t="shared" si="58"/>
        <v>104.4</v>
      </c>
      <c r="AH26" s="1391">
        <f t="shared" si="59"/>
        <v>284.18700000000024</v>
      </c>
      <c r="AI26" s="1334">
        <f t="shared" si="9"/>
        <v>284.18700000000024</v>
      </c>
      <c r="AJ26" s="1334">
        <f t="shared" si="9"/>
        <v>0</v>
      </c>
      <c r="AK26" s="1334">
        <f t="shared" si="9"/>
        <v>0</v>
      </c>
      <c r="AL26" s="1334">
        <f t="shared" si="9"/>
        <v>0</v>
      </c>
      <c r="AM26" s="1334">
        <f t="shared" si="9"/>
        <v>0</v>
      </c>
      <c r="AN26" s="1334"/>
      <c r="AO26" s="1334">
        <f t="shared" si="10"/>
        <v>284.18700000000024</v>
      </c>
      <c r="AP26" s="1334">
        <f t="shared" si="11"/>
        <v>284.18700000000024</v>
      </c>
      <c r="AQ26" s="1396">
        <f t="shared" si="12"/>
        <v>284.18700000000024</v>
      </c>
      <c r="AR26" s="1417">
        <f t="shared" si="41"/>
        <v>0</v>
      </c>
      <c r="AS26" s="1333">
        <f t="shared" si="13"/>
        <v>942069.67426800064</v>
      </c>
      <c r="AT26" s="1334">
        <f t="shared" si="13"/>
        <v>0</v>
      </c>
      <c r="AU26" s="1334">
        <f t="shared" si="13"/>
        <v>0</v>
      </c>
      <c r="AV26" s="1334">
        <f t="shared" si="13"/>
        <v>0</v>
      </c>
      <c r="AW26" s="1334">
        <f t="shared" si="13"/>
        <v>0</v>
      </c>
      <c r="AX26" s="1334">
        <f t="shared" si="54"/>
        <v>942069.67426800064</v>
      </c>
      <c r="AY26" s="1334">
        <f t="shared" si="55"/>
        <v>942069.67426800064</v>
      </c>
      <c r="AZ26" s="1334">
        <f t="shared" si="14"/>
        <v>1068136.1642160008</v>
      </c>
      <c r="BA26" s="1334">
        <f t="shared" si="14"/>
        <v>0</v>
      </c>
      <c r="BB26" s="1334">
        <f t="shared" si="14"/>
        <v>0</v>
      </c>
      <c r="BC26" s="1334">
        <f t="shared" si="14"/>
        <v>0</v>
      </c>
      <c r="BD26" s="1334">
        <f t="shared" si="14"/>
        <v>0</v>
      </c>
      <c r="BE26" s="1334">
        <f t="shared" si="56"/>
        <v>1068136.1642160008</v>
      </c>
      <c r="BF26" s="1396">
        <f t="shared" si="60"/>
        <v>1068136.1642160008</v>
      </c>
      <c r="BG26" s="1397">
        <f t="shared" si="76"/>
        <v>0</v>
      </c>
      <c r="BH26" s="1398">
        <f t="shared" si="77"/>
        <v>0</v>
      </c>
      <c r="BI26" s="1399">
        <f t="shared" si="7"/>
        <v>0</v>
      </c>
      <c r="BJ26" s="1334"/>
      <c r="BK26" s="1643"/>
      <c r="BL26" s="1334">
        <f t="shared" si="61"/>
        <v>595987.43266800081</v>
      </c>
      <c r="BM26" s="1334">
        <f t="shared" si="61"/>
        <v>0</v>
      </c>
      <c r="BN26" s="1334">
        <f t="shared" si="17"/>
        <v>0</v>
      </c>
      <c r="BO26" s="1334">
        <f t="shared" si="17"/>
        <v>0</v>
      </c>
      <c r="BP26" s="1334">
        <f t="shared" si="17"/>
        <v>0</v>
      </c>
      <c r="BQ26" s="1334">
        <f t="shared" si="62"/>
        <v>595987.43266800081</v>
      </c>
      <c r="BR26" s="1334">
        <f t="shared" si="63"/>
        <v>595987.43266800081</v>
      </c>
      <c r="BS26" s="1334">
        <f t="shared" si="64"/>
        <v>392394.49920000002</v>
      </c>
      <c r="BT26" s="1334">
        <f t="shared" si="64"/>
        <v>0</v>
      </c>
      <c r="BU26" s="1334">
        <f t="shared" si="18"/>
        <v>0</v>
      </c>
      <c r="BV26" s="1334">
        <f t="shared" si="65"/>
        <v>0</v>
      </c>
      <c r="BW26" s="1334">
        <f t="shared" si="19"/>
        <v>0</v>
      </c>
      <c r="BX26" s="1334">
        <f t="shared" si="66"/>
        <v>392394.49920000002</v>
      </c>
      <c r="BY26" s="1334">
        <f t="shared" si="67"/>
        <v>392394.49920000002</v>
      </c>
      <c r="BZ26" s="1389">
        <f t="shared" si="68"/>
        <v>0</v>
      </c>
      <c r="CA26" s="1389">
        <f t="shared" si="42"/>
        <v>0</v>
      </c>
      <c r="CB26" s="1389">
        <f t="shared" si="69"/>
        <v>0</v>
      </c>
      <c r="CC26" s="1420" t="e">
        <f t="shared" si="70"/>
        <v>#DIV/0!</v>
      </c>
      <c r="CD26" s="1420" t="e">
        <f t="shared" si="43"/>
        <v>#DIV/0!</v>
      </c>
      <c r="CE26" s="1420" t="e">
        <f t="shared" si="44"/>
        <v>#DIV/0!</v>
      </c>
      <c r="CF26" s="1389" t="e">
        <f t="shared" si="20"/>
        <v>#DIV/0!</v>
      </c>
      <c r="CG26" s="1421">
        <f t="shared" si="21"/>
        <v>0</v>
      </c>
      <c r="CH26" s="1421" t="e">
        <f t="shared" si="45"/>
        <v>#DIV/0!</v>
      </c>
      <c r="CI26" s="1389"/>
      <c r="CJ26" s="1756">
        <f t="shared" si="78"/>
        <v>595.98743266800079</v>
      </c>
      <c r="CK26" s="1756">
        <f t="shared" si="22"/>
        <v>392.39449920000004</v>
      </c>
      <c r="CL26" s="1756">
        <f t="shared" si="47"/>
        <v>988.38193186800083</v>
      </c>
      <c r="CM26" s="1334">
        <f t="shared" si="48"/>
        <v>1068.1361642160009</v>
      </c>
      <c r="CN26" s="1334">
        <f t="shared" si="49"/>
        <v>79.754232348000073</v>
      </c>
      <c r="CO26" s="1334">
        <f t="shared" si="23"/>
        <v>988381.93186800089</v>
      </c>
      <c r="CP26" s="1334">
        <f t="shared" si="24"/>
        <v>942069.67426800064</v>
      </c>
      <c r="CQ26" s="1334">
        <f t="shared" si="25"/>
        <v>942069.67426800064</v>
      </c>
      <c r="CR26" s="1334">
        <f t="shared" si="26"/>
        <v>595987.43266800081</v>
      </c>
      <c r="CS26" s="1334">
        <f t="shared" si="27"/>
        <v>1068136.1642160008</v>
      </c>
      <c r="CT26" s="1334">
        <f t="shared" si="28"/>
        <v>1068136.1642160008</v>
      </c>
      <c r="CU26" s="1334">
        <f t="shared" si="29"/>
        <v>392394.49920000002</v>
      </c>
      <c r="CV26" s="1334">
        <f t="shared" si="50"/>
        <v>2010205.8384840013</v>
      </c>
      <c r="CW26" s="1422">
        <f t="shared" si="51"/>
        <v>7073.5319999999983</v>
      </c>
      <c r="CX26" s="1334">
        <f t="shared" si="30"/>
        <v>0</v>
      </c>
      <c r="CY26" s="1334">
        <f t="shared" si="31"/>
        <v>0</v>
      </c>
      <c r="CZ26" s="1334"/>
      <c r="DA26" s="1334">
        <f t="shared" si="32"/>
        <v>942069.67426800064</v>
      </c>
      <c r="DB26" s="1334">
        <f t="shared" si="33"/>
        <v>1068136.1642160008</v>
      </c>
      <c r="DC26" s="1223"/>
      <c r="DD26" s="1224" t="e">
        <f t="shared" si="52"/>
        <v>#DIV/0!</v>
      </c>
      <c r="DE26" s="1223"/>
      <c r="DF26" s="1223"/>
      <c r="DG26" s="1223"/>
      <c r="DH26" s="1494"/>
      <c r="DI26" s="1494"/>
      <c r="DJ26" s="1494"/>
      <c r="DK26" s="1389"/>
      <c r="DL26" s="1419">
        <f t="shared" si="34"/>
        <v>0</v>
      </c>
      <c r="DM26" s="1419">
        <f t="shared" si="35"/>
        <v>0</v>
      </c>
      <c r="DN26" s="1419">
        <f t="shared" si="36"/>
        <v>0</v>
      </c>
      <c r="DO26" s="819"/>
      <c r="DP26" s="1315"/>
      <c r="DQ26" s="1315"/>
      <c r="DR26" s="1315"/>
      <c r="DS26" s="1315"/>
      <c r="DT26" s="1315"/>
      <c r="DU26" s="1315"/>
      <c r="DV26" s="1315"/>
      <c r="DW26" s="1315"/>
      <c r="DX26" s="1315"/>
      <c r="DY26" s="1315"/>
      <c r="DZ26" s="1315"/>
      <c r="EA26" s="1315"/>
      <c r="EB26" s="1315"/>
      <c r="EC26" s="1315"/>
      <c r="ED26" s="1315"/>
      <c r="EE26" s="1315"/>
      <c r="EF26" s="1315"/>
      <c r="EG26" s="1315"/>
      <c r="EH26" s="1315"/>
      <c r="EI26" s="1315"/>
      <c r="EJ26" s="1315"/>
      <c r="EK26" s="1315"/>
      <c r="EL26" s="1315"/>
    </row>
    <row r="27" spans="1:142" s="1313" customFormat="1" ht="75" hidden="1" customHeight="1">
      <c r="A27" s="6">
        <f t="shared" si="53"/>
        <v>14</v>
      </c>
      <c r="B27" s="1330" t="s">
        <v>11</v>
      </c>
      <c r="C27" s="1839" t="s">
        <v>80</v>
      </c>
      <c r="D27" s="1706" t="s">
        <v>141</v>
      </c>
      <c r="E27" s="1331">
        <v>4632024035</v>
      </c>
      <c r="F27" s="1330" t="s">
        <v>8</v>
      </c>
      <c r="G27" s="1682" t="s">
        <v>1034</v>
      </c>
      <c r="H27" s="1700">
        <v>3314.9639999999995</v>
      </c>
      <c r="I27" s="1701">
        <f t="shared" si="72"/>
        <v>3314.9639999999995</v>
      </c>
      <c r="J27" s="1335"/>
      <c r="K27" s="1335"/>
      <c r="L27" s="1700">
        <v>3314.9639999999995</v>
      </c>
      <c r="M27" s="1390"/>
      <c r="N27" s="1703">
        <f t="shared" si="73"/>
        <v>3758.5679999999998</v>
      </c>
      <c r="O27" s="1704">
        <f t="shared" si="74"/>
        <v>3758.5679999999998</v>
      </c>
      <c r="P27" s="1335"/>
      <c r="Q27" s="1335"/>
      <c r="R27" s="1704">
        <f t="shared" si="75"/>
        <v>3758.5679999999998</v>
      </c>
      <c r="S27" s="1390"/>
      <c r="T27" s="1751">
        <v>151.48999999999998</v>
      </c>
      <c r="U27" s="1719"/>
      <c r="V27" s="1334"/>
      <c r="W27" s="1334"/>
      <c r="X27" s="1334"/>
      <c r="Y27" s="1334"/>
      <c r="Z27" s="1393">
        <f t="shared" si="8"/>
        <v>151.48999999999998</v>
      </c>
      <c r="AA27" s="1752">
        <v>104.4</v>
      </c>
      <c r="AB27" s="1334"/>
      <c r="AC27" s="1334"/>
      <c r="AD27" s="1334"/>
      <c r="AE27" s="1334"/>
      <c r="AF27" s="1334"/>
      <c r="AG27" s="1395">
        <f t="shared" si="58"/>
        <v>104.4</v>
      </c>
      <c r="AH27" s="1391">
        <f t="shared" si="59"/>
        <v>255.89</v>
      </c>
      <c r="AI27" s="1334">
        <f t="shared" si="9"/>
        <v>255.89</v>
      </c>
      <c r="AJ27" s="1334">
        <f t="shared" si="9"/>
        <v>0</v>
      </c>
      <c r="AK27" s="1334">
        <f t="shared" si="9"/>
        <v>0</v>
      </c>
      <c r="AL27" s="1334">
        <f t="shared" si="9"/>
        <v>0</v>
      </c>
      <c r="AM27" s="1334">
        <f t="shared" si="9"/>
        <v>0</v>
      </c>
      <c r="AN27" s="1334"/>
      <c r="AO27" s="1334">
        <f t="shared" si="10"/>
        <v>255.89</v>
      </c>
      <c r="AP27" s="1334">
        <f t="shared" si="11"/>
        <v>255.89</v>
      </c>
      <c r="AQ27" s="1396">
        <f t="shared" si="12"/>
        <v>255.89</v>
      </c>
      <c r="AR27" s="1417">
        <f t="shared" si="41"/>
        <v>0</v>
      </c>
      <c r="AS27" s="1333">
        <f t="shared" si="13"/>
        <v>848266.13795999985</v>
      </c>
      <c r="AT27" s="1334">
        <f t="shared" si="13"/>
        <v>0</v>
      </c>
      <c r="AU27" s="1334">
        <f t="shared" si="13"/>
        <v>0</v>
      </c>
      <c r="AV27" s="1334">
        <f t="shared" si="13"/>
        <v>0</v>
      </c>
      <c r="AW27" s="1334">
        <f t="shared" si="13"/>
        <v>0</v>
      </c>
      <c r="AX27" s="1334">
        <f t="shared" si="54"/>
        <v>848266.13795999985</v>
      </c>
      <c r="AY27" s="1334">
        <f t="shared" si="55"/>
        <v>848266.13795999985</v>
      </c>
      <c r="AZ27" s="1334">
        <f t="shared" si="14"/>
        <v>961779.96551999985</v>
      </c>
      <c r="BA27" s="1334">
        <f t="shared" si="14"/>
        <v>0</v>
      </c>
      <c r="BB27" s="1334">
        <f t="shared" si="14"/>
        <v>0</v>
      </c>
      <c r="BC27" s="1334">
        <f t="shared" si="14"/>
        <v>0</v>
      </c>
      <c r="BD27" s="1334">
        <f t="shared" si="14"/>
        <v>0</v>
      </c>
      <c r="BE27" s="1334">
        <f t="shared" si="56"/>
        <v>961779.96551999985</v>
      </c>
      <c r="BF27" s="1396">
        <f t="shared" si="60"/>
        <v>961779.96551999985</v>
      </c>
      <c r="BG27" s="1397">
        <f t="shared" si="76"/>
        <v>0</v>
      </c>
      <c r="BH27" s="1398">
        <f t="shared" si="77"/>
        <v>0</v>
      </c>
      <c r="BI27" s="1399">
        <f t="shared" si="7"/>
        <v>0</v>
      </c>
      <c r="BJ27" s="1334"/>
      <c r="BK27" s="1643"/>
      <c r="BL27" s="1334">
        <f t="shared" si="61"/>
        <v>502183.89635999984</v>
      </c>
      <c r="BM27" s="1334">
        <f t="shared" si="61"/>
        <v>0</v>
      </c>
      <c r="BN27" s="1334">
        <f t="shared" si="17"/>
        <v>0</v>
      </c>
      <c r="BO27" s="1334">
        <f t="shared" si="17"/>
        <v>0</v>
      </c>
      <c r="BP27" s="1334">
        <f t="shared" si="17"/>
        <v>0</v>
      </c>
      <c r="BQ27" s="1334">
        <f t="shared" si="62"/>
        <v>502183.89635999984</v>
      </c>
      <c r="BR27" s="1334">
        <f t="shared" si="63"/>
        <v>502183.89635999984</v>
      </c>
      <c r="BS27" s="1334">
        <f t="shared" si="64"/>
        <v>392394.49920000002</v>
      </c>
      <c r="BT27" s="1334">
        <f t="shared" si="64"/>
        <v>0</v>
      </c>
      <c r="BU27" s="1334">
        <f t="shared" si="18"/>
        <v>0</v>
      </c>
      <c r="BV27" s="1334">
        <f t="shared" si="65"/>
        <v>0</v>
      </c>
      <c r="BW27" s="1334">
        <f t="shared" si="19"/>
        <v>0</v>
      </c>
      <c r="BX27" s="1334">
        <f t="shared" si="66"/>
        <v>392394.49920000002</v>
      </c>
      <c r="BY27" s="1334">
        <f t="shared" si="67"/>
        <v>392394.49920000002</v>
      </c>
      <c r="BZ27" s="1389">
        <f t="shared" si="68"/>
        <v>0</v>
      </c>
      <c r="CA27" s="1389">
        <f t="shared" si="42"/>
        <v>0</v>
      </c>
      <c r="CB27" s="1389">
        <f t="shared" si="69"/>
        <v>0</v>
      </c>
      <c r="CC27" s="1420" t="e">
        <f t="shared" si="70"/>
        <v>#DIV/0!</v>
      </c>
      <c r="CD27" s="1420" t="e">
        <f t="shared" si="43"/>
        <v>#DIV/0!</v>
      </c>
      <c r="CE27" s="1420" t="e">
        <f t="shared" si="44"/>
        <v>#DIV/0!</v>
      </c>
      <c r="CF27" s="1389" t="e">
        <f t="shared" si="20"/>
        <v>#DIV/0!</v>
      </c>
      <c r="CG27" s="1421">
        <f t="shared" si="21"/>
        <v>0</v>
      </c>
      <c r="CH27" s="1421" t="e">
        <f t="shared" si="45"/>
        <v>#DIV/0!</v>
      </c>
      <c r="CI27" s="1389"/>
      <c r="CJ27" s="1756">
        <f t="shared" si="78"/>
        <v>502.18389635999984</v>
      </c>
      <c r="CK27" s="1756">
        <f t="shared" si="22"/>
        <v>392.39449920000004</v>
      </c>
      <c r="CL27" s="1756">
        <f t="shared" si="47"/>
        <v>894.57839555999988</v>
      </c>
      <c r="CM27" s="1334">
        <f t="shared" si="48"/>
        <v>961.77996551999991</v>
      </c>
      <c r="CN27" s="1334">
        <f t="shared" si="49"/>
        <v>67.201569960000029</v>
      </c>
      <c r="CO27" s="1334">
        <f t="shared" si="23"/>
        <v>894578.39555999986</v>
      </c>
      <c r="CP27" s="1334">
        <f t="shared" si="24"/>
        <v>848266.13795999985</v>
      </c>
      <c r="CQ27" s="1334">
        <f t="shared" si="25"/>
        <v>848266.13795999985</v>
      </c>
      <c r="CR27" s="1334">
        <f t="shared" si="26"/>
        <v>502183.89635999984</v>
      </c>
      <c r="CS27" s="1334">
        <f t="shared" si="27"/>
        <v>961779.96551999985</v>
      </c>
      <c r="CT27" s="1334">
        <f t="shared" si="28"/>
        <v>961779.96551999985</v>
      </c>
      <c r="CU27" s="1334">
        <f t="shared" si="29"/>
        <v>392394.49920000002</v>
      </c>
      <c r="CV27" s="1334">
        <f t="shared" si="50"/>
        <v>1810046.1034799996</v>
      </c>
      <c r="CW27" s="1422">
        <f t="shared" si="51"/>
        <v>7073.5319999999983</v>
      </c>
      <c r="CX27" s="1334">
        <f t="shared" si="30"/>
        <v>0</v>
      </c>
      <c r="CY27" s="1334">
        <f t="shared" si="31"/>
        <v>0</v>
      </c>
      <c r="CZ27" s="1334"/>
      <c r="DA27" s="1334">
        <f t="shared" si="32"/>
        <v>848266.13795999985</v>
      </c>
      <c r="DB27" s="1334">
        <f t="shared" si="33"/>
        <v>961779.96551999985</v>
      </c>
      <c r="DC27" s="1223"/>
      <c r="DD27" s="1224" t="e">
        <f t="shared" si="52"/>
        <v>#DIV/0!</v>
      </c>
      <c r="DE27" s="1223"/>
      <c r="DF27" s="1223"/>
      <c r="DG27" s="1223"/>
      <c r="DH27" s="1494"/>
      <c r="DI27" s="1494"/>
      <c r="DJ27" s="1494"/>
      <c r="DK27" s="1389"/>
      <c r="DL27" s="1419">
        <f t="shared" si="34"/>
        <v>0</v>
      </c>
      <c r="DM27" s="1419">
        <f t="shared" si="35"/>
        <v>0</v>
      </c>
      <c r="DN27" s="1419">
        <f t="shared" si="36"/>
        <v>0</v>
      </c>
      <c r="DO27" s="819"/>
      <c r="DP27" s="1315"/>
      <c r="DQ27" s="1315"/>
      <c r="DR27" s="1315"/>
      <c r="DS27" s="1315"/>
      <c r="DT27" s="1315"/>
      <c r="DU27" s="1315"/>
      <c r="DV27" s="1315"/>
      <c r="DW27" s="1315"/>
      <c r="DX27" s="1315"/>
      <c r="DY27" s="1315"/>
      <c r="DZ27" s="1315"/>
      <c r="EA27" s="1315"/>
      <c r="EB27" s="1315"/>
      <c r="EC27" s="1315"/>
      <c r="ED27" s="1315"/>
      <c r="EE27" s="1315"/>
      <c r="EF27" s="1315"/>
      <c r="EG27" s="1315"/>
      <c r="EH27" s="1315"/>
      <c r="EI27" s="1315"/>
      <c r="EJ27" s="1315"/>
      <c r="EK27" s="1315"/>
      <c r="EL27" s="1315"/>
    </row>
    <row r="28" spans="1:142" s="1313" customFormat="1" ht="78.75" customHeight="1">
      <c r="A28" s="6">
        <f t="shared" si="53"/>
        <v>15</v>
      </c>
      <c r="B28" s="1400" t="s">
        <v>12</v>
      </c>
      <c r="C28" s="1840" t="s">
        <v>81</v>
      </c>
      <c r="D28" s="1706" t="s">
        <v>141</v>
      </c>
      <c r="E28" s="1331">
        <v>4632024035</v>
      </c>
      <c r="F28" s="1330" t="s">
        <v>8</v>
      </c>
      <c r="G28" s="1682" t="s">
        <v>1034</v>
      </c>
      <c r="H28" s="1700">
        <v>3314.9639999999995</v>
      </c>
      <c r="I28" s="1701">
        <f t="shared" si="72"/>
        <v>3314.9639999999995</v>
      </c>
      <c r="J28" s="1707">
        <v>2484</v>
      </c>
      <c r="K28" s="1335"/>
      <c r="L28" s="1700">
        <v>3314.9639999999995</v>
      </c>
      <c r="M28" s="1390"/>
      <c r="N28" s="1703">
        <f t="shared" si="73"/>
        <v>3758.5679999999998</v>
      </c>
      <c r="O28" s="1704">
        <f t="shared" si="74"/>
        <v>3758.5679999999998</v>
      </c>
      <c r="P28" s="1708">
        <v>2719.98</v>
      </c>
      <c r="Q28" s="1335"/>
      <c r="R28" s="1704">
        <f t="shared" si="75"/>
        <v>3758.5679999999998</v>
      </c>
      <c r="S28" s="1390"/>
      <c r="T28" s="1751">
        <v>4174.4989999999998</v>
      </c>
      <c r="U28" s="1736">
        <v>5080.3180000000002</v>
      </c>
      <c r="V28" s="1392"/>
      <c r="W28" s="1392"/>
      <c r="X28" s="1392"/>
      <c r="Y28" s="1392"/>
      <c r="Z28" s="1393">
        <f t="shared" si="8"/>
        <v>9254.8169999999991</v>
      </c>
      <c r="AA28" s="1752">
        <v>2661.5439999999999</v>
      </c>
      <c r="AB28" s="1736">
        <v>4294.5959999999995</v>
      </c>
      <c r="AC28" s="1334"/>
      <c r="AD28" s="1334"/>
      <c r="AE28" s="1334"/>
      <c r="AF28" s="1334"/>
      <c r="AG28" s="1395">
        <f t="shared" si="58"/>
        <v>6956.1399999999994</v>
      </c>
      <c r="AH28" s="1391">
        <f t="shared" si="59"/>
        <v>16210.956999999999</v>
      </c>
      <c r="AI28" s="1334">
        <f t="shared" si="9"/>
        <v>6836.0429999999997</v>
      </c>
      <c r="AJ28" s="1334">
        <f t="shared" si="9"/>
        <v>9374.9140000000007</v>
      </c>
      <c r="AK28" s="1334">
        <f t="shared" si="9"/>
        <v>0</v>
      </c>
      <c r="AL28" s="1334">
        <f t="shared" si="9"/>
        <v>0</v>
      </c>
      <c r="AM28" s="1334">
        <f t="shared" si="9"/>
        <v>0</v>
      </c>
      <c r="AN28" s="1334"/>
      <c r="AO28" s="1334">
        <f t="shared" ref="AO28:AO90" si="79">SUM(AI28:AN28)</f>
        <v>16210.957</v>
      </c>
      <c r="AP28" s="1334">
        <f t="shared" ref="AP28:AP90" si="80">SUM(AI28:AM28)</f>
        <v>16210.957</v>
      </c>
      <c r="AQ28" s="1396">
        <f t="shared" ref="AQ28:AQ70" si="81">SUM(AI28:AL28)</f>
        <v>16210.957</v>
      </c>
      <c r="AR28" s="1417">
        <f t="shared" si="41"/>
        <v>0</v>
      </c>
      <c r="AS28" s="1333">
        <f t="shared" si="13"/>
        <v>22661236.447451994</v>
      </c>
      <c r="AT28" s="1334">
        <f t="shared" si="13"/>
        <v>23287286.376000002</v>
      </c>
      <c r="AU28" s="1334">
        <f t="shared" si="13"/>
        <v>0</v>
      </c>
      <c r="AV28" s="1334">
        <f t="shared" si="13"/>
        <v>0</v>
      </c>
      <c r="AW28" s="1334">
        <f t="shared" si="13"/>
        <v>0</v>
      </c>
      <c r="AX28" s="1334">
        <f t="shared" si="54"/>
        <v>45948522.823451996</v>
      </c>
      <c r="AY28" s="1334">
        <f t="shared" si="55"/>
        <v>45948522.823451996</v>
      </c>
      <c r="AZ28" s="1334">
        <f t="shared" si="14"/>
        <v>25693732.466423996</v>
      </c>
      <c r="BA28" s="1334">
        <f t="shared" si="14"/>
        <v>25499578.581720002</v>
      </c>
      <c r="BB28" s="1334">
        <f t="shared" si="14"/>
        <v>0</v>
      </c>
      <c r="BC28" s="1334">
        <f t="shared" si="14"/>
        <v>0</v>
      </c>
      <c r="BD28" s="1334">
        <f t="shared" si="14"/>
        <v>0</v>
      </c>
      <c r="BE28" s="1334">
        <f t="shared" si="56"/>
        <v>51193311.048143998</v>
      </c>
      <c r="BF28" s="1396">
        <f t="shared" si="60"/>
        <v>51193311.048143998</v>
      </c>
      <c r="BG28" s="1397">
        <f t="shared" si="76"/>
        <v>3517.9678054599981</v>
      </c>
      <c r="BH28" s="1398">
        <f t="shared" si="77"/>
        <v>3716.9298920399997</v>
      </c>
      <c r="BI28" s="1399">
        <f t="shared" si="7"/>
        <v>7234.8976974999978</v>
      </c>
      <c r="BJ28" s="1399"/>
      <c r="BK28" s="1641"/>
      <c r="BL28" s="1334">
        <f t="shared" si="61"/>
        <v>13838313.903035996</v>
      </c>
      <c r="BM28" s="1334">
        <f t="shared" si="61"/>
        <v>12619509.912</v>
      </c>
      <c r="BN28" s="1334">
        <f t="shared" si="17"/>
        <v>0</v>
      </c>
      <c r="BO28" s="1334">
        <f t="shared" si="17"/>
        <v>0</v>
      </c>
      <c r="BP28" s="1334">
        <f t="shared" si="17"/>
        <v>0</v>
      </c>
      <c r="BQ28" s="1334">
        <f t="shared" si="62"/>
        <v>26457823.815035999</v>
      </c>
      <c r="BR28" s="1334">
        <f t="shared" si="63"/>
        <v>26457823.815035999</v>
      </c>
      <c r="BS28" s="1334">
        <f t="shared" si="64"/>
        <v>10003594.108991999</v>
      </c>
      <c r="BT28" s="1334">
        <f t="shared" si="64"/>
        <v>11681215.228079999</v>
      </c>
      <c r="BU28" s="1334">
        <f t="shared" si="18"/>
        <v>0</v>
      </c>
      <c r="BV28" s="1334">
        <f t="shared" si="65"/>
        <v>0</v>
      </c>
      <c r="BW28" s="1334">
        <f t="shared" si="19"/>
        <v>0</v>
      </c>
      <c r="BX28" s="1334">
        <f t="shared" si="66"/>
        <v>21684809.337072</v>
      </c>
      <c r="BY28" s="1334">
        <f t="shared" si="67"/>
        <v>21684809.337072</v>
      </c>
      <c r="BZ28" s="1389">
        <f t="shared" si="68"/>
        <v>24300725.140079997</v>
      </c>
      <c r="CA28" s="1389">
        <f t="shared" si="42"/>
        <v>0</v>
      </c>
      <c r="CB28" s="1389">
        <f t="shared" si="69"/>
        <v>24300725.140079997</v>
      </c>
      <c r="CC28" s="1420">
        <f t="shared" si="70"/>
        <v>2592.1011264828667</v>
      </c>
      <c r="CD28" s="1420" t="e">
        <f t="shared" si="43"/>
        <v>#DIV/0!</v>
      </c>
      <c r="CE28" s="1420">
        <f t="shared" si="44"/>
        <v>2592.1011264828667</v>
      </c>
      <c r="CF28" s="1420">
        <f t="shared" si="20"/>
        <v>2592.1011264828667</v>
      </c>
      <c r="CG28" s="1421">
        <f t="shared" si="21"/>
        <v>32982602.377079997</v>
      </c>
      <c r="CH28" s="1421">
        <f t="shared" si="45"/>
        <v>3518.1765269612069</v>
      </c>
      <c r="CI28" s="1389"/>
      <c r="CJ28" s="1756">
        <f t="shared" si="78"/>
        <v>30679.385181587993</v>
      </c>
      <c r="CK28" s="1756">
        <f t="shared" si="22"/>
        <v>26145.125207519995</v>
      </c>
      <c r="CL28" s="1756">
        <f t="shared" si="47"/>
        <v>56824.510389107993</v>
      </c>
      <c r="CM28" s="1334">
        <f t="shared" si="48"/>
        <v>60929.984229575988</v>
      </c>
      <c r="CN28" s="1334">
        <f t="shared" si="49"/>
        <v>4105.4738404679956</v>
      </c>
      <c r="CO28" s="1334">
        <f t="shared" si="23"/>
        <v>56824510.389107987</v>
      </c>
      <c r="CP28" s="1334">
        <f t="shared" si="24"/>
        <v>45948522.823451996</v>
      </c>
      <c r="CQ28" s="1334">
        <f t="shared" si="25"/>
        <v>45948522.823451996</v>
      </c>
      <c r="CR28" s="1334">
        <f t="shared" si="26"/>
        <v>26457823.815035999</v>
      </c>
      <c r="CS28" s="1334">
        <f t="shared" si="27"/>
        <v>51193311.048143998</v>
      </c>
      <c r="CT28" s="1334">
        <f t="shared" si="28"/>
        <v>51193311.048143998</v>
      </c>
      <c r="CU28" s="1334">
        <f t="shared" si="29"/>
        <v>21684809.337072</v>
      </c>
      <c r="CV28" s="1334">
        <f t="shared" si="50"/>
        <v>97141833.871595994</v>
      </c>
      <c r="CW28" s="1422">
        <f t="shared" si="51"/>
        <v>5992.3565198276701</v>
      </c>
      <c r="CX28" s="1334">
        <f t="shared" si="30"/>
        <v>23287286.376000002</v>
      </c>
      <c r="CY28" s="1334">
        <f t="shared" si="31"/>
        <v>25499578.581720002</v>
      </c>
      <c r="CZ28" s="1334"/>
      <c r="DA28" s="1334">
        <f t="shared" si="32"/>
        <v>53738738.86054799</v>
      </c>
      <c r="DB28" s="1334">
        <f t="shared" si="33"/>
        <v>60929984.229575999</v>
      </c>
      <c r="DC28" s="1223"/>
      <c r="DD28" s="1224">
        <f t="shared" si="52"/>
        <v>151.3111111111111</v>
      </c>
      <c r="DE28" s="1223"/>
      <c r="DF28" s="1223"/>
      <c r="DG28" s="1223"/>
      <c r="DH28" s="1494"/>
      <c r="DI28" s="1494"/>
      <c r="DJ28" s="1494"/>
      <c r="DK28" s="1389"/>
      <c r="DL28" s="1419">
        <f t="shared" si="34"/>
        <v>0</v>
      </c>
      <c r="DM28" s="1419">
        <f t="shared" si="35"/>
        <v>0</v>
      </c>
      <c r="DN28" s="1419">
        <f t="shared" si="36"/>
        <v>0</v>
      </c>
      <c r="DO28" s="819"/>
      <c r="DP28" s="1315"/>
      <c r="DQ28" s="1315"/>
      <c r="DR28" s="1315"/>
      <c r="DS28" s="1315"/>
      <c r="DT28" s="1315"/>
      <c r="DU28" s="1315"/>
      <c r="DV28" s="1315"/>
      <c r="DW28" s="1315"/>
      <c r="DX28" s="1315"/>
      <c r="DY28" s="1315"/>
      <c r="DZ28" s="1315"/>
      <c r="EA28" s="1315"/>
      <c r="EB28" s="1315"/>
      <c r="EC28" s="1315"/>
      <c r="ED28" s="1315"/>
      <c r="EE28" s="1315"/>
      <c r="EF28" s="1315"/>
      <c r="EG28" s="1315"/>
      <c r="EH28" s="1315"/>
      <c r="EI28" s="1315"/>
      <c r="EJ28" s="1315"/>
      <c r="EK28" s="1315"/>
      <c r="EL28" s="1315"/>
    </row>
    <row r="29" spans="1:142" s="50" customFormat="1" ht="80.25" hidden="1" customHeight="1">
      <c r="A29" s="6">
        <f t="shared" si="53"/>
        <v>16</v>
      </c>
      <c r="B29" s="1330" t="s">
        <v>13</v>
      </c>
      <c r="C29" s="1780" t="s">
        <v>83</v>
      </c>
      <c r="D29" s="1780" t="s">
        <v>82</v>
      </c>
      <c r="E29" s="1402">
        <v>4633037132</v>
      </c>
      <c r="F29" s="1401" t="s">
        <v>8</v>
      </c>
      <c r="G29" s="1332" t="s">
        <v>967</v>
      </c>
      <c r="H29" s="1757">
        <v>2889.53</v>
      </c>
      <c r="I29" s="1760">
        <v>2889.53</v>
      </c>
      <c r="J29" s="1762">
        <v>2449.06</v>
      </c>
      <c r="K29" s="1708">
        <v>1982.98</v>
      </c>
      <c r="L29" s="1335"/>
      <c r="M29" s="1336"/>
      <c r="N29" s="1763">
        <v>3438.24</v>
      </c>
      <c r="O29" s="1708">
        <v>3438.24</v>
      </c>
      <c r="P29" s="1762">
        <v>2801.48</v>
      </c>
      <c r="Q29" s="1708">
        <v>2268.33</v>
      </c>
      <c r="R29" s="1339"/>
      <c r="S29" s="1336"/>
      <c r="T29" s="1765">
        <v>848.80000000000007</v>
      </c>
      <c r="U29" s="1764">
        <v>4138.1589999999997</v>
      </c>
      <c r="V29" s="1764">
        <v>558.25109999999995</v>
      </c>
      <c r="W29" s="1764"/>
      <c r="X29" s="1764"/>
      <c r="Y29" s="1764"/>
      <c r="Z29" s="1766">
        <f t="shared" si="8"/>
        <v>5545.2101000000002</v>
      </c>
      <c r="AA29" s="1767">
        <v>637.06000000000006</v>
      </c>
      <c r="AB29" s="1764">
        <v>3103.6190000000001</v>
      </c>
      <c r="AC29" s="1764">
        <v>434.07787819999993</v>
      </c>
      <c r="AD29" s="1764"/>
      <c r="AE29" s="1764"/>
      <c r="AF29" s="1764"/>
      <c r="AG29" s="1768">
        <f t="shared" si="58"/>
        <v>4174.7568781999998</v>
      </c>
      <c r="AH29" s="1340">
        <f t="shared" si="59"/>
        <v>9719.9669782000001</v>
      </c>
      <c r="AI29" s="1341">
        <f t="shared" si="9"/>
        <v>1485.8600000000001</v>
      </c>
      <c r="AJ29" s="1341">
        <f t="shared" si="9"/>
        <v>7241.7780000000002</v>
      </c>
      <c r="AK29" s="1341">
        <f t="shared" si="9"/>
        <v>992.32897819999994</v>
      </c>
      <c r="AL29" s="1341">
        <f t="shared" si="9"/>
        <v>0</v>
      </c>
      <c r="AM29" s="1341">
        <f t="shared" si="9"/>
        <v>0</v>
      </c>
      <c r="AN29" s="1341"/>
      <c r="AO29" s="1341">
        <f t="shared" si="79"/>
        <v>9719.9669782000001</v>
      </c>
      <c r="AP29" s="1341">
        <f t="shared" si="80"/>
        <v>9719.9669782000001</v>
      </c>
      <c r="AQ29" s="1345">
        <f t="shared" si="81"/>
        <v>9719.9669782000001</v>
      </c>
      <c r="AR29" s="1346">
        <f t="shared" si="41"/>
        <v>0</v>
      </c>
      <c r="AS29" s="1347">
        <f t="shared" si="13"/>
        <v>4293437.0458000004</v>
      </c>
      <c r="AT29" s="1341">
        <f t="shared" si="13"/>
        <v>17735548.828680001</v>
      </c>
      <c r="AU29" s="1341">
        <f t="shared" si="13"/>
        <v>1967768.5171910359</v>
      </c>
      <c r="AV29" s="1352">
        <f t="shared" si="13"/>
        <v>0</v>
      </c>
      <c r="AW29" s="1352">
        <f t="shared" si="13"/>
        <v>0</v>
      </c>
      <c r="AX29" s="1341">
        <f t="shared" si="54"/>
        <v>23996754.391671039</v>
      </c>
      <c r="AY29" s="1341">
        <f t="shared" si="55"/>
        <v>23996754.391671039</v>
      </c>
      <c r="AZ29" s="1341">
        <f t="shared" si="14"/>
        <v>5108743.2864000006</v>
      </c>
      <c r="BA29" s="1341">
        <f t="shared" si="14"/>
        <v>20287696.23144</v>
      </c>
      <c r="BB29" s="1341">
        <f t="shared" si="14"/>
        <v>2250929.5911204056</v>
      </c>
      <c r="BC29" s="1341">
        <f t="shared" si="14"/>
        <v>0</v>
      </c>
      <c r="BD29" s="1341">
        <f t="shared" si="14"/>
        <v>0</v>
      </c>
      <c r="BE29" s="1341">
        <f t="shared" si="56"/>
        <v>27647369.108960409</v>
      </c>
      <c r="BF29" s="1345">
        <f t="shared" si="60"/>
        <v>27647369.108960409</v>
      </c>
      <c r="BG29" s="1737">
        <f>(H29-J29)*U29/1000+(H29-K29)*V29/1000</f>
        <v>2328.817429435001</v>
      </c>
      <c r="BH29" s="1738">
        <f>(N29-P29)*AB29/1000+(N29-Q29)*AC29/1000</f>
        <v>2484.0924849249609</v>
      </c>
      <c r="BI29" s="1740">
        <f>BG29+BH29+0.0727996472733139</f>
        <v>4812.9827140072348</v>
      </c>
      <c r="BJ29" s="1406">
        <v>57012.317550545107</v>
      </c>
      <c r="BK29" s="1641"/>
      <c r="BL29" s="1341">
        <f t="shared" si="61"/>
        <v>2452633.0640000002</v>
      </c>
      <c r="BM29" s="1341">
        <f t="shared" si="61"/>
        <v>10134599.680539999</v>
      </c>
      <c r="BN29" s="1341">
        <f t="shared" si="17"/>
        <v>1107000.7662779998</v>
      </c>
      <c r="BO29" s="1341">
        <f t="shared" si="17"/>
        <v>0</v>
      </c>
      <c r="BP29" s="1341">
        <f t="shared" si="17"/>
        <v>0</v>
      </c>
      <c r="BQ29" s="1341">
        <f t="shared" si="62"/>
        <v>13694233.510817999</v>
      </c>
      <c r="BR29" s="1341">
        <f t="shared" si="63"/>
        <v>13694233.510817999</v>
      </c>
      <c r="BS29" s="1341">
        <f t="shared" si="64"/>
        <v>2190365.1743999999</v>
      </c>
      <c r="BT29" s="1341">
        <f t="shared" si="64"/>
        <v>8694726.5561200008</v>
      </c>
      <c r="BU29" s="1341">
        <f t="shared" si="18"/>
        <v>984631.87345740583</v>
      </c>
      <c r="BV29" s="1341">
        <f t="shared" si="65"/>
        <v>0</v>
      </c>
      <c r="BW29" s="1341">
        <f t="shared" si="19"/>
        <v>0</v>
      </c>
      <c r="BX29" s="1341">
        <f t="shared" si="66"/>
        <v>11869723.603977406</v>
      </c>
      <c r="BY29" s="1341">
        <f t="shared" si="67"/>
        <v>11869723.603977406</v>
      </c>
      <c r="BZ29" s="1349">
        <f t="shared" si="68"/>
        <v>18829326.23666</v>
      </c>
      <c r="CA29" s="1349">
        <f t="shared" si="42"/>
        <v>2091632.6397354058</v>
      </c>
      <c r="CB29" s="1349">
        <f t="shared" si="69"/>
        <v>20920958.876395404</v>
      </c>
      <c r="CC29" s="1351">
        <f t="shared" si="70"/>
        <v>2600.0971359050222</v>
      </c>
      <c r="CD29" s="1351">
        <f t="shared" si="43"/>
        <v>2107.8016320045886</v>
      </c>
      <c r="CE29" s="1351">
        <f t="shared" si="44"/>
        <v>2540.7684077683416</v>
      </c>
      <c r="CF29" s="1351">
        <f t="shared" si="20"/>
        <v>2540.7684077683416</v>
      </c>
      <c r="CG29" s="1367">
        <f t="shared" si="21"/>
        <v>25733868.790755365</v>
      </c>
      <c r="CH29" s="1367">
        <f t="shared" si="45"/>
        <v>3125.2774416079869</v>
      </c>
      <c r="CI29" s="1351"/>
      <c r="CJ29" s="1341">
        <f t="shared" si="71"/>
        <v>19065.763174224001</v>
      </c>
      <c r="CK29" s="1341">
        <f t="shared" si="22"/>
        <v>14353.816088902367</v>
      </c>
      <c r="CL29" s="1341">
        <f>CJ29+CK29+0.0890459272777662</f>
        <v>33419.668309053646</v>
      </c>
      <c r="CM29" s="1341">
        <f t="shared" si="48"/>
        <v>33419.579263126368</v>
      </c>
      <c r="CN29" s="1341">
        <f t="shared" si="49"/>
        <v>-8.9045927277766168E-2</v>
      </c>
      <c r="CO29" s="1341">
        <f t="shared" si="23"/>
        <v>30376867.02915537</v>
      </c>
      <c r="CP29" s="1341">
        <f t="shared" si="24"/>
        <v>23996754.391671039</v>
      </c>
      <c r="CQ29" s="1341">
        <f t="shared" si="25"/>
        <v>24459259.08183049</v>
      </c>
      <c r="CR29" s="1341">
        <f t="shared" si="26"/>
        <v>13694233.510817999</v>
      </c>
      <c r="CS29" s="1341">
        <f t="shared" si="27"/>
        <v>27647369.108960409</v>
      </c>
      <c r="CT29" s="1341">
        <f t="shared" si="28"/>
        <v>28176429.303687736</v>
      </c>
      <c r="CU29" s="1341">
        <f t="shared" si="29"/>
        <v>11869723.603977406</v>
      </c>
      <c r="CV29" s="1341">
        <f t="shared" si="50"/>
        <v>51644123.500631452</v>
      </c>
      <c r="CW29" s="1350">
        <f t="shared" si="51"/>
        <v>5313.1994806627636</v>
      </c>
      <c r="CX29" s="1341">
        <f t="shared" si="30"/>
        <v>19703317.345871039</v>
      </c>
      <c r="CY29" s="1341">
        <f t="shared" si="31"/>
        <v>22538625.822560407</v>
      </c>
      <c r="CZ29" s="1341"/>
      <c r="DA29" s="1341">
        <f t="shared" si="32"/>
        <v>28086136.182518248</v>
      </c>
      <c r="DB29" s="1341">
        <f t="shared" si="33"/>
        <v>33419579.26312637</v>
      </c>
      <c r="DC29" s="40"/>
      <c r="DD29" s="40">
        <f t="shared" si="52"/>
        <v>140.39019052207786</v>
      </c>
      <c r="DE29" s="40"/>
      <c r="DF29" s="40"/>
      <c r="DG29" s="40"/>
      <c r="DH29" s="1487">
        <v>9772.3045312928407</v>
      </c>
      <c r="DI29" s="1487">
        <v>8444.3777042718102</v>
      </c>
      <c r="DJ29" s="1487">
        <f t="shared" si="57"/>
        <v>1327.9268270210305</v>
      </c>
      <c r="DK29" s="1351"/>
      <c r="DL29" s="1352">
        <f t="shared" si="34"/>
        <v>0</v>
      </c>
      <c r="DM29" s="1352">
        <f t="shared" si="35"/>
        <v>0</v>
      </c>
      <c r="DN29" s="1352">
        <f t="shared" si="36"/>
        <v>0</v>
      </c>
      <c r="DO29" s="9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</row>
    <row r="30" spans="1:142" s="50" customFormat="1" ht="75" hidden="1" customHeight="1">
      <c r="A30" s="6">
        <f t="shared" si="53"/>
        <v>17</v>
      </c>
      <c r="B30" s="1330" t="s">
        <v>13</v>
      </c>
      <c r="C30" s="1781" t="s">
        <v>84</v>
      </c>
      <c r="D30" s="1781" t="s">
        <v>82</v>
      </c>
      <c r="E30" s="1407" t="s">
        <v>231</v>
      </c>
      <c r="F30" s="1407" t="s">
        <v>8</v>
      </c>
      <c r="G30" s="1332" t="s">
        <v>967</v>
      </c>
      <c r="H30" s="1758">
        <v>2889.53</v>
      </c>
      <c r="I30" s="1708">
        <v>2889.53</v>
      </c>
      <c r="J30" s="1762">
        <v>2449.06</v>
      </c>
      <c r="K30" s="1762">
        <v>2449.06</v>
      </c>
      <c r="L30" s="1356"/>
      <c r="M30" s="1357"/>
      <c r="N30" s="1763">
        <v>3438.24</v>
      </c>
      <c r="O30" s="1708">
        <v>3438.24</v>
      </c>
      <c r="P30" s="1762">
        <v>2801.48</v>
      </c>
      <c r="Q30" s="1762">
        <v>2801.48</v>
      </c>
      <c r="R30" s="1359"/>
      <c r="S30" s="1357"/>
      <c r="T30" s="1770">
        <v>422.89</v>
      </c>
      <c r="U30" s="1769">
        <v>1479.03</v>
      </c>
      <c r="V30" s="1769">
        <v>45.148350399999991</v>
      </c>
      <c r="W30" s="1769"/>
      <c r="X30" s="1769"/>
      <c r="Y30" s="1769"/>
      <c r="Z30" s="1766">
        <f t="shared" si="8"/>
        <v>1947.0683504000001</v>
      </c>
      <c r="AA30" s="1771">
        <v>317.33</v>
      </c>
      <c r="AB30" s="1769">
        <v>1109.27</v>
      </c>
      <c r="AC30" s="1769">
        <v>22.039474800000001</v>
      </c>
      <c r="AD30" s="1361"/>
      <c r="AE30" s="1361"/>
      <c r="AF30" s="1361"/>
      <c r="AG30" s="1344">
        <f t="shared" si="58"/>
        <v>1448.6394748</v>
      </c>
      <c r="AH30" s="1340">
        <f t="shared" si="59"/>
        <v>3395.7078252000001</v>
      </c>
      <c r="AI30" s="1341">
        <f t="shared" ref="AI30:AM84" si="82">T30+AA30</f>
        <v>740.22</v>
      </c>
      <c r="AJ30" s="1341">
        <f t="shared" si="82"/>
        <v>2588.3000000000002</v>
      </c>
      <c r="AK30" s="1341">
        <f t="shared" si="82"/>
        <v>67.187825199999992</v>
      </c>
      <c r="AL30" s="1341">
        <f t="shared" si="82"/>
        <v>0</v>
      </c>
      <c r="AM30" s="1341">
        <f t="shared" si="82"/>
        <v>0</v>
      </c>
      <c r="AN30" s="1341"/>
      <c r="AO30" s="1341">
        <f t="shared" si="79"/>
        <v>3395.7078252000006</v>
      </c>
      <c r="AP30" s="1341">
        <f t="shared" si="80"/>
        <v>3395.7078252000006</v>
      </c>
      <c r="AQ30" s="1345">
        <f t="shared" si="81"/>
        <v>3395.7078252000006</v>
      </c>
      <c r="AR30" s="1346">
        <f t="shared" si="41"/>
        <v>0</v>
      </c>
      <c r="AS30" s="1347">
        <f t="shared" ref="AS30:AW56" si="83">I30*AI30</f>
        <v>2138887.8966000001</v>
      </c>
      <c r="AT30" s="1341">
        <f t="shared" si="83"/>
        <v>6338901.9980000006</v>
      </c>
      <c r="AU30" s="1341">
        <f t="shared" si="83"/>
        <v>164547.01518431198</v>
      </c>
      <c r="AV30" s="1352">
        <f t="shared" si="83"/>
        <v>0</v>
      </c>
      <c r="AW30" s="1352">
        <f t="shared" si="83"/>
        <v>0</v>
      </c>
      <c r="AX30" s="1341">
        <f t="shared" si="54"/>
        <v>8642336.9097843114</v>
      </c>
      <c r="AY30" s="1341">
        <f t="shared" si="55"/>
        <v>8642336.9097843114</v>
      </c>
      <c r="AZ30" s="1341">
        <f t="shared" ref="AZ30:BD56" si="84">O30*AI30</f>
        <v>2545054.0128000001</v>
      </c>
      <c r="BA30" s="1341">
        <f t="shared" si="84"/>
        <v>7251070.6840000004</v>
      </c>
      <c r="BB30" s="1341">
        <f t="shared" si="84"/>
        <v>188225.34854129597</v>
      </c>
      <c r="BC30" s="1341">
        <f t="shared" si="84"/>
        <v>0</v>
      </c>
      <c r="BD30" s="1341">
        <f t="shared" si="84"/>
        <v>0</v>
      </c>
      <c r="BE30" s="1341">
        <f t="shared" si="56"/>
        <v>9984350.0453412961</v>
      </c>
      <c r="BF30" s="1345">
        <f t="shared" si="60"/>
        <v>9984350.0453412961</v>
      </c>
      <c r="BG30" s="1737">
        <f t="shared" ref="BG30:BG32" si="85">(H30-J30)*U30/1000+(H30-K30)*V30/1000</f>
        <v>671.35483800068835</v>
      </c>
      <c r="BH30" s="1738">
        <f t="shared" ref="BH30:BH32" si="86">(N30-P30)*AB30/1000+(N30-Q30)*AC30/1000</f>
        <v>720.37262117364764</v>
      </c>
      <c r="BI30" s="1740">
        <f>BG30+BH30</f>
        <v>1391.727459174336</v>
      </c>
      <c r="BJ30" s="1399"/>
      <c r="BK30" s="1641"/>
      <c r="BL30" s="1341">
        <f t="shared" si="61"/>
        <v>1221953.3417</v>
      </c>
      <c r="BM30" s="1341">
        <f t="shared" si="61"/>
        <v>3622233.2117999997</v>
      </c>
      <c r="BN30" s="1341">
        <f t="shared" si="61"/>
        <v>110571.01903062398</v>
      </c>
      <c r="BO30" s="1341">
        <f t="shared" si="61"/>
        <v>0</v>
      </c>
      <c r="BP30" s="1341">
        <f t="shared" si="61"/>
        <v>0</v>
      </c>
      <c r="BQ30" s="1341">
        <f t="shared" si="62"/>
        <v>4954757.5725306235</v>
      </c>
      <c r="BR30" s="1341">
        <f t="shared" si="63"/>
        <v>4954757.5725306235</v>
      </c>
      <c r="BS30" s="1341">
        <f t="shared" si="64"/>
        <v>1091056.6991999999</v>
      </c>
      <c r="BT30" s="1341">
        <f t="shared" si="64"/>
        <v>3107597.7196</v>
      </c>
      <c r="BU30" s="1341">
        <f t="shared" si="64"/>
        <v>61743.147862704005</v>
      </c>
      <c r="BV30" s="1341">
        <f t="shared" si="65"/>
        <v>0</v>
      </c>
      <c r="BW30" s="1341">
        <f t="shared" si="19"/>
        <v>0</v>
      </c>
      <c r="BX30" s="1341">
        <f t="shared" si="66"/>
        <v>4260397.5666627046</v>
      </c>
      <c r="BY30" s="1341">
        <f t="shared" si="67"/>
        <v>4260397.5666627046</v>
      </c>
      <c r="BZ30" s="1349">
        <f t="shared" si="68"/>
        <v>6729830.9313999992</v>
      </c>
      <c r="CA30" s="1349">
        <f t="shared" si="42"/>
        <v>172314.16689332799</v>
      </c>
      <c r="CB30" s="1349">
        <f t="shared" si="69"/>
        <v>6902145.0982933268</v>
      </c>
      <c r="CC30" s="1351">
        <f t="shared" si="70"/>
        <v>2600.0969483444728</v>
      </c>
      <c r="CD30" s="1351">
        <f t="shared" si="43"/>
        <v>2564.6635589170405</v>
      </c>
      <c r="CE30" s="1351">
        <f t="shared" si="44"/>
        <v>2599.2004304419984</v>
      </c>
      <c r="CF30" s="1351">
        <f t="shared" si="20"/>
        <v>2599.2004304419988</v>
      </c>
      <c r="CG30" s="1367">
        <f t="shared" si="21"/>
        <v>8293872.5574676646</v>
      </c>
      <c r="CH30" s="1367">
        <f t="shared" si="45"/>
        <v>3123.2952675439228</v>
      </c>
      <c r="CI30" s="1408"/>
      <c r="CJ30" s="1341">
        <f t="shared" si="71"/>
        <v>6694.4882850792956</v>
      </c>
      <c r="CK30" s="1341">
        <f t="shared" si="22"/>
        <v>4980.7701878363514</v>
      </c>
      <c r="CL30" s="1341">
        <f>CJ30+CK30</f>
        <v>11675.258472915648</v>
      </c>
      <c r="CM30" s="1341">
        <f t="shared" si="48"/>
        <v>11675.258472915648</v>
      </c>
      <c r="CN30" s="1341">
        <f t="shared" si="49"/>
        <v>0</v>
      </c>
      <c r="CO30" s="1341">
        <f t="shared" si="23"/>
        <v>10606882.598367665</v>
      </c>
      <c r="CP30" s="1341">
        <f t="shared" si="24"/>
        <v>8642336.9097843114</v>
      </c>
      <c r="CQ30" s="1341">
        <f t="shared" si="25"/>
        <v>8642336.9097843133</v>
      </c>
      <c r="CR30" s="1341">
        <f t="shared" si="26"/>
        <v>4954757.5725306235</v>
      </c>
      <c r="CS30" s="1341">
        <f t="shared" si="27"/>
        <v>9984350.0453412961</v>
      </c>
      <c r="CT30" s="1341">
        <f t="shared" si="28"/>
        <v>9984350.045341298</v>
      </c>
      <c r="CU30" s="1341">
        <f t="shared" si="29"/>
        <v>4260397.5666627046</v>
      </c>
      <c r="CV30" s="1341">
        <f t="shared" si="50"/>
        <v>18626686.955125608</v>
      </c>
      <c r="CW30" s="1350">
        <f t="shared" si="51"/>
        <v>5485.3620847160291</v>
      </c>
      <c r="CX30" s="1341">
        <f t="shared" si="30"/>
        <v>6503449.0131843127</v>
      </c>
      <c r="CY30" s="1341">
        <f t="shared" si="31"/>
        <v>7439296.0325412964</v>
      </c>
      <c r="CZ30" s="1341"/>
      <c r="DA30" s="1341">
        <f t="shared" si="32"/>
        <v>9811999.6321501564</v>
      </c>
      <c r="DB30" s="1341">
        <f t="shared" si="33"/>
        <v>11675258.472915649</v>
      </c>
      <c r="DC30" s="1574"/>
      <c r="DD30" s="40">
        <f t="shared" si="52"/>
        <v>140.39019052207786</v>
      </c>
      <c r="DE30" s="1574"/>
      <c r="DF30" s="1574"/>
      <c r="DG30" s="1574"/>
      <c r="DH30" s="1487">
        <v>3424.8225545326604</v>
      </c>
      <c r="DI30" s="1487">
        <v>2674.8400116339062</v>
      </c>
      <c r="DJ30" s="1487">
        <f t="shared" si="57"/>
        <v>749.98254289875422</v>
      </c>
      <c r="DK30" s="1408"/>
      <c r="DL30" s="1352">
        <f t="shared" si="34"/>
        <v>0</v>
      </c>
      <c r="DM30" s="1352">
        <f t="shared" si="35"/>
        <v>0</v>
      </c>
      <c r="DN30" s="1352">
        <f t="shared" si="36"/>
        <v>0</v>
      </c>
      <c r="DO30" s="1312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</row>
    <row r="31" spans="1:142" s="50" customFormat="1" ht="79.5" hidden="1" customHeight="1">
      <c r="A31" s="6">
        <f t="shared" si="53"/>
        <v>18</v>
      </c>
      <c r="B31" s="1330" t="s">
        <v>13</v>
      </c>
      <c r="C31" s="1781" t="s">
        <v>85</v>
      </c>
      <c r="D31" s="1781" t="s">
        <v>82</v>
      </c>
      <c r="E31" s="1407" t="s">
        <v>231</v>
      </c>
      <c r="F31" s="1407" t="s">
        <v>8</v>
      </c>
      <c r="G31" s="1332" t="s">
        <v>967</v>
      </c>
      <c r="H31" s="1758">
        <v>2889.53</v>
      </c>
      <c r="I31" s="1708">
        <v>2889.53</v>
      </c>
      <c r="J31" s="1762">
        <v>2731.28</v>
      </c>
      <c r="K31" s="1762"/>
      <c r="L31" s="1762"/>
      <c r="M31" s="1772"/>
      <c r="N31" s="1763">
        <v>3438.24</v>
      </c>
      <c r="O31" s="1708">
        <v>3438.24</v>
      </c>
      <c r="P31" s="1762">
        <v>2801.48</v>
      </c>
      <c r="Q31" s="1773"/>
      <c r="R31" s="1773"/>
      <c r="S31" s="1772"/>
      <c r="T31" s="1770">
        <v>14.884</v>
      </c>
      <c r="U31" s="1769">
        <v>1194.6890000000001</v>
      </c>
      <c r="V31" s="1769"/>
      <c r="W31" s="1769"/>
      <c r="X31" s="1769"/>
      <c r="Y31" s="1769"/>
      <c r="Z31" s="1766">
        <f t="shared" si="8"/>
        <v>1209.5730000000001</v>
      </c>
      <c r="AA31" s="1771">
        <v>11.163</v>
      </c>
      <c r="AB31" s="1769">
        <v>896.01700000000005</v>
      </c>
      <c r="AC31" s="1769"/>
      <c r="AD31" s="1769"/>
      <c r="AE31" s="1769"/>
      <c r="AF31" s="1769"/>
      <c r="AG31" s="1768">
        <f t="shared" si="58"/>
        <v>907.18000000000006</v>
      </c>
      <c r="AH31" s="1774">
        <f t="shared" si="59"/>
        <v>2116.7530000000002</v>
      </c>
      <c r="AI31" s="1775">
        <f t="shared" si="82"/>
        <v>26.047000000000001</v>
      </c>
      <c r="AJ31" s="1775">
        <f t="shared" si="82"/>
        <v>2090.7060000000001</v>
      </c>
      <c r="AK31" s="1775">
        <f t="shared" si="82"/>
        <v>0</v>
      </c>
      <c r="AL31" s="1775">
        <f t="shared" si="82"/>
        <v>0</v>
      </c>
      <c r="AM31" s="1775">
        <f t="shared" si="82"/>
        <v>0</v>
      </c>
      <c r="AN31" s="1775"/>
      <c r="AO31" s="1775">
        <f t="shared" si="79"/>
        <v>2116.7530000000002</v>
      </c>
      <c r="AP31" s="1775">
        <f t="shared" si="80"/>
        <v>2116.7530000000002</v>
      </c>
      <c r="AQ31" s="1776">
        <f t="shared" si="81"/>
        <v>2116.7530000000002</v>
      </c>
      <c r="AR31" s="1777">
        <f t="shared" si="41"/>
        <v>0</v>
      </c>
      <c r="AS31" s="1778">
        <f t="shared" si="83"/>
        <v>75263.587910000002</v>
      </c>
      <c r="AT31" s="1775">
        <f t="shared" si="83"/>
        <v>5710303.4836800005</v>
      </c>
      <c r="AU31" s="1775">
        <f t="shared" si="83"/>
        <v>0</v>
      </c>
      <c r="AV31" s="1779">
        <f t="shared" si="83"/>
        <v>0</v>
      </c>
      <c r="AW31" s="1779">
        <f t="shared" si="83"/>
        <v>0</v>
      </c>
      <c r="AX31" s="1775">
        <f t="shared" si="54"/>
        <v>5785567.0715900008</v>
      </c>
      <c r="AY31" s="1775">
        <f t="shared" si="55"/>
        <v>5785567.0715900008</v>
      </c>
      <c r="AZ31" s="1775">
        <f t="shared" si="84"/>
        <v>89555.837279999992</v>
      </c>
      <c r="BA31" s="1775">
        <f t="shared" si="84"/>
        <v>5857071.0448799999</v>
      </c>
      <c r="BB31" s="1775">
        <f t="shared" si="84"/>
        <v>0</v>
      </c>
      <c r="BC31" s="1775">
        <f t="shared" si="84"/>
        <v>0</v>
      </c>
      <c r="BD31" s="1775">
        <f t="shared" si="84"/>
        <v>0</v>
      </c>
      <c r="BE31" s="1775">
        <f t="shared" si="56"/>
        <v>5946626.8821599996</v>
      </c>
      <c r="BF31" s="1776">
        <f t="shared" si="60"/>
        <v>5946626.8821599996</v>
      </c>
      <c r="BG31" s="1737">
        <f t="shared" si="85"/>
        <v>189.05953425000001</v>
      </c>
      <c r="BH31" s="1738">
        <f t="shared" si="86"/>
        <v>570.5477849199998</v>
      </c>
      <c r="BI31" s="1740">
        <f>BG31+BH31</f>
        <v>759.60731916999976</v>
      </c>
      <c r="BJ31" s="1399"/>
      <c r="BK31" s="1641"/>
      <c r="BL31" s="1341">
        <f t="shared" si="61"/>
        <v>43007.764520000004</v>
      </c>
      <c r="BM31" s="1341">
        <f t="shared" si="61"/>
        <v>3263030.1719200006</v>
      </c>
      <c r="BN31" s="1341">
        <f t="shared" si="61"/>
        <v>0</v>
      </c>
      <c r="BO31" s="1341">
        <f t="shared" si="61"/>
        <v>0</v>
      </c>
      <c r="BP31" s="1341">
        <f t="shared" si="61"/>
        <v>0</v>
      </c>
      <c r="BQ31" s="1341">
        <f t="shared" si="62"/>
        <v>3306037.9364400008</v>
      </c>
      <c r="BR31" s="1341">
        <f t="shared" si="63"/>
        <v>3306037.9364400008</v>
      </c>
      <c r="BS31" s="1341">
        <f t="shared" si="64"/>
        <v>38381.073120000001</v>
      </c>
      <c r="BT31" s="1341">
        <f t="shared" si="64"/>
        <v>2510173.7051600004</v>
      </c>
      <c r="BU31" s="1341">
        <f t="shared" si="64"/>
        <v>0</v>
      </c>
      <c r="BV31" s="1341">
        <f t="shared" si="65"/>
        <v>0</v>
      </c>
      <c r="BW31" s="1341">
        <f t="shared" si="19"/>
        <v>0</v>
      </c>
      <c r="BX31" s="1341">
        <f t="shared" si="66"/>
        <v>2548554.7782800002</v>
      </c>
      <c r="BY31" s="1341">
        <f t="shared" si="67"/>
        <v>2548554.7782800002</v>
      </c>
      <c r="BZ31" s="1349">
        <f t="shared" si="68"/>
        <v>5773203.8770800009</v>
      </c>
      <c r="CA31" s="1349">
        <f t="shared" si="68"/>
        <v>0</v>
      </c>
      <c r="CB31" s="1349">
        <f t="shared" si="69"/>
        <v>5773203.8770800009</v>
      </c>
      <c r="CC31" s="1351">
        <f t="shared" si="70"/>
        <v>2761.3657190824538</v>
      </c>
      <c r="CD31" s="1351" t="e">
        <f t="shared" si="70"/>
        <v>#DIV/0!</v>
      </c>
      <c r="CE31" s="1351">
        <f t="shared" si="44"/>
        <v>2761.3657190824538</v>
      </c>
      <c r="CF31" s="1351">
        <f t="shared" si="20"/>
        <v>2761.3657190824538</v>
      </c>
      <c r="CG31" s="1367">
        <f t="shared" si="21"/>
        <v>6532811.196250001</v>
      </c>
      <c r="CH31" s="1367">
        <f t="shared" si="45"/>
        <v>3124.6914660645739</v>
      </c>
      <c r="CI31" s="1408"/>
      <c r="CJ31" s="1341">
        <f t="shared" si="71"/>
        <v>4158.8022715199995</v>
      </c>
      <c r="CK31" s="1341">
        <f t="shared" si="22"/>
        <v>3119.1025632000001</v>
      </c>
      <c r="CL31" s="1341">
        <f>CJ31+CK31</f>
        <v>7277.9048347199996</v>
      </c>
      <c r="CM31" s="1341">
        <f t="shared" si="48"/>
        <v>7277.9048347199996</v>
      </c>
      <c r="CN31" s="1341">
        <f t="shared" si="49"/>
        <v>0</v>
      </c>
      <c r="CO31" s="1341">
        <f t="shared" si="23"/>
        <v>6614200.0338900005</v>
      </c>
      <c r="CP31" s="1341">
        <f t="shared" si="24"/>
        <v>5785567.0715900008</v>
      </c>
      <c r="CQ31" s="1341">
        <f t="shared" si="25"/>
        <v>5785567.0715900008</v>
      </c>
      <c r="CR31" s="1341">
        <f t="shared" si="26"/>
        <v>3306037.9364400008</v>
      </c>
      <c r="CS31" s="1341">
        <f t="shared" si="27"/>
        <v>5946626.8821599996</v>
      </c>
      <c r="CT31" s="1341">
        <f t="shared" si="28"/>
        <v>5946626.8821599996</v>
      </c>
      <c r="CU31" s="1341">
        <f t="shared" si="29"/>
        <v>2548554.7782800002</v>
      </c>
      <c r="CV31" s="1341">
        <f t="shared" si="50"/>
        <v>11732193.953749999</v>
      </c>
      <c r="CW31" s="1350">
        <f t="shared" si="51"/>
        <v>5542.5427311311232</v>
      </c>
      <c r="CX31" s="1341">
        <f t="shared" si="30"/>
        <v>5710303.4836800005</v>
      </c>
      <c r="CY31" s="1341">
        <f t="shared" si="31"/>
        <v>5857071.0448799999</v>
      </c>
      <c r="CZ31" s="1341"/>
      <c r="DA31" s="1341">
        <f t="shared" si="32"/>
        <v>6116421.2960900012</v>
      </c>
      <c r="DB31" s="1341">
        <f t="shared" si="33"/>
        <v>7277904.8347199997</v>
      </c>
      <c r="DC31" s="1574"/>
      <c r="DD31" s="40">
        <f t="shared" si="52"/>
        <v>125.88383468556866</v>
      </c>
      <c r="DE31" s="1574"/>
      <c r="DF31" s="1574"/>
      <c r="DG31" s="1574"/>
      <c r="DH31" s="1487">
        <v>2123.0289027607564</v>
      </c>
      <c r="DI31" s="1487">
        <v>2096.9808966315286</v>
      </c>
      <c r="DJ31" s="1487">
        <f t="shared" si="57"/>
        <v>26.048006129227815</v>
      </c>
      <c r="DK31" s="1408"/>
      <c r="DL31" s="1352">
        <f t="shared" si="34"/>
        <v>0</v>
      </c>
      <c r="DM31" s="1352">
        <f t="shared" si="35"/>
        <v>0</v>
      </c>
      <c r="DN31" s="1352">
        <f t="shared" si="36"/>
        <v>0</v>
      </c>
      <c r="DO31" s="1312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</row>
    <row r="32" spans="1:142" s="50" customFormat="1" ht="81" hidden="1" customHeight="1">
      <c r="A32" s="6">
        <f t="shared" si="53"/>
        <v>19</v>
      </c>
      <c r="B32" s="1330" t="s">
        <v>13</v>
      </c>
      <c r="C32" s="1781" t="s">
        <v>86</v>
      </c>
      <c r="D32" s="1781" t="s">
        <v>82</v>
      </c>
      <c r="E32" s="1407" t="s">
        <v>231</v>
      </c>
      <c r="F32" s="1407" t="s">
        <v>8</v>
      </c>
      <c r="G32" s="1332" t="s">
        <v>967</v>
      </c>
      <c r="H32" s="1759">
        <v>2889.53</v>
      </c>
      <c r="I32" s="1761">
        <v>2889.53</v>
      </c>
      <c r="J32" s="1762">
        <v>2449.06</v>
      </c>
      <c r="K32" s="1762">
        <v>2449.06</v>
      </c>
      <c r="L32" s="1356"/>
      <c r="M32" s="1357"/>
      <c r="N32" s="1763">
        <v>3438.24</v>
      </c>
      <c r="O32" s="1708">
        <v>3438.24</v>
      </c>
      <c r="P32" s="1762">
        <v>2801.48</v>
      </c>
      <c r="Q32" s="1762">
        <v>2801.48</v>
      </c>
      <c r="R32" s="1359"/>
      <c r="S32" s="1357"/>
      <c r="T32" s="1770">
        <v>915.4</v>
      </c>
      <c r="U32" s="1769">
        <v>1553.8910000000001</v>
      </c>
      <c r="V32" s="1769">
        <v>195.74280399999998</v>
      </c>
      <c r="W32" s="1361"/>
      <c r="X32" s="1361"/>
      <c r="Y32" s="1361"/>
      <c r="Z32" s="1342">
        <f t="shared" si="8"/>
        <v>2665.0338040000001</v>
      </c>
      <c r="AA32" s="1771">
        <v>561.34</v>
      </c>
      <c r="AB32" s="1769">
        <v>1165.42</v>
      </c>
      <c r="AC32" s="1769">
        <v>110.747996</v>
      </c>
      <c r="AD32" s="1361"/>
      <c r="AE32" s="1361"/>
      <c r="AF32" s="1361"/>
      <c r="AG32" s="1344">
        <f t="shared" si="58"/>
        <v>1837.5079960000003</v>
      </c>
      <c r="AH32" s="1340">
        <f t="shared" si="59"/>
        <v>4502.5418000000009</v>
      </c>
      <c r="AI32" s="1341">
        <f t="shared" si="82"/>
        <v>1476.74</v>
      </c>
      <c r="AJ32" s="1341">
        <f t="shared" si="82"/>
        <v>2719.3110000000001</v>
      </c>
      <c r="AK32" s="1341">
        <f t="shared" si="82"/>
        <v>306.49079999999998</v>
      </c>
      <c r="AL32" s="1341">
        <f t="shared" si="82"/>
        <v>0</v>
      </c>
      <c r="AM32" s="1341">
        <f t="shared" si="82"/>
        <v>0</v>
      </c>
      <c r="AN32" s="1341"/>
      <c r="AO32" s="1341">
        <f t="shared" si="79"/>
        <v>4502.5418</v>
      </c>
      <c r="AP32" s="1341">
        <f t="shared" si="80"/>
        <v>4502.5418</v>
      </c>
      <c r="AQ32" s="1409">
        <f t="shared" si="81"/>
        <v>4502.5418</v>
      </c>
      <c r="AR32" s="1346">
        <f t="shared" si="41"/>
        <v>0</v>
      </c>
      <c r="AS32" s="1347">
        <f t="shared" si="83"/>
        <v>4267084.5322000002</v>
      </c>
      <c r="AT32" s="1341">
        <f t="shared" si="83"/>
        <v>6659755.7976600006</v>
      </c>
      <c r="AU32" s="1341">
        <f t="shared" si="83"/>
        <v>750614.35864799994</v>
      </c>
      <c r="AV32" s="1341">
        <f t="shared" si="83"/>
        <v>0</v>
      </c>
      <c r="AW32" s="1341">
        <f t="shared" si="83"/>
        <v>0</v>
      </c>
      <c r="AX32" s="1341">
        <f t="shared" si="54"/>
        <v>11677454.688508002</v>
      </c>
      <c r="AY32" s="1341">
        <f t="shared" si="55"/>
        <v>11677454.688508002</v>
      </c>
      <c r="AZ32" s="1341">
        <f t="shared" si="84"/>
        <v>5077386.5375999995</v>
      </c>
      <c r="BA32" s="1341">
        <f t="shared" si="84"/>
        <v>7618095.3802800002</v>
      </c>
      <c r="BB32" s="1341">
        <f t="shared" si="84"/>
        <v>858627.84638399992</v>
      </c>
      <c r="BC32" s="1341">
        <f t="shared" si="84"/>
        <v>0</v>
      </c>
      <c r="BD32" s="1341">
        <f t="shared" si="84"/>
        <v>0</v>
      </c>
      <c r="BE32" s="1341">
        <f t="shared" si="56"/>
        <v>13554109.764263999</v>
      </c>
      <c r="BF32" s="1345">
        <f t="shared" si="60"/>
        <v>13554109.764263999</v>
      </c>
      <c r="BG32" s="1737">
        <f t="shared" si="85"/>
        <v>770.66120164788038</v>
      </c>
      <c r="BH32" s="1738">
        <f t="shared" si="86"/>
        <v>812.61273313295987</v>
      </c>
      <c r="BI32" s="1740">
        <f>BG32+BH32</f>
        <v>1583.2739347808401</v>
      </c>
      <c r="BJ32" s="1399"/>
      <c r="BK32" s="1641"/>
      <c r="BL32" s="1341">
        <f t="shared" si="61"/>
        <v>2645075.7620000001</v>
      </c>
      <c r="BM32" s="1341">
        <f t="shared" si="61"/>
        <v>3805572.2924600001</v>
      </c>
      <c r="BN32" s="1341">
        <f t="shared" si="61"/>
        <v>479385.87156423996</v>
      </c>
      <c r="BO32" s="1341">
        <f t="shared" si="61"/>
        <v>0</v>
      </c>
      <c r="BP32" s="1341">
        <f t="shared" si="61"/>
        <v>0</v>
      </c>
      <c r="BQ32" s="1341">
        <f t="shared" si="62"/>
        <v>6930033.9260242404</v>
      </c>
      <c r="BR32" s="1341">
        <f t="shared" si="63"/>
        <v>6930033.9260242404</v>
      </c>
      <c r="BS32" s="1341">
        <f t="shared" si="64"/>
        <v>1930021.6416</v>
      </c>
      <c r="BT32" s="1341">
        <f t="shared" si="64"/>
        <v>3264900.8216000004</v>
      </c>
      <c r="BU32" s="1341">
        <f t="shared" si="64"/>
        <v>310258.29583408003</v>
      </c>
      <c r="BV32" s="1341">
        <f t="shared" si="65"/>
        <v>0</v>
      </c>
      <c r="BW32" s="1341">
        <f t="shared" si="19"/>
        <v>0</v>
      </c>
      <c r="BX32" s="1341">
        <f t="shared" si="66"/>
        <v>5505180.7590340804</v>
      </c>
      <c r="BY32" s="1341">
        <f t="shared" si="67"/>
        <v>5505180.7590340804</v>
      </c>
      <c r="BZ32" s="1349">
        <f t="shared" si="68"/>
        <v>7070473.1140600005</v>
      </c>
      <c r="CA32" s="1349">
        <f t="shared" si="68"/>
        <v>789644.16739832005</v>
      </c>
      <c r="CB32" s="1349">
        <f t="shared" si="69"/>
        <v>7860117.2814583201</v>
      </c>
      <c r="CC32" s="1351">
        <f t="shared" si="70"/>
        <v>2600.0972724561479</v>
      </c>
      <c r="CD32" s="1351">
        <f t="shared" si="70"/>
        <v>2576.4041445887451</v>
      </c>
      <c r="CE32" s="1351">
        <f t="shared" si="44"/>
        <v>2597.6973380934337</v>
      </c>
      <c r="CF32" s="1351">
        <f t="shared" si="20"/>
        <v>2597.6973380934337</v>
      </c>
      <c r="CG32" s="1367">
        <f t="shared" si="21"/>
        <v>9443391.2162391618</v>
      </c>
      <c r="CH32" s="1367">
        <f t="shared" si="45"/>
        <v>3120.9549866217812</v>
      </c>
      <c r="CI32" s="1408"/>
      <c r="CJ32" s="1341">
        <f t="shared" si="71"/>
        <v>9163.0258262649604</v>
      </c>
      <c r="CK32" s="1341">
        <f t="shared" si="22"/>
        <v>6317.7934921670403</v>
      </c>
      <c r="CL32" s="1341">
        <f>CJ32+CK32</f>
        <v>15480.819318432001</v>
      </c>
      <c r="CM32" s="1341">
        <f t="shared" si="48"/>
        <v>15480.819318432001</v>
      </c>
      <c r="CN32" s="1341">
        <f t="shared" si="49"/>
        <v>0</v>
      </c>
      <c r="CO32" s="1341">
        <f t="shared" si="23"/>
        <v>14018488.619839162</v>
      </c>
      <c r="CP32" s="1341">
        <f t="shared" si="24"/>
        <v>11677454.688508002</v>
      </c>
      <c r="CQ32" s="1341">
        <f t="shared" si="25"/>
        <v>11677454.688508</v>
      </c>
      <c r="CR32" s="1341">
        <f t="shared" si="26"/>
        <v>6930033.9260242404</v>
      </c>
      <c r="CS32" s="1341">
        <f t="shared" si="27"/>
        <v>13554109.764263999</v>
      </c>
      <c r="CT32" s="1341">
        <f t="shared" si="28"/>
        <v>13554109.764264001</v>
      </c>
      <c r="CU32" s="1341">
        <f t="shared" si="29"/>
        <v>5505180.7590340804</v>
      </c>
      <c r="CV32" s="1341">
        <f t="shared" si="50"/>
        <v>25231564.452771999</v>
      </c>
      <c r="CW32" s="1350">
        <f t="shared" si="51"/>
        <v>5603.8490198518521</v>
      </c>
      <c r="CX32" s="1341">
        <f t="shared" si="30"/>
        <v>7410370.1563080009</v>
      </c>
      <c r="CY32" s="1341">
        <f t="shared" si="31"/>
        <v>8476723.2266639993</v>
      </c>
      <c r="CZ32" s="1341"/>
      <c r="DA32" s="1341">
        <f t="shared" si="32"/>
        <v>13010229.607354</v>
      </c>
      <c r="DB32" s="1341">
        <f t="shared" si="33"/>
        <v>15480819.318432</v>
      </c>
      <c r="DC32" s="1574"/>
      <c r="DD32" s="40">
        <f t="shared" si="52"/>
        <v>140.39019052207786</v>
      </c>
      <c r="DE32" s="1574"/>
      <c r="DF32" s="1574"/>
      <c r="DG32" s="1574"/>
      <c r="DH32" s="1487">
        <v>4690.5378951697967</v>
      </c>
      <c r="DI32" s="1487">
        <v>3097.7923313449865</v>
      </c>
      <c r="DJ32" s="1487">
        <f t="shared" si="57"/>
        <v>1592.7455638248102</v>
      </c>
      <c r="DK32" s="1408"/>
      <c r="DL32" s="1352">
        <f t="shared" si="34"/>
        <v>0</v>
      </c>
      <c r="DM32" s="1352">
        <f t="shared" si="35"/>
        <v>0</v>
      </c>
      <c r="DN32" s="1352">
        <f t="shared" si="36"/>
        <v>0</v>
      </c>
      <c r="DO32" s="1312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</row>
    <row r="33" spans="1:155" s="1313" customFormat="1" ht="79.5" hidden="1" customHeight="1">
      <c r="A33" s="6">
        <f t="shared" si="53"/>
        <v>20</v>
      </c>
      <c r="B33" s="1330" t="s">
        <v>13</v>
      </c>
      <c r="C33" s="1839" t="s">
        <v>55</v>
      </c>
      <c r="D33" s="1706" t="s">
        <v>141</v>
      </c>
      <c r="E33" s="1331">
        <v>4632024035</v>
      </c>
      <c r="F33" s="1330" t="s">
        <v>8</v>
      </c>
      <c r="G33" s="1682" t="s">
        <v>1034</v>
      </c>
      <c r="H33" s="1700">
        <v>3314.9639999999995</v>
      </c>
      <c r="I33" s="1701">
        <f t="shared" ref="I33:I34" si="87">H33</f>
        <v>3314.9639999999995</v>
      </c>
      <c r="J33" s="1707">
        <v>1779.86</v>
      </c>
      <c r="K33" s="1707">
        <v>1779.86</v>
      </c>
      <c r="L33" s="1700">
        <v>3314.9639999999995</v>
      </c>
      <c r="M33" s="1390"/>
      <c r="N33" s="1703">
        <f t="shared" ref="N33:N34" si="88">3132.14*1.2</f>
        <v>3758.5679999999998</v>
      </c>
      <c r="O33" s="1704">
        <f t="shared" ref="O33:O34" si="89">N33</f>
        <v>3758.5679999999998</v>
      </c>
      <c r="P33" s="1708">
        <v>2035.98</v>
      </c>
      <c r="Q33" s="1708">
        <v>2035.98</v>
      </c>
      <c r="R33" s="1704">
        <f t="shared" ref="R33:R34" si="90">O33</f>
        <v>3758.5679999999998</v>
      </c>
      <c r="S33" s="1390"/>
      <c r="T33" s="1751">
        <v>707.95700000000011</v>
      </c>
      <c r="U33" s="1736">
        <v>4678.34</v>
      </c>
      <c r="V33" s="1736">
        <v>892.58</v>
      </c>
      <c r="W33" s="1392"/>
      <c r="X33" s="1392"/>
      <c r="Y33" s="1392"/>
      <c r="Z33" s="1841">
        <f>SUM(T33:W33)</f>
        <v>6278.8770000000004</v>
      </c>
      <c r="AA33" s="1752">
        <v>463.63</v>
      </c>
      <c r="AB33" s="1736">
        <v>3504.23</v>
      </c>
      <c r="AC33" s="1736">
        <v>892.58</v>
      </c>
      <c r="AD33" s="1334"/>
      <c r="AE33" s="1334"/>
      <c r="AF33" s="1334"/>
      <c r="AG33" s="1395">
        <f>SUM(AA33:AD33)</f>
        <v>4860.4400000000005</v>
      </c>
      <c r="AH33" s="1391">
        <f t="shared" si="59"/>
        <v>11139.317000000001</v>
      </c>
      <c r="AI33" s="1334">
        <f t="shared" si="82"/>
        <v>1171.587</v>
      </c>
      <c r="AJ33" s="1334">
        <f t="shared" si="82"/>
        <v>8182.57</v>
      </c>
      <c r="AK33" s="1334">
        <f t="shared" si="82"/>
        <v>1785.16</v>
      </c>
      <c r="AL33" s="1334">
        <f t="shared" si="82"/>
        <v>0</v>
      </c>
      <c r="AM33" s="1334">
        <f t="shared" si="82"/>
        <v>0</v>
      </c>
      <c r="AN33" s="1334"/>
      <c r="AO33" s="1334">
        <f t="shared" si="79"/>
        <v>11139.316999999999</v>
      </c>
      <c r="AP33" s="1334">
        <f t="shared" si="80"/>
        <v>11139.316999999999</v>
      </c>
      <c r="AQ33" s="1479">
        <f t="shared" si="81"/>
        <v>11139.316999999999</v>
      </c>
      <c r="AR33" s="1417">
        <f t="shared" si="41"/>
        <v>0</v>
      </c>
      <c r="AS33" s="1333">
        <f t="shared" si="83"/>
        <v>3883768.7278679996</v>
      </c>
      <c r="AT33" s="1334">
        <f t="shared" si="83"/>
        <v>14563829.040199999</v>
      </c>
      <c r="AU33" s="1334">
        <f t="shared" si="83"/>
        <v>3177334.8775999998</v>
      </c>
      <c r="AV33" s="1334">
        <f t="shared" si="83"/>
        <v>0</v>
      </c>
      <c r="AW33" s="1334">
        <f t="shared" si="83"/>
        <v>0</v>
      </c>
      <c r="AX33" s="1334">
        <f t="shared" si="54"/>
        <v>21624932.645667996</v>
      </c>
      <c r="AY33" s="1334">
        <f t="shared" si="55"/>
        <v>21624932.645667996</v>
      </c>
      <c r="AZ33" s="1334">
        <f>O33*AI33</f>
        <v>4403489.407416</v>
      </c>
      <c r="BA33" s="1334">
        <f t="shared" si="84"/>
        <v>16659548.8686</v>
      </c>
      <c r="BB33" s="1334">
        <f t="shared" si="84"/>
        <v>3634550.0568000004</v>
      </c>
      <c r="BC33" s="1334">
        <f t="shared" si="84"/>
        <v>0</v>
      </c>
      <c r="BD33" s="1334">
        <f t="shared" si="84"/>
        <v>0</v>
      </c>
      <c r="BE33" s="1334">
        <f t="shared" si="56"/>
        <v>24697588.332816001</v>
      </c>
      <c r="BF33" s="1396">
        <f t="shared" si="60"/>
        <v>24697588.332816001</v>
      </c>
      <c r="BG33" s="1397">
        <f t="shared" ref="BG33:BG34" si="91">(H33-J33)/1.2*U33/1000+(H33-K33)/1.2*V33/1000</f>
        <v>7126.6179797333325</v>
      </c>
      <c r="BH33" s="1398">
        <f t="shared" ref="BH33:BH34" si="92">(O33-P33)*AB33/1000/1.2+(O33-Q33)/1.2*AC33/1000</f>
        <v>6311.5767868999992</v>
      </c>
      <c r="BI33" s="1399">
        <f t="shared" ref="BI33:BI34" si="93">BG33+BH33</f>
        <v>13438.194766633333</v>
      </c>
      <c r="BJ33" s="1399"/>
      <c r="BK33" s="1641"/>
      <c r="BL33" s="1334">
        <f t="shared" si="61"/>
        <v>2346851.9685479999</v>
      </c>
      <c r="BM33" s="1334">
        <f t="shared" si="61"/>
        <v>8326790.2324000001</v>
      </c>
      <c r="BN33" s="1334">
        <f t="shared" si="61"/>
        <v>1588667.4387999999</v>
      </c>
      <c r="BO33" s="1334">
        <f t="shared" si="61"/>
        <v>0</v>
      </c>
      <c r="BP33" s="1334">
        <f t="shared" si="61"/>
        <v>0</v>
      </c>
      <c r="BQ33" s="1334">
        <f t="shared" si="62"/>
        <v>12262309.639748</v>
      </c>
      <c r="BR33" s="1334">
        <f t="shared" si="63"/>
        <v>12262309.639748</v>
      </c>
      <c r="BS33" s="1334">
        <f>O33*AA33</f>
        <v>1742584.8818399999</v>
      </c>
      <c r="BT33" s="1334">
        <f t="shared" si="64"/>
        <v>7134542.1954000005</v>
      </c>
      <c r="BU33" s="1334">
        <f t="shared" si="64"/>
        <v>1817275.0284000002</v>
      </c>
      <c r="BV33" s="1334">
        <f t="shared" si="65"/>
        <v>0</v>
      </c>
      <c r="BW33" s="1334">
        <f t="shared" si="19"/>
        <v>0</v>
      </c>
      <c r="BX33" s="1334">
        <f t="shared" si="66"/>
        <v>10694402.105640002</v>
      </c>
      <c r="BY33" s="1334">
        <f t="shared" si="67"/>
        <v>10694402.105640002</v>
      </c>
      <c r="BZ33" s="1389">
        <f t="shared" si="68"/>
        <v>15461332.4278</v>
      </c>
      <c r="CA33" s="1389">
        <f t="shared" si="68"/>
        <v>3405942.4671999998</v>
      </c>
      <c r="CB33" s="1389">
        <f t="shared" si="69"/>
        <v>18867274.895</v>
      </c>
      <c r="CC33" s="1420">
        <f t="shared" si="70"/>
        <v>1889.5447796719125</v>
      </c>
      <c r="CD33" s="1420">
        <f t="shared" si="70"/>
        <v>1907.9199999999998</v>
      </c>
      <c r="CE33" s="1420">
        <f t="shared" si="44"/>
        <v>1892.8356702077606</v>
      </c>
      <c r="CF33" s="1420">
        <f t="shared" si="20"/>
        <v>1892.8356702077606</v>
      </c>
      <c r="CG33" s="1421">
        <f>I33*(U33+V33)+O33*(AB33+AC33)</f>
        <v>34993108.61496</v>
      </c>
      <c r="CH33" s="1421">
        <f t="shared" si="45"/>
        <v>3510.6396957943284</v>
      </c>
      <c r="CI33" s="1389"/>
      <c r="CJ33" s="1756">
        <f t="shared" ref="CJ33:CJ35" si="94">H33*Z33/1000</f>
        <v>20814.251215427998</v>
      </c>
      <c r="CK33" s="1756">
        <f t="shared" si="22"/>
        <v>18268.29424992</v>
      </c>
      <c r="CL33" s="1756">
        <f t="shared" ref="CL33:CL35" si="95">CJ33+CK33</f>
        <v>39082.545465347997</v>
      </c>
      <c r="CM33" s="1334">
        <f t="shared" si="48"/>
        <v>41867.880418056004</v>
      </c>
      <c r="CN33" s="1334">
        <f t="shared" si="49"/>
        <v>2785.3349527080063</v>
      </c>
      <c r="CO33" s="1410">
        <f>H33*Z33+N33*AG33</f>
        <v>39082545.465347998</v>
      </c>
      <c r="CP33" s="1334">
        <f t="shared" si="24"/>
        <v>21624932.645667996</v>
      </c>
      <c r="CQ33" s="1334">
        <f t="shared" si="25"/>
        <v>21624932.645667996</v>
      </c>
      <c r="CR33" s="1334">
        <f t="shared" si="26"/>
        <v>12262309.639748</v>
      </c>
      <c r="CS33" s="1334">
        <f>O33*AI33+P33*AJ33+Q33*AK33+R33*AL33</f>
        <v>24697588.332816001</v>
      </c>
      <c r="CT33" s="1334">
        <f>O33*AI33+P33*(AJ33+AK33)+R33*AL33</f>
        <v>24697588.332816001</v>
      </c>
      <c r="CU33" s="1334">
        <f>O33*AA33+P33*AB33+Q33*AC33+R33*AD33</f>
        <v>10694402.105640002</v>
      </c>
      <c r="CV33" s="1334">
        <f t="shared" si="50"/>
        <v>46322520.978483997</v>
      </c>
      <c r="CW33" s="1422">
        <f t="shared" si="51"/>
        <v>4158.4704859807825</v>
      </c>
      <c r="CX33" s="1334">
        <f t="shared" si="30"/>
        <v>17741163.917799998</v>
      </c>
      <c r="CY33" s="1334">
        <f t="shared" si="31"/>
        <v>20294098.9254</v>
      </c>
      <c r="CZ33" s="1334"/>
      <c r="DA33" s="1334">
        <f t="shared" si="32"/>
        <v>36926434.839587994</v>
      </c>
      <c r="DB33" s="1334">
        <f>N33*AI33+N33*AJ33+N33*AK33+N33*AL33</f>
        <v>41867880.418055996</v>
      </c>
      <c r="DC33" s="1223"/>
      <c r="DD33" s="1224">
        <f>N33/J33*100</f>
        <v>211.17211466070364</v>
      </c>
      <c r="DE33" s="1223"/>
      <c r="DF33" s="1223"/>
      <c r="DG33" s="1223"/>
      <c r="DH33" s="1578"/>
      <c r="DI33" s="1494"/>
      <c r="DJ33" s="1494"/>
      <c r="DK33" s="1389"/>
      <c r="DL33" s="1419">
        <f t="shared" si="34"/>
        <v>0</v>
      </c>
      <c r="DM33" s="1419">
        <f t="shared" si="35"/>
        <v>0</v>
      </c>
      <c r="DN33" s="1419">
        <f t="shared" si="36"/>
        <v>0</v>
      </c>
      <c r="DO33" s="1315"/>
      <c r="DP33" s="1315"/>
      <c r="DQ33" s="1315"/>
      <c r="DR33" s="1315"/>
      <c r="DS33" s="1315"/>
      <c r="DT33" s="1315"/>
      <c r="DU33" s="1315"/>
      <c r="DV33" s="1315"/>
      <c r="DW33" s="1315"/>
      <c r="DX33" s="1315"/>
      <c r="DY33" s="1315"/>
      <c r="DZ33" s="1315"/>
      <c r="EA33" s="1315"/>
      <c r="EB33" s="1315"/>
      <c r="EC33" s="1315"/>
      <c r="ED33" s="1315"/>
      <c r="EE33" s="1315"/>
      <c r="EF33" s="1315"/>
      <c r="EG33" s="1315"/>
      <c r="EH33" s="1315"/>
      <c r="EI33" s="1315"/>
      <c r="EJ33" s="1315"/>
      <c r="EK33" s="1315"/>
      <c r="EL33" s="1315"/>
    </row>
    <row r="34" spans="1:155" s="1313" customFormat="1" ht="76.5" hidden="1" customHeight="1">
      <c r="A34" s="6">
        <f t="shared" si="53"/>
        <v>21</v>
      </c>
      <c r="B34" s="1330" t="s">
        <v>14</v>
      </c>
      <c r="C34" s="1840" t="s">
        <v>87</v>
      </c>
      <c r="D34" s="1706" t="s">
        <v>142</v>
      </c>
      <c r="E34" s="1331">
        <v>4632024035</v>
      </c>
      <c r="F34" s="1330" t="s">
        <v>8</v>
      </c>
      <c r="G34" s="1682" t="s">
        <v>1034</v>
      </c>
      <c r="H34" s="1700">
        <v>3314.9639999999995</v>
      </c>
      <c r="I34" s="1701">
        <f t="shared" si="87"/>
        <v>3314.9639999999995</v>
      </c>
      <c r="J34" s="1707">
        <v>2484</v>
      </c>
      <c r="K34" s="1335"/>
      <c r="L34" s="1700">
        <v>3314.9639999999995</v>
      </c>
      <c r="M34" s="1390"/>
      <c r="N34" s="1703">
        <f t="shared" si="88"/>
        <v>3758.5679999999998</v>
      </c>
      <c r="O34" s="1704">
        <f t="shared" si="89"/>
        <v>3758.5679999999998</v>
      </c>
      <c r="P34" s="1708">
        <v>2719.98</v>
      </c>
      <c r="Q34" s="1335"/>
      <c r="R34" s="1704">
        <f t="shared" si="90"/>
        <v>3758.5679999999998</v>
      </c>
      <c r="S34" s="1390"/>
      <c r="T34" s="1751">
        <v>1558.2</v>
      </c>
      <c r="U34" s="1810">
        <v>1196.144</v>
      </c>
      <c r="V34" s="1810">
        <v>0</v>
      </c>
      <c r="W34" s="1334"/>
      <c r="X34" s="1334"/>
      <c r="Y34" s="1334"/>
      <c r="Z34" s="1841">
        <f t="shared" si="8"/>
        <v>2754.3440000000001</v>
      </c>
      <c r="AA34" s="1752">
        <v>904.8</v>
      </c>
      <c r="AB34" s="1736">
        <v>933.03899999999999</v>
      </c>
      <c r="AC34" s="1736">
        <v>0</v>
      </c>
      <c r="AD34" s="1334"/>
      <c r="AE34" s="1334"/>
      <c r="AF34" s="1334"/>
      <c r="AG34" s="1395">
        <f t="shared" si="58"/>
        <v>1837.8389999999999</v>
      </c>
      <c r="AH34" s="1391">
        <f t="shared" si="59"/>
        <v>4592.183</v>
      </c>
      <c r="AI34" s="1334">
        <f t="shared" si="82"/>
        <v>2463</v>
      </c>
      <c r="AJ34" s="1334">
        <f t="shared" si="82"/>
        <v>2129.183</v>
      </c>
      <c r="AK34" s="1334">
        <f t="shared" si="82"/>
        <v>0</v>
      </c>
      <c r="AL34" s="1334">
        <f t="shared" si="82"/>
        <v>0</v>
      </c>
      <c r="AM34" s="1334">
        <f t="shared" si="82"/>
        <v>0</v>
      </c>
      <c r="AN34" s="1334"/>
      <c r="AO34" s="1334">
        <f t="shared" si="79"/>
        <v>4592.183</v>
      </c>
      <c r="AP34" s="1334">
        <f t="shared" si="80"/>
        <v>4592.183</v>
      </c>
      <c r="AQ34" s="1396">
        <f t="shared" si="81"/>
        <v>4592.183</v>
      </c>
      <c r="AR34" s="1417">
        <f t="shared" si="41"/>
        <v>0</v>
      </c>
      <c r="AS34" s="1333">
        <f t="shared" si="83"/>
        <v>8164756.3319999985</v>
      </c>
      <c r="AT34" s="1334">
        <f t="shared" si="83"/>
        <v>5288890.5719999997</v>
      </c>
      <c r="AU34" s="1334">
        <f t="shared" si="83"/>
        <v>0</v>
      </c>
      <c r="AV34" s="1334">
        <f t="shared" si="83"/>
        <v>0</v>
      </c>
      <c r="AW34" s="1334">
        <f t="shared" si="83"/>
        <v>0</v>
      </c>
      <c r="AX34" s="1334">
        <f t="shared" si="54"/>
        <v>13453646.903999999</v>
      </c>
      <c r="AY34" s="1334">
        <f t="shared" si="55"/>
        <v>13453646.903999999</v>
      </c>
      <c r="AZ34" s="1334">
        <f t="shared" si="84"/>
        <v>9257352.9839999992</v>
      </c>
      <c r="BA34" s="1334">
        <f t="shared" si="84"/>
        <v>5791335.1763399998</v>
      </c>
      <c r="BB34" s="1334">
        <f t="shared" si="84"/>
        <v>0</v>
      </c>
      <c r="BC34" s="1334">
        <f t="shared" si="84"/>
        <v>0</v>
      </c>
      <c r="BD34" s="1334">
        <f t="shared" si="84"/>
        <v>0</v>
      </c>
      <c r="BE34" s="1334">
        <f t="shared" si="56"/>
        <v>15048688.16034</v>
      </c>
      <c r="BF34" s="1396">
        <f t="shared" si="60"/>
        <v>15048688.16034</v>
      </c>
      <c r="BG34" s="1397">
        <f t="shared" si="91"/>
        <v>828.29383567999946</v>
      </c>
      <c r="BH34" s="1398">
        <f t="shared" si="92"/>
        <v>807.53592410999988</v>
      </c>
      <c r="BI34" s="1399">
        <f t="shared" si="93"/>
        <v>1635.8297597899993</v>
      </c>
      <c r="BJ34" s="1399"/>
      <c r="BK34" s="1641"/>
      <c r="BL34" s="1334">
        <f t="shared" si="61"/>
        <v>5165376.9047999997</v>
      </c>
      <c r="BM34" s="1334">
        <f t="shared" si="61"/>
        <v>2971221.696</v>
      </c>
      <c r="BN34" s="1334">
        <f t="shared" si="61"/>
        <v>0</v>
      </c>
      <c r="BO34" s="1334">
        <f t="shared" si="61"/>
        <v>0</v>
      </c>
      <c r="BP34" s="1334">
        <f t="shared" si="61"/>
        <v>0</v>
      </c>
      <c r="BQ34" s="1334">
        <f t="shared" si="62"/>
        <v>8136598.6008000001</v>
      </c>
      <c r="BR34" s="1334">
        <f t="shared" si="63"/>
        <v>8136598.6008000001</v>
      </c>
      <c r="BS34" s="1334">
        <f t="shared" si="64"/>
        <v>3400752.3263999997</v>
      </c>
      <c r="BT34" s="1334">
        <f t="shared" si="64"/>
        <v>2537847.41922</v>
      </c>
      <c r="BU34" s="1334">
        <f t="shared" si="64"/>
        <v>0</v>
      </c>
      <c r="BV34" s="1334">
        <f t="shared" si="65"/>
        <v>0</v>
      </c>
      <c r="BW34" s="1334">
        <f t="shared" si="19"/>
        <v>0</v>
      </c>
      <c r="BX34" s="1334">
        <f t="shared" si="66"/>
        <v>5938599.7456199992</v>
      </c>
      <c r="BY34" s="1334">
        <f t="shared" si="67"/>
        <v>5938599.7456199992</v>
      </c>
      <c r="BZ34" s="1389">
        <f t="shared" si="68"/>
        <v>5509069.11522</v>
      </c>
      <c r="CA34" s="1389">
        <f t="shared" si="68"/>
        <v>0</v>
      </c>
      <c r="CB34" s="1389">
        <f t="shared" si="69"/>
        <v>5509069.11522</v>
      </c>
      <c r="CC34" s="1420">
        <f t="shared" si="70"/>
        <v>2587.4098728103691</v>
      </c>
      <c r="CD34" s="1420" t="e">
        <f t="shared" si="70"/>
        <v>#DIV/0!</v>
      </c>
      <c r="CE34" s="1420">
        <f t="shared" si="44"/>
        <v>2587.4098728103691</v>
      </c>
      <c r="CF34" s="1420">
        <f t="shared" si="20"/>
        <v>2587.4098728103691</v>
      </c>
      <c r="CG34" s="1421">
        <f t="shared" si="21"/>
        <v>7472064.8269679993</v>
      </c>
      <c r="CH34" s="1421">
        <f t="shared" si="45"/>
        <v>3509.3577334442361</v>
      </c>
      <c r="CI34" s="1389"/>
      <c r="CJ34" s="1756">
        <f t="shared" si="94"/>
        <v>9130.551203615998</v>
      </c>
      <c r="CK34" s="1756">
        <f t="shared" si="22"/>
        <v>6907.6428545519993</v>
      </c>
      <c r="CL34" s="1756">
        <f t="shared" si="95"/>
        <v>16038.194058167997</v>
      </c>
      <c r="CM34" s="1334">
        <f t="shared" si="48"/>
        <v>17260.032073943999</v>
      </c>
      <c r="CN34" s="1334">
        <f t="shared" si="49"/>
        <v>1221.8380157760021</v>
      </c>
      <c r="CO34" s="1334">
        <f t="shared" si="23"/>
        <v>16038194.058167998</v>
      </c>
      <c r="CP34" s="1334">
        <f t="shared" si="24"/>
        <v>13453646.903999999</v>
      </c>
      <c r="CQ34" s="1334">
        <f t="shared" si="25"/>
        <v>13453646.903999999</v>
      </c>
      <c r="CR34" s="1334">
        <f t="shared" si="26"/>
        <v>8136598.6008000001</v>
      </c>
      <c r="CS34" s="1334">
        <f t="shared" si="27"/>
        <v>15048688.16034</v>
      </c>
      <c r="CT34" s="1334">
        <f t="shared" si="28"/>
        <v>15048688.16034</v>
      </c>
      <c r="CU34" s="1334">
        <f t="shared" si="29"/>
        <v>5938599.7456199992</v>
      </c>
      <c r="CV34" s="1334">
        <f t="shared" si="50"/>
        <v>28502335.064339999</v>
      </c>
      <c r="CW34" s="1422">
        <f t="shared" si="51"/>
        <v>6206.7071508996914</v>
      </c>
      <c r="CX34" s="1334">
        <f t="shared" si="30"/>
        <v>5288890.5719999997</v>
      </c>
      <c r="CY34" s="1334">
        <f t="shared" si="31"/>
        <v>5791335.1763399998</v>
      </c>
      <c r="CZ34" s="1334"/>
      <c r="DA34" s="1334">
        <f t="shared" si="32"/>
        <v>15222921.326411996</v>
      </c>
      <c r="DB34" s="1334">
        <f t="shared" si="33"/>
        <v>17260032.073943999</v>
      </c>
      <c r="DC34" s="1223"/>
      <c r="DD34" s="1224">
        <f t="shared" si="52"/>
        <v>151.3111111111111</v>
      </c>
      <c r="DE34" s="1223"/>
      <c r="DF34" s="1223"/>
      <c r="DG34" s="1223"/>
      <c r="DH34" s="1494"/>
      <c r="DI34" s="1494"/>
      <c r="DJ34" s="1494"/>
      <c r="DK34" s="1389"/>
      <c r="DL34" s="1419">
        <f t="shared" si="34"/>
        <v>0</v>
      </c>
      <c r="DM34" s="1419">
        <f t="shared" si="35"/>
        <v>0</v>
      </c>
      <c r="DN34" s="1419">
        <f t="shared" si="36"/>
        <v>0</v>
      </c>
      <c r="DO34" s="819"/>
      <c r="DP34" s="1315"/>
      <c r="DQ34" s="1315"/>
      <c r="DR34" s="1315"/>
      <c r="DS34" s="1315"/>
      <c r="DT34" s="1315"/>
      <c r="DU34" s="1315"/>
      <c r="DV34" s="1315"/>
      <c r="DW34" s="1315"/>
      <c r="DX34" s="1315"/>
      <c r="DY34" s="1315"/>
      <c r="DZ34" s="1315"/>
      <c r="EA34" s="1315"/>
      <c r="EB34" s="1315"/>
      <c r="EC34" s="1315"/>
      <c r="ED34" s="1315"/>
      <c r="EE34" s="1315"/>
      <c r="EF34" s="1315"/>
      <c r="EG34" s="1315"/>
      <c r="EH34" s="1315"/>
      <c r="EI34" s="1315"/>
      <c r="EJ34" s="1315"/>
      <c r="EK34" s="1315"/>
      <c r="EL34" s="1315"/>
    </row>
    <row r="35" spans="1:155" s="50" customFormat="1" ht="84" hidden="1" customHeight="1">
      <c r="A35" s="6">
        <f t="shared" si="53"/>
        <v>22</v>
      </c>
      <c r="B35" s="1330"/>
      <c r="C35" s="1782" t="s">
        <v>60</v>
      </c>
      <c r="D35" s="1782" t="s">
        <v>136</v>
      </c>
      <c r="E35" s="1331">
        <v>4607000231</v>
      </c>
      <c r="F35" s="1330" t="s">
        <v>8</v>
      </c>
      <c r="G35" s="1332" t="s">
        <v>1038</v>
      </c>
      <c r="H35" s="1796">
        <v>2965.5</v>
      </c>
      <c r="I35" s="1797">
        <v>2965.5</v>
      </c>
      <c r="J35" s="1798">
        <v>2965.5</v>
      </c>
      <c r="K35" s="1798"/>
      <c r="L35" s="1798">
        <v>2965.5</v>
      </c>
      <c r="M35" s="1799"/>
      <c r="N35" s="1800">
        <v>3337.3</v>
      </c>
      <c r="O35" s="1798">
        <v>3337.3</v>
      </c>
      <c r="P35" s="1798">
        <v>3337.3</v>
      </c>
      <c r="Q35" s="1798"/>
      <c r="R35" s="1798">
        <v>3337.3</v>
      </c>
      <c r="S35" s="1799"/>
      <c r="T35" s="1373">
        <v>1050</v>
      </c>
      <c r="U35" s="1388">
        <v>313</v>
      </c>
      <c r="V35" s="1375"/>
      <c r="W35" s="1372">
        <v>95</v>
      </c>
      <c r="X35" s="1372">
        <v>0</v>
      </c>
      <c r="Y35" s="1372">
        <v>4723.8599999999997</v>
      </c>
      <c r="Z35" s="1393">
        <f>SUM(T35:W35)</f>
        <v>1458</v>
      </c>
      <c r="AA35" s="1383">
        <v>792.41300000000001</v>
      </c>
      <c r="AB35" s="1372">
        <v>307</v>
      </c>
      <c r="AC35" s="1375">
        <v>0</v>
      </c>
      <c r="AD35" s="1372">
        <v>61</v>
      </c>
      <c r="AE35" s="1375">
        <v>0</v>
      </c>
      <c r="AF35" s="1372">
        <v>3149.24</v>
      </c>
      <c r="AG35" s="1395">
        <f>SUM(AA35:AD35)</f>
        <v>1160.413</v>
      </c>
      <c r="AH35" s="1391">
        <f>Z35+AG35</f>
        <v>2618.413</v>
      </c>
      <c r="AI35" s="1415">
        <f>T35+AA35</f>
        <v>1842.413</v>
      </c>
      <c r="AJ35" s="1334">
        <f>U35+AB35</f>
        <v>620</v>
      </c>
      <c r="AK35" s="1334">
        <f t="shared" si="82"/>
        <v>0</v>
      </c>
      <c r="AL35" s="1415">
        <f>W35+AD35</f>
        <v>156</v>
      </c>
      <c r="AM35" s="1338">
        <f>X35+AE35</f>
        <v>0</v>
      </c>
      <c r="AN35" s="1338">
        <f>Y35+AF35</f>
        <v>7873.0999999999995</v>
      </c>
      <c r="AO35" s="1338">
        <f>SUM(AI35:AN35)</f>
        <v>10491.512999999999</v>
      </c>
      <c r="AP35" s="1338">
        <f>SUM(AI35:AM35)</f>
        <v>2618.413</v>
      </c>
      <c r="AQ35" s="1416">
        <f>SUM(AI35:AL35)</f>
        <v>2618.413</v>
      </c>
      <c r="AR35" s="1417">
        <f t="shared" si="41"/>
        <v>0</v>
      </c>
      <c r="AS35" s="1333">
        <f t="shared" si="83"/>
        <v>5463675.7515000002</v>
      </c>
      <c r="AT35" s="1334">
        <f t="shared" si="83"/>
        <v>1838610</v>
      </c>
      <c r="AU35" s="1334">
        <f t="shared" si="83"/>
        <v>0</v>
      </c>
      <c r="AV35" s="1334">
        <f t="shared" si="83"/>
        <v>462618</v>
      </c>
      <c r="AW35" s="1334">
        <f t="shared" si="83"/>
        <v>0</v>
      </c>
      <c r="AX35" s="1334">
        <f t="shared" si="54"/>
        <v>7764903.7515000002</v>
      </c>
      <c r="AY35" s="1334">
        <f t="shared" si="55"/>
        <v>7764903.7515000002</v>
      </c>
      <c r="AZ35" s="1334">
        <f t="shared" si="84"/>
        <v>6148684.9049000004</v>
      </c>
      <c r="BA35" s="1334">
        <f t="shared" si="84"/>
        <v>2069126</v>
      </c>
      <c r="BB35" s="1334">
        <f t="shared" si="84"/>
        <v>0</v>
      </c>
      <c r="BC35" s="1334">
        <f t="shared" si="84"/>
        <v>520618.80000000005</v>
      </c>
      <c r="BD35" s="1334">
        <f t="shared" si="84"/>
        <v>0</v>
      </c>
      <c r="BE35" s="1334">
        <f t="shared" si="56"/>
        <v>8738429.7049000002</v>
      </c>
      <c r="BF35" s="1396">
        <f t="shared" si="60"/>
        <v>8738429.7049000002</v>
      </c>
      <c r="BG35" s="1418"/>
      <c r="BH35" s="1334"/>
      <c r="BI35" s="1334">
        <f t="shared" si="7"/>
        <v>0</v>
      </c>
      <c r="BJ35" s="1419">
        <v>7764.8952787105445</v>
      </c>
      <c r="BK35" s="1642"/>
      <c r="BL35" s="1334">
        <f>I35*T35</f>
        <v>3113775</v>
      </c>
      <c r="BM35" s="1334">
        <f>J35*U35</f>
        <v>928201.5</v>
      </c>
      <c r="BN35" s="1334">
        <f t="shared" si="61"/>
        <v>0</v>
      </c>
      <c r="BO35" s="1334">
        <f>L35*W35</f>
        <v>281722.5</v>
      </c>
      <c r="BP35" s="1334">
        <f>M35*X35</f>
        <v>0</v>
      </c>
      <c r="BQ35" s="1334">
        <f>BL35+BM35+BN35+BO35+BP35</f>
        <v>4323699</v>
      </c>
      <c r="BR35" s="1334">
        <f>BQ35-BP35</f>
        <v>4323699</v>
      </c>
      <c r="BS35" s="1334">
        <f t="shared" si="64"/>
        <v>2644519.9049</v>
      </c>
      <c r="BT35" s="1334">
        <f t="shared" si="64"/>
        <v>1024551.1000000001</v>
      </c>
      <c r="BU35" s="1334">
        <f t="shared" si="64"/>
        <v>0</v>
      </c>
      <c r="BV35" s="1334">
        <f>R35*W35</f>
        <v>317043.5</v>
      </c>
      <c r="BW35" s="1334">
        <f>S35*AE35</f>
        <v>0</v>
      </c>
      <c r="BX35" s="1334">
        <f>BS35+BT35+BU35+BV35+BW35</f>
        <v>3986114.5049000001</v>
      </c>
      <c r="BY35" s="1334">
        <f>BX35-BW35</f>
        <v>3986114.5049000001</v>
      </c>
      <c r="BZ35" s="1389">
        <f>BM35+BT35</f>
        <v>1952752.6</v>
      </c>
      <c r="CA35" s="1389">
        <f>BN35+BU35</f>
        <v>0</v>
      </c>
      <c r="CB35" s="1389">
        <f>BZ35+CA35</f>
        <v>1952752.6</v>
      </c>
      <c r="CC35" s="1420">
        <f>BZ35/AJ35</f>
        <v>3149.6009677419356</v>
      </c>
      <c r="CD35" s="1420" t="e">
        <f>CA35/AK35</f>
        <v>#DIV/0!</v>
      </c>
      <c r="CE35" s="1420">
        <f t="shared" si="44"/>
        <v>3149.6009677419356</v>
      </c>
      <c r="CF35" s="1389">
        <f t="shared" si="20"/>
        <v>3149.6009677419356</v>
      </c>
      <c r="CG35" s="1421">
        <f t="shared" si="21"/>
        <v>1952752.6</v>
      </c>
      <c r="CH35" s="1421">
        <f t="shared" si="45"/>
        <v>3149.6009677419356</v>
      </c>
      <c r="CI35" s="1389"/>
      <c r="CJ35" s="1756">
        <f t="shared" si="94"/>
        <v>4323.6989999999996</v>
      </c>
      <c r="CK35" s="1756">
        <f t="shared" si="22"/>
        <v>3872.6463049000004</v>
      </c>
      <c r="CL35" s="1756">
        <f t="shared" si="95"/>
        <v>8196.3453049</v>
      </c>
      <c r="CM35" s="1341">
        <f t="shared" si="48"/>
        <v>8738.4297048999997</v>
      </c>
      <c r="CN35" s="1341">
        <f t="shared" si="49"/>
        <v>542.08439999999973</v>
      </c>
      <c r="CO35" s="1334">
        <f t="shared" si="23"/>
        <v>8196345.3048999999</v>
      </c>
      <c r="CP35" s="1334">
        <f t="shared" si="24"/>
        <v>7764903.7515000002</v>
      </c>
      <c r="CQ35" s="1334">
        <f t="shared" si="25"/>
        <v>7764903.7515000002</v>
      </c>
      <c r="CR35" s="1334">
        <f t="shared" si="26"/>
        <v>4323699</v>
      </c>
      <c r="CS35" s="1334">
        <f t="shared" si="27"/>
        <v>8738429.7049000002</v>
      </c>
      <c r="CT35" s="1334">
        <f t="shared" si="28"/>
        <v>8738429.7049000002</v>
      </c>
      <c r="CU35" s="1334">
        <f t="shared" si="29"/>
        <v>3872646.3048999999</v>
      </c>
      <c r="CV35" s="1334">
        <f t="shared" si="50"/>
        <v>16503333.4564</v>
      </c>
      <c r="CW35" s="1422">
        <f t="shared" si="51"/>
        <v>6302.8</v>
      </c>
      <c r="CX35" s="1334">
        <f t="shared" si="30"/>
        <v>1838610</v>
      </c>
      <c r="CY35" s="1334">
        <f t="shared" si="31"/>
        <v>2069126</v>
      </c>
      <c r="CZ35" s="1334"/>
      <c r="DA35" s="1334">
        <f t="shared" si="32"/>
        <v>7764903.7515000002</v>
      </c>
      <c r="DB35" s="1334">
        <f t="shared" si="33"/>
        <v>8738429.7049000002</v>
      </c>
      <c r="DC35" s="1575"/>
      <c r="DD35" s="1224">
        <f t="shared" si="52"/>
        <v>112.53751475299276</v>
      </c>
      <c r="DE35" s="1575"/>
      <c r="DF35" s="1575"/>
      <c r="DG35" s="1575"/>
      <c r="DH35" s="1494">
        <v>2699.88</v>
      </c>
      <c r="DI35" s="1494">
        <v>645.88</v>
      </c>
      <c r="DJ35" s="1494">
        <f t="shared" si="57"/>
        <v>2054</v>
      </c>
      <c r="DK35" s="1423"/>
      <c r="DL35" s="1419">
        <f t="shared" si="34"/>
        <v>0</v>
      </c>
      <c r="DM35" s="1419">
        <f t="shared" si="35"/>
        <v>0</v>
      </c>
      <c r="DN35" s="1419">
        <f t="shared" si="36"/>
        <v>0</v>
      </c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</row>
    <row r="36" spans="1:155" s="50" customFormat="1" ht="70.5" hidden="1" customHeight="1">
      <c r="A36" s="6">
        <f t="shared" si="53"/>
        <v>23</v>
      </c>
      <c r="B36" s="1330"/>
      <c r="C36" s="1330"/>
      <c r="D36" s="1400" t="s">
        <v>877</v>
      </c>
      <c r="E36" s="1331">
        <v>4607005286</v>
      </c>
      <c r="F36" s="1330" t="s">
        <v>165</v>
      </c>
      <c r="G36" s="1332" t="s">
        <v>876</v>
      </c>
      <c r="H36" s="1685"/>
      <c r="I36" s="1686"/>
      <c r="J36" s="1335"/>
      <c r="K36" s="1335"/>
      <c r="L36" s="1335"/>
      <c r="M36" s="1336"/>
      <c r="N36" s="1403"/>
      <c r="O36" s="1335"/>
      <c r="P36" s="1335"/>
      <c r="Q36" s="1335"/>
      <c r="R36" s="1335"/>
      <c r="S36" s="1336"/>
      <c r="T36" s="1424">
        <v>0</v>
      </c>
      <c r="U36" s="1425"/>
      <c r="V36" s="1425">
        <v>0</v>
      </c>
      <c r="W36" s="1425"/>
      <c r="X36" s="1425"/>
      <c r="Y36" s="1425"/>
      <c r="Z36" s="1342"/>
      <c r="AA36" s="1426">
        <v>0</v>
      </c>
      <c r="AB36" s="1425">
        <v>0</v>
      </c>
      <c r="AC36" s="1425">
        <v>0</v>
      </c>
      <c r="AD36" s="1425"/>
      <c r="AE36" s="1425"/>
      <c r="AF36" s="1425"/>
      <c r="AG36" s="1344"/>
      <c r="AH36" s="1340">
        <f>Z36+AG36</f>
        <v>0</v>
      </c>
      <c r="AI36" s="1341">
        <f>T36+AA36</f>
        <v>0</v>
      </c>
      <c r="AJ36" s="1341">
        <f>U36+AB36</f>
        <v>0</v>
      </c>
      <c r="AK36" s="1341">
        <f>V36+AC36</f>
        <v>0</v>
      </c>
      <c r="AL36" s="1341">
        <f>W36+AD36</f>
        <v>0</v>
      </c>
      <c r="AM36" s="1341">
        <f>X36+AE36</f>
        <v>0</v>
      </c>
      <c r="AN36" s="1341">
        <v>0</v>
      </c>
      <c r="AO36" s="1341">
        <f>SUM(AI36:AN36)</f>
        <v>0</v>
      </c>
      <c r="AP36" s="1341">
        <f>SUM(AI36:AM36)</f>
        <v>0</v>
      </c>
      <c r="AQ36" s="1345">
        <f>SUM(AI36:AL36)</f>
        <v>0</v>
      </c>
      <c r="AR36" s="1346">
        <f t="shared" si="41"/>
        <v>0</v>
      </c>
      <c r="AS36" s="1347">
        <f t="shared" si="83"/>
        <v>0</v>
      </c>
      <c r="AT36" s="1341">
        <f t="shared" si="83"/>
        <v>0</v>
      </c>
      <c r="AU36" s="1341">
        <f t="shared" si="83"/>
        <v>0</v>
      </c>
      <c r="AV36" s="1341">
        <f t="shared" si="83"/>
        <v>0</v>
      </c>
      <c r="AW36" s="1341">
        <f t="shared" si="83"/>
        <v>0</v>
      </c>
      <c r="AX36" s="1341">
        <f t="shared" si="54"/>
        <v>0</v>
      </c>
      <c r="AY36" s="1341">
        <f t="shared" si="55"/>
        <v>0</v>
      </c>
      <c r="AZ36" s="1341">
        <f t="shared" si="84"/>
        <v>0</v>
      </c>
      <c r="BA36" s="1341">
        <f t="shared" si="84"/>
        <v>0</v>
      </c>
      <c r="BB36" s="1341">
        <f t="shared" si="84"/>
        <v>0</v>
      </c>
      <c r="BC36" s="1341">
        <f t="shared" si="84"/>
        <v>0</v>
      </c>
      <c r="BD36" s="1341">
        <f t="shared" si="84"/>
        <v>0</v>
      </c>
      <c r="BE36" s="1341">
        <f t="shared" si="56"/>
        <v>0</v>
      </c>
      <c r="BF36" s="1345">
        <f t="shared" si="60"/>
        <v>0</v>
      </c>
      <c r="BG36" s="1418"/>
      <c r="BH36" s="1334"/>
      <c r="BI36" s="1334"/>
      <c r="BJ36" s="1334">
        <v>731.11</v>
      </c>
      <c r="BK36" s="1643"/>
      <c r="BL36" s="1341">
        <f>I36*T36</f>
        <v>0</v>
      </c>
      <c r="BM36" s="1341">
        <f>J36*U36</f>
        <v>0</v>
      </c>
      <c r="BN36" s="1341">
        <f>K36*V36</f>
        <v>0</v>
      </c>
      <c r="BO36" s="1341">
        <f>L36*W36</f>
        <v>0</v>
      </c>
      <c r="BP36" s="1341">
        <f>M36*X36</f>
        <v>0</v>
      </c>
      <c r="BQ36" s="1341">
        <f>BL36+BM36+BN36+BO36+BP36</f>
        <v>0</v>
      </c>
      <c r="BR36" s="1341">
        <f>BQ36-BP36</f>
        <v>0</v>
      </c>
      <c r="BS36" s="1341">
        <f t="shared" si="64"/>
        <v>0</v>
      </c>
      <c r="BT36" s="1341">
        <f t="shared" si="64"/>
        <v>0</v>
      </c>
      <c r="BU36" s="1341">
        <f t="shared" si="64"/>
        <v>0</v>
      </c>
      <c r="BV36" s="1341">
        <f>R36*W36</f>
        <v>0</v>
      </c>
      <c r="BW36" s="1341">
        <f>S36*AE36</f>
        <v>0</v>
      </c>
      <c r="BX36" s="1341">
        <f>BS36+BT36+BU36+BV36+BW36</f>
        <v>0</v>
      </c>
      <c r="BY36" s="1341">
        <f>BX36-BW36</f>
        <v>0</v>
      </c>
      <c r="BZ36" s="1349">
        <f>BM36+BT36</f>
        <v>0</v>
      </c>
      <c r="CA36" s="1349">
        <f>BN36+BU36</f>
        <v>0</v>
      </c>
      <c r="CB36" s="1349">
        <f>BZ36+CA36</f>
        <v>0</v>
      </c>
      <c r="CC36" s="1351" t="e">
        <f>BZ36/AJ36</f>
        <v>#DIV/0!</v>
      </c>
      <c r="CD36" s="1351" t="e">
        <f>CA36/AK36</f>
        <v>#DIV/0!</v>
      </c>
      <c r="CE36" s="1351" t="e">
        <f t="shared" si="44"/>
        <v>#DIV/0!</v>
      </c>
      <c r="CF36" s="1349" t="e">
        <f t="shared" si="20"/>
        <v>#DIV/0!</v>
      </c>
      <c r="CG36" s="1367">
        <f t="shared" si="21"/>
        <v>0</v>
      </c>
      <c r="CH36" s="1367" t="e">
        <f t="shared" si="45"/>
        <v>#DIV/0!</v>
      </c>
      <c r="CI36" s="1423"/>
      <c r="CJ36" s="1341">
        <f t="shared" si="71"/>
        <v>0</v>
      </c>
      <c r="CK36" s="1341">
        <f t="shared" si="22"/>
        <v>0</v>
      </c>
      <c r="CL36" s="1341">
        <f t="shared" si="47"/>
        <v>0</v>
      </c>
      <c r="CM36" s="1341">
        <f t="shared" si="48"/>
        <v>0</v>
      </c>
      <c r="CN36" s="1341">
        <f t="shared" si="49"/>
        <v>0</v>
      </c>
      <c r="CO36" s="1341">
        <f t="shared" si="23"/>
        <v>0</v>
      </c>
      <c r="CP36" s="1341">
        <f t="shared" si="24"/>
        <v>0</v>
      </c>
      <c r="CQ36" s="1341">
        <f t="shared" si="25"/>
        <v>0</v>
      </c>
      <c r="CR36" s="1341">
        <f t="shared" si="26"/>
        <v>0</v>
      </c>
      <c r="CS36" s="1341">
        <f t="shared" si="27"/>
        <v>0</v>
      </c>
      <c r="CT36" s="1341">
        <f t="shared" si="28"/>
        <v>0</v>
      </c>
      <c r="CU36" s="1341">
        <f t="shared" si="29"/>
        <v>0</v>
      </c>
      <c r="CV36" s="1341">
        <f t="shared" si="50"/>
        <v>0</v>
      </c>
      <c r="CW36" s="1350" t="e">
        <f t="shared" si="51"/>
        <v>#DIV/0!</v>
      </c>
      <c r="CX36" s="1341">
        <f t="shared" si="30"/>
        <v>0</v>
      </c>
      <c r="CY36" s="1341">
        <f t="shared" si="31"/>
        <v>0</v>
      </c>
      <c r="CZ36" s="1341"/>
      <c r="DA36" s="1341">
        <f t="shared" si="32"/>
        <v>0</v>
      </c>
      <c r="DB36" s="1341">
        <f t="shared" si="33"/>
        <v>0</v>
      </c>
      <c r="DC36" s="1575"/>
      <c r="DD36" s="40" t="e">
        <f t="shared" si="52"/>
        <v>#DIV/0!</v>
      </c>
      <c r="DE36" s="1575"/>
      <c r="DF36" s="1575"/>
      <c r="DG36" s="1575"/>
      <c r="DH36" s="1487">
        <v>865.88</v>
      </c>
      <c r="DI36" s="1487">
        <v>0</v>
      </c>
      <c r="DJ36" s="1487">
        <f t="shared" si="57"/>
        <v>865.88</v>
      </c>
      <c r="DK36" s="1423"/>
      <c r="DL36" s="1352">
        <f t="shared" si="34"/>
        <v>0</v>
      </c>
      <c r="DM36" s="1352">
        <f t="shared" si="35"/>
        <v>0</v>
      </c>
      <c r="DN36" s="1352">
        <f t="shared" si="36"/>
        <v>0</v>
      </c>
      <c r="DO36" s="81"/>
      <c r="DP36" s="81"/>
      <c r="DQ36" s="81"/>
      <c r="DR36" s="81"/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/>
      <c r="ED36" s="81"/>
      <c r="EE36" s="81"/>
      <c r="EF36" s="81"/>
      <c r="EG36" s="81"/>
      <c r="EH36" s="81"/>
      <c r="EI36" s="81"/>
      <c r="EJ36" s="81"/>
      <c r="EK36" s="81"/>
      <c r="EL36" s="81"/>
    </row>
    <row r="37" spans="1:155" s="1313" customFormat="1" ht="82.5" hidden="1" customHeight="1">
      <c r="A37" s="6">
        <f t="shared" si="53"/>
        <v>24</v>
      </c>
      <c r="B37" s="1330" t="s">
        <v>14</v>
      </c>
      <c r="C37" s="1839" t="s">
        <v>60</v>
      </c>
      <c r="D37" s="1706" t="s">
        <v>141</v>
      </c>
      <c r="E37" s="1331">
        <v>4632024035</v>
      </c>
      <c r="F37" s="1330" t="s">
        <v>8</v>
      </c>
      <c r="G37" s="1682" t="s">
        <v>1034</v>
      </c>
      <c r="H37" s="1700">
        <v>3314.9639999999995</v>
      </c>
      <c r="I37" s="1701">
        <f t="shared" ref="I37:I42" si="96">H37</f>
        <v>3314.9639999999995</v>
      </c>
      <c r="J37" s="1707">
        <v>2950.21</v>
      </c>
      <c r="K37" s="1335"/>
      <c r="L37" s="1700">
        <v>3314.9639999999995</v>
      </c>
      <c r="M37" s="1390"/>
      <c r="N37" s="1703">
        <f t="shared" ref="N37:N42" si="97">3132.14*1.2</f>
        <v>3758.5679999999998</v>
      </c>
      <c r="O37" s="1704">
        <f t="shared" ref="O37:O42" si="98">N37</f>
        <v>3758.5679999999998</v>
      </c>
      <c r="P37" s="1708">
        <v>2979.71</v>
      </c>
      <c r="Q37" s="1335"/>
      <c r="R37" s="1704">
        <f t="shared" ref="R37:R42" si="99">O37</f>
        <v>3758.5679999999998</v>
      </c>
      <c r="S37" s="1390"/>
      <c r="T37" s="1751">
        <v>411.113</v>
      </c>
      <c r="U37" s="1736">
        <v>14.084</v>
      </c>
      <c r="V37" s="1736">
        <v>0</v>
      </c>
      <c r="W37" s="1392"/>
      <c r="X37" s="1392"/>
      <c r="Y37" s="1392"/>
      <c r="Z37" s="1841">
        <f t="shared" si="8"/>
        <v>425.197</v>
      </c>
      <c r="AA37" s="1752">
        <v>238.72800000000001</v>
      </c>
      <c r="AB37" s="1736">
        <v>11.718399179855201</v>
      </c>
      <c r="AC37" s="1736">
        <v>0</v>
      </c>
      <c r="AD37" s="1334"/>
      <c r="AE37" s="1334"/>
      <c r="AF37" s="1334"/>
      <c r="AG37" s="1395">
        <f t="shared" si="58"/>
        <v>250.44639917985521</v>
      </c>
      <c r="AH37" s="1391">
        <f t="shared" si="59"/>
        <v>675.64339917985524</v>
      </c>
      <c r="AI37" s="1334">
        <f t="shared" si="82"/>
        <v>649.84100000000001</v>
      </c>
      <c r="AJ37" s="1334">
        <f t="shared" si="82"/>
        <v>25.8023991798552</v>
      </c>
      <c r="AK37" s="1334">
        <f t="shared" si="82"/>
        <v>0</v>
      </c>
      <c r="AL37" s="1334">
        <f t="shared" si="82"/>
        <v>0</v>
      </c>
      <c r="AM37" s="1334">
        <f t="shared" si="82"/>
        <v>0</v>
      </c>
      <c r="AN37" s="1334"/>
      <c r="AO37" s="1334">
        <f>SUM(AI37:AN37)</f>
        <v>675.64339917985524</v>
      </c>
      <c r="AP37" s="1334">
        <f t="shared" si="80"/>
        <v>675.64339917985524</v>
      </c>
      <c r="AQ37" s="1396">
        <f t="shared" si="81"/>
        <v>675.64339917985524</v>
      </c>
      <c r="AR37" s="1417">
        <f t="shared" si="41"/>
        <v>0</v>
      </c>
      <c r="AS37" s="1333">
        <f t="shared" si="83"/>
        <v>2154199.5207239995</v>
      </c>
      <c r="AT37" s="1334">
        <f t="shared" si="83"/>
        <v>76122.496084400613</v>
      </c>
      <c r="AU37" s="1334">
        <f t="shared" si="83"/>
        <v>0</v>
      </c>
      <c r="AV37" s="1334">
        <f t="shared" si="83"/>
        <v>0</v>
      </c>
      <c r="AW37" s="1334">
        <f t="shared" si="83"/>
        <v>0</v>
      </c>
      <c r="AX37" s="1334">
        <f t="shared" si="54"/>
        <v>2230322.0168083999</v>
      </c>
      <c r="AY37" s="1334">
        <f t="shared" si="55"/>
        <v>2230322.0168083999</v>
      </c>
      <c r="AZ37" s="1334">
        <f t="shared" si="84"/>
        <v>2442471.5876879999</v>
      </c>
      <c r="BA37" s="1334">
        <f t="shared" si="84"/>
        <v>76883.666860206344</v>
      </c>
      <c r="BB37" s="1334">
        <f t="shared" si="84"/>
        <v>0</v>
      </c>
      <c r="BC37" s="1334">
        <f t="shared" si="84"/>
        <v>0</v>
      </c>
      <c r="BD37" s="1334">
        <f t="shared" si="84"/>
        <v>0</v>
      </c>
      <c r="BE37" s="1334">
        <f t="shared" si="56"/>
        <v>2519355.2545482065</v>
      </c>
      <c r="BF37" s="1396">
        <f t="shared" si="60"/>
        <v>2519355.2545482065</v>
      </c>
      <c r="BG37" s="1397">
        <f t="shared" ref="BG37:BG42" si="100">(H37-J37)/1.2*U37/1000+(H37-K37)/1.2*V37/1000</f>
        <v>4.2809961133333276</v>
      </c>
      <c r="BH37" s="1398">
        <f t="shared" ref="BH37:BH42" si="101">(O37-P37)*AB37/1000/1.2+(O37-Q37)/1.2*AC37/1000</f>
        <v>7.6058074570197167</v>
      </c>
      <c r="BI37" s="1399">
        <f t="shared" ref="BI37:BI42" si="102">BG37+BH37</f>
        <v>11.886803570353045</v>
      </c>
      <c r="BJ37" s="1334"/>
      <c r="BK37" s="1643"/>
      <c r="BL37" s="1334">
        <f t="shared" si="61"/>
        <v>1362824.7949319999</v>
      </c>
      <c r="BM37" s="1334">
        <f t="shared" si="61"/>
        <v>41550.757639999996</v>
      </c>
      <c r="BN37" s="1334">
        <f t="shared" si="61"/>
        <v>0</v>
      </c>
      <c r="BO37" s="1334">
        <f t="shared" si="61"/>
        <v>0</v>
      </c>
      <c r="BP37" s="1334">
        <f t="shared" si="61"/>
        <v>0</v>
      </c>
      <c r="BQ37" s="1334">
        <f t="shared" si="62"/>
        <v>1404375.5525719998</v>
      </c>
      <c r="BR37" s="1334">
        <f t="shared" si="63"/>
        <v>1404375.5525719998</v>
      </c>
      <c r="BS37" s="1334">
        <f t="shared" si="64"/>
        <v>897275.42150399997</v>
      </c>
      <c r="BT37" s="1334">
        <f t="shared" si="64"/>
        <v>34917.431220206337</v>
      </c>
      <c r="BU37" s="1334">
        <f t="shared" si="64"/>
        <v>0</v>
      </c>
      <c r="BV37" s="1334">
        <f t="shared" si="65"/>
        <v>0</v>
      </c>
      <c r="BW37" s="1334">
        <f t="shared" si="19"/>
        <v>0</v>
      </c>
      <c r="BX37" s="1334">
        <f t="shared" si="66"/>
        <v>932192.85272420628</v>
      </c>
      <c r="BY37" s="1334">
        <f t="shared" si="67"/>
        <v>932192.85272420628</v>
      </c>
      <c r="BZ37" s="1389">
        <f t="shared" si="68"/>
        <v>76468.188860206341</v>
      </c>
      <c r="CA37" s="1389">
        <f t="shared" si="68"/>
        <v>0</v>
      </c>
      <c r="CB37" s="1389">
        <f t="shared" si="69"/>
        <v>76468.188860206341</v>
      </c>
      <c r="CC37" s="1420">
        <f t="shared" si="70"/>
        <v>2963.6076989269905</v>
      </c>
      <c r="CD37" s="1420" t="e">
        <f t="shared" si="70"/>
        <v>#DIV/0!</v>
      </c>
      <c r="CE37" s="1420">
        <f t="shared" si="44"/>
        <v>2963.6076989269905</v>
      </c>
      <c r="CF37" s="1420">
        <f t="shared" si="20"/>
        <v>2963.6076989269905</v>
      </c>
      <c r="CG37" s="1421">
        <f t="shared" si="21"/>
        <v>90732.353144629989</v>
      </c>
      <c r="CH37" s="1421">
        <f t="shared" si="45"/>
        <v>3516.4308757562276</v>
      </c>
      <c r="CI37" s="1389"/>
      <c r="CJ37" s="1756">
        <f t="shared" ref="CJ37:CJ42" si="103">H37*Z37/1000</f>
        <v>1409.5127479079999</v>
      </c>
      <c r="CK37" s="1756">
        <f t="shared" si="22"/>
        <v>941.31982167262993</v>
      </c>
      <c r="CL37" s="1756">
        <f t="shared" si="47"/>
        <v>2350.8325695806298</v>
      </c>
      <c r="CM37" s="1334">
        <f t="shared" si="48"/>
        <v>2539.45165956863</v>
      </c>
      <c r="CN37" s="1334">
        <f t="shared" si="49"/>
        <v>188.61908998800027</v>
      </c>
      <c r="CO37" s="1334">
        <f t="shared" si="23"/>
        <v>2350832.5695806299</v>
      </c>
      <c r="CP37" s="1334">
        <f t="shared" si="24"/>
        <v>2230322.0168083999</v>
      </c>
      <c r="CQ37" s="1334">
        <f t="shared" si="25"/>
        <v>2230322.0168083999</v>
      </c>
      <c r="CR37" s="1334">
        <f t="shared" si="26"/>
        <v>1404375.5525719998</v>
      </c>
      <c r="CS37" s="1334">
        <f t="shared" si="27"/>
        <v>2519355.2545482065</v>
      </c>
      <c r="CT37" s="1334">
        <f t="shared" si="28"/>
        <v>2519355.2545482065</v>
      </c>
      <c r="CU37" s="1334">
        <f t="shared" si="29"/>
        <v>932192.85272420628</v>
      </c>
      <c r="CV37" s="1334">
        <f t="shared" si="50"/>
        <v>4749677.2713566069</v>
      </c>
      <c r="CW37" s="1422">
        <f t="shared" si="51"/>
        <v>7029.8581724058995</v>
      </c>
      <c r="CX37" s="1334">
        <f t="shared" si="30"/>
        <v>76122.496084400613</v>
      </c>
      <c r="CY37" s="1334">
        <f t="shared" si="31"/>
        <v>76883.666860206344</v>
      </c>
      <c r="CZ37" s="1334"/>
      <c r="DA37" s="1334">
        <f t="shared" si="32"/>
        <v>2239733.5451188488</v>
      </c>
      <c r="DB37" s="1334">
        <f t="shared" si="33"/>
        <v>2539451.6595686302</v>
      </c>
      <c r="DC37" s="1223"/>
      <c r="DD37" s="1224">
        <f t="shared" si="52"/>
        <v>127.40001559211038</v>
      </c>
      <c r="DE37" s="1223"/>
      <c r="DF37" s="1223"/>
      <c r="DG37" s="1223"/>
      <c r="DH37" s="1494"/>
      <c r="DI37" s="1494"/>
      <c r="DJ37" s="1494"/>
      <c r="DK37" s="1389"/>
      <c r="DL37" s="1419">
        <f t="shared" si="34"/>
        <v>0</v>
      </c>
      <c r="DM37" s="1419">
        <f t="shared" si="35"/>
        <v>0</v>
      </c>
      <c r="DN37" s="1419">
        <f t="shared" si="36"/>
        <v>0</v>
      </c>
      <c r="DO37" s="819"/>
      <c r="DP37" s="1315"/>
      <c r="DQ37" s="1315"/>
      <c r="DR37" s="1315"/>
      <c r="DS37" s="1315"/>
      <c r="DT37" s="1315"/>
      <c r="DU37" s="1315"/>
      <c r="DV37" s="1315"/>
      <c r="DW37" s="1315"/>
      <c r="DX37" s="1315"/>
      <c r="DY37" s="1315"/>
      <c r="DZ37" s="1315"/>
      <c r="EA37" s="1315"/>
      <c r="EB37" s="1315"/>
      <c r="EC37" s="1315"/>
      <c r="ED37" s="1315"/>
      <c r="EE37" s="1315"/>
      <c r="EF37" s="1315"/>
      <c r="EG37" s="1315"/>
      <c r="EH37" s="1315"/>
      <c r="EI37" s="1315"/>
      <c r="EJ37" s="1315"/>
      <c r="EK37" s="1315"/>
      <c r="EL37" s="1315"/>
    </row>
    <row r="38" spans="1:155" s="1313" customFormat="1" ht="81" hidden="1" customHeight="1">
      <c r="A38" s="6">
        <f t="shared" si="53"/>
        <v>25</v>
      </c>
      <c r="B38" s="1330" t="s">
        <v>14</v>
      </c>
      <c r="C38" s="1839" t="s">
        <v>88</v>
      </c>
      <c r="D38" s="1706" t="s">
        <v>141</v>
      </c>
      <c r="E38" s="1331">
        <v>4632024035</v>
      </c>
      <c r="F38" s="1330" t="s">
        <v>8</v>
      </c>
      <c r="G38" s="1682" t="s">
        <v>1034</v>
      </c>
      <c r="H38" s="1700">
        <v>3314.9639999999995</v>
      </c>
      <c r="I38" s="1701">
        <f t="shared" si="96"/>
        <v>3314.9639999999995</v>
      </c>
      <c r="J38" s="1707">
        <v>2950.21</v>
      </c>
      <c r="K38" s="1335"/>
      <c r="L38" s="1700">
        <v>3314.9639999999995</v>
      </c>
      <c r="M38" s="1390"/>
      <c r="N38" s="1703">
        <f t="shared" si="97"/>
        <v>3758.5679999999998</v>
      </c>
      <c r="O38" s="1704">
        <f t="shared" si="98"/>
        <v>3758.5679999999998</v>
      </c>
      <c r="P38" s="1708">
        <v>2979.71</v>
      </c>
      <c r="Q38" s="1335"/>
      <c r="R38" s="1704">
        <f t="shared" si="99"/>
        <v>3758.5679999999998</v>
      </c>
      <c r="S38" s="1390"/>
      <c r="T38" s="1751">
        <v>853.98</v>
      </c>
      <c r="U38" s="1736">
        <v>3321.9900000000002</v>
      </c>
      <c r="V38" s="1810">
        <v>0</v>
      </c>
      <c r="W38" s="1334"/>
      <c r="X38" s="1334"/>
      <c r="Y38" s="1334"/>
      <c r="Z38" s="1841">
        <f t="shared" si="8"/>
        <v>4175.97</v>
      </c>
      <c r="AA38" s="1752">
        <v>413.60199999999998</v>
      </c>
      <c r="AB38" s="1810">
        <v>1985.1136008201447</v>
      </c>
      <c r="AC38" s="1810">
        <v>0</v>
      </c>
      <c r="AD38" s="1334"/>
      <c r="AE38" s="1334"/>
      <c r="AF38" s="1334"/>
      <c r="AG38" s="1395">
        <f t="shared" si="58"/>
        <v>2398.7156008201446</v>
      </c>
      <c r="AH38" s="1391">
        <f t="shared" si="59"/>
        <v>6574.6856008201448</v>
      </c>
      <c r="AI38" s="1334">
        <f t="shared" si="82"/>
        <v>1267.5819999999999</v>
      </c>
      <c r="AJ38" s="1334">
        <f t="shared" si="82"/>
        <v>5307.1036008201445</v>
      </c>
      <c r="AK38" s="1334">
        <f t="shared" si="82"/>
        <v>0</v>
      </c>
      <c r="AL38" s="1334">
        <f t="shared" si="82"/>
        <v>0</v>
      </c>
      <c r="AM38" s="1334">
        <f t="shared" si="82"/>
        <v>0</v>
      </c>
      <c r="AN38" s="1334"/>
      <c r="AO38" s="1334">
        <f t="shared" si="79"/>
        <v>6574.6856008201448</v>
      </c>
      <c r="AP38" s="1334">
        <f t="shared" si="80"/>
        <v>6574.6856008201448</v>
      </c>
      <c r="AQ38" s="1396">
        <f t="shared" si="81"/>
        <v>6574.6856008201448</v>
      </c>
      <c r="AR38" s="1417">
        <f t="shared" si="41"/>
        <v>0</v>
      </c>
      <c r="AS38" s="1333">
        <f t="shared" si="83"/>
        <v>4201988.6970479991</v>
      </c>
      <c r="AT38" s="1334">
        <f t="shared" si="83"/>
        <v>15657070.114175599</v>
      </c>
      <c r="AU38" s="1334">
        <f t="shared" si="83"/>
        <v>0</v>
      </c>
      <c r="AV38" s="1334">
        <f t="shared" si="83"/>
        <v>0</v>
      </c>
      <c r="AW38" s="1334">
        <f t="shared" si="83"/>
        <v>0</v>
      </c>
      <c r="AX38" s="1334">
        <f t="shared" si="54"/>
        <v>19859058.811223596</v>
      </c>
      <c r="AY38" s="1334">
        <f t="shared" si="55"/>
        <v>19859058.811223596</v>
      </c>
      <c r="AZ38" s="1334">
        <f t="shared" si="84"/>
        <v>4764293.1425759988</v>
      </c>
      <c r="BA38" s="1334">
        <f t="shared" si="84"/>
        <v>15813629.670399792</v>
      </c>
      <c r="BB38" s="1334">
        <f t="shared" si="84"/>
        <v>0</v>
      </c>
      <c r="BC38" s="1334">
        <f t="shared" si="84"/>
        <v>0</v>
      </c>
      <c r="BD38" s="1334">
        <f t="shared" si="84"/>
        <v>0</v>
      </c>
      <c r="BE38" s="1334">
        <f t="shared" si="56"/>
        <v>20577922.81297579</v>
      </c>
      <c r="BF38" s="1396">
        <f t="shared" si="60"/>
        <v>20577922.81297579</v>
      </c>
      <c r="BG38" s="1397">
        <f t="shared" si="100"/>
        <v>1009.7576170499988</v>
      </c>
      <c r="BH38" s="1398">
        <f t="shared" si="101"/>
        <v>1288.4346740896465</v>
      </c>
      <c r="BI38" s="1399">
        <f t="shared" si="102"/>
        <v>2298.192291139645</v>
      </c>
      <c r="BJ38" s="1399"/>
      <c r="BK38" s="1641"/>
      <c r="BL38" s="1334">
        <f t="shared" si="61"/>
        <v>2830912.9567199997</v>
      </c>
      <c r="BM38" s="1334">
        <f t="shared" si="61"/>
        <v>9800568.1179000009</v>
      </c>
      <c r="BN38" s="1334">
        <f t="shared" si="61"/>
        <v>0</v>
      </c>
      <c r="BO38" s="1334">
        <f t="shared" si="61"/>
        <v>0</v>
      </c>
      <c r="BP38" s="1334">
        <f t="shared" si="61"/>
        <v>0</v>
      </c>
      <c r="BQ38" s="1334">
        <f t="shared" si="62"/>
        <v>12631481.074620001</v>
      </c>
      <c r="BR38" s="1334">
        <f t="shared" si="63"/>
        <v>12631481.074620001</v>
      </c>
      <c r="BS38" s="1334">
        <f t="shared" si="64"/>
        <v>1554551.2419359998</v>
      </c>
      <c r="BT38" s="1334">
        <f t="shared" si="64"/>
        <v>5915062.8474997934</v>
      </c>
      <c r="BU38" s="1334">
        <f t="shared" si="64"/>
        <v>0</v>
      </c>
      <c r="BV38" s="1334">
        <f t="shared" si="65"/>
        <v>0</v>
      </c>
      <c r="BW38" s="1334">
        <f t="shared" si="19"/>
        <v>0</v>
      </c>
      <c r="BX38" s="1334">
        <f t="shared" si="66"/>
        <v>7469614.0894357935</v>
      </c>
      <c r="BY38" s="1334">
        <f t="shared" si="67"/>
        <v>7469614.0894357935</v>
      </c>
      <c r="BZ38" s="1389">
        <f t="shared" si="68"/>
        <v>15715630.965399794</v>
      </c>
      <c r="CA38" s="1389">
        <f t="shared" si="68"/>
        <v>0</v>
      </c>
      <c r="CB38" s="1389">
        <f t="shared" si="69"/>
        <v>15715630.965399794</v>
      </c>
      <c r="CC38" s="1420">
        <f t="shared" si="70"/>
        <v>2961.2444277460772</v>
      </c>
      <c r="CD38" s="1420" t="e">
        <f t="shared" si="70"/>
        <v>#DIV/0!</v>
      </c>
      <c r="CE38" s="1420">
        <f t="shared" si="44"/>
        <v>2961.2444277460772</v>
      </c>
      <c r="CF38" s="1420">
        <f t="shared" si="20"/>
        <v>2961.2444277460772</v>
      </c>
      <c r="CG38" s="1421">
        <f t="shared" si="21"/>
        <v>18473461.714767367</v>
      </c>
      <c r="CH38" s="1421">
        <f t="shared" si="45"/>
        <v>3480.8933656227346</v>
      </c>
      <c r="CI38" s="1389"/>
      <c r="CJ38" s="1756">
        <f t="shared" si="103"/>
        <v>13843.190215079998</v>
      </c>
      <c r="CK38" s="1756">
        <f t="shared" si="22"/>
        <v>9015.7356983433674</v>
      </c>
      <c r="CL38" s="1756">
        <f t="shared" si="47"/>
        <v>22858.925913423365</v>
      </c>
      <c r="CM38" s="1334">
        <f t="shared" si="48"/>
        <v>24711.402909303368</v>
      </c>
      <c r="CN38" s="1334">
        <f t="shared" si="49"/>
        <v>1852.4769958800025</v>
      </c>
      <c r="CO38" s="1334">
        <f t="shared" si="23"/>
        <v>22858925.913423367</v>
      </c>
      <c r="CP38" s="1334">
        <f t="shared" si="24"/>
        <v>19859058.811223596</v>
      </c>
      <c r="CQ38" s="1334">
        <f t="shared" si="25"/>
        <v>19859058.811223596</v>
      </c>
      <c r="CR38" s="1334">
        <f t="shared" si="26"/>
        <v>12631481.074620001</v>
      </c>
      <c r="CS38" s="1334">
        <f t="shared" si="27"/>
        <v>20577922.81297579</v>
      </c>
      <c r="CT38" s="1334">
        <f t="shared" si="28"/>
        <v>20577922.81297579</v>
      </c>
      <c r="CU38" s="1334">
        <f t="shared" si="29"/>
        <v>7469614.0894357935</v>
      </c>
      <c r="CV38" s="1334">
        <f t="shared" si="50"/>
        <v>40436981.62419939</v>
      </c>
      <c r="CW38" s="1422">
        <f t="shared" si="51"/>
        <v>6150.4053698256184</v>
      </c>
      <c r="CX38" s="1334">
        <f t="shared" si="30"/>
        <v>15657070.114175599</v>
      </c>
      <c r="CY38" s="1334">
        <f t="shared" si="31"/>
        <v>15813629.670399792</v>
      </c>
      <c r="CZ38" s="1334"/>
      <c r="DA38" s="1334">
        <f t="shared" si="32"/>
        <v>21794846.078037143</v>
      </c>
      <c r="DB38" s="1334">
        <f t="shared" si="33"/>
        <v>24711402.909303367</v>
      </c>
      <c r="DC38" s="1223"/>
      <c r="DD38" s="1224">
        <f t="shared" si="52"/>
        <v>127.40001559211038</v>
      </c>
      <c r="DE38" s="1223"/>
      <c r="DF38" s="1223"/>
      <c r="DG38" s="1223"/>
      <c r="DH38" s="1494"/>
      <c r="DI38" s="1494"/>
      <c r="DJ38" s="1494"/>
      <c r="DK38" s="1389"/>
      <c r="DL38" s="1419">
        <f t="shared" si="34"/>
        <v>0</v>
      </c>
      <c r="DM38" s="1419">
        <f t="shared" si="35"/>
        <v>0</v>
      </c>
      <c r="DN38" s="1419">
        <f t="shared" si="36"/>
        <v>0</v>
      </c>
      <c r="DO38" s="819"/>
      <c r="DP38" s="1315"/>
      <c r="DQ38" s="1315"/>
      <c r="DR38" s="1315"/>
      <c r="DS38" s="1315"/>
      <c r="DT38" s="1315"/>
      <c r="DU38" s="1315"/>
      <c r="DV38" s="1315"/>
      <c r="DW38" s="1315"/>
      <c r="DX38" s="1315"/>
      <c r="DY38" s="1315"/>
      <c r="DZ38" s="1315"/>
      <c r="EA38" s="1315"/>
      <c r="EB38" s="1315"/>
      <c r="EC38" s="1315"/>
      <c r="ED38" s="1315"/>
      <c r="EE38" s="1315"/>
      <c r="EF38" s="1315"/>
      <c r="EG38" s="1315"/>
      <c r="EH38" s="1315"/>
      <c r="EI38" s="1315"/>
      <c r="EJ38" s="1315"/>
      <c r="EK38" s="1315"/>
      <c r="EL38" s="1315"/>
    </row>
    <row r="39" spans="1:155" s="1313" customFormat="1" ht="80.25" hidden="1" customHeight="1">
      <c r="A39" s="6">
        <f t="shared" si="53"/>
        <v>26</v>
      </c>
      <c r="B39" s="1330" t="s">
        <v>14</v>
      </c>
      <c r="C39" s="1839" t="s">
        <v>89</v>
      </c>
      <c r="D39" s="1706" t="s">
        <v>141</v>
      </c>
      <c r="E39" s="1331">
        <v>4632024035</v>
      </c>
      <c r="F39" s="1330" t="s">
        <v>8</v>
      </c>
      <c r="G39" s="1682" t="s">
        <v>1034</v>
      </c>
      <c r="H39" s="1700">
        <v>3314.9639999999995</v>
      </c>
      <c r="I39" s="1701">
        <f t="shared" si="96"/>
        <v>3314.9639999999995</v>
      </c>
      <c r="J39" s="1335"/>
      <c r="K39" s="1335"/>
      <c r="L39" s="1700">
        <v>3314.9639999999995</v>
      </c>
      <c r="M39" s="1390"/>
      <c r="N39" s="1703">
        <f t="shared" si="97"/>
        <v>3758.5679999999998</v>
      </c>
      <c r="O39" s="1704">
        <f t="shared" si="98"/>
        <v>3758.5679999999998</v>
      </c>
      <c r="P39" s="1335"/>
      <c r="Q39" s="1335"/>
      <c r="R39" s="1704">
        <f t="shared" si="99"/>
        <v>3758.5679999999998</v>
      </c>
      <c r="S39" s="1390"/>
      <c r="T39" s="1751">
        <v>213.34700000000001</v>
      </c>
      <c r="U39" s="1810">
        <v>0</v>
      </c>
      <c r="V39" s="1810">
        <v>0</v>
      </c>
      <c r="W39" s="1334"/>
      <c r="X39" s="1334"/>
      <c r="Y39" s="1334"/>
      <c r="Z39" s="1841">
        <f t="shared" si="8"/>
        <v>213.34700000000001</v>
      </c>
      <c r="AA39" s="1752">
        <v>123.88800000000001</v>
      </c>
      <c r="AB39" s="1810">
        <v>0</v>
      </c>
      <c r="AC39" s="1810">
        <v>0</v>
      </c>
      <c r="AD39" s="1334"/>
      <c r="AE39" s="1334"/>
      <c r="AF39" s="1334"/>
      <c r="AG39" s="1395">
        <f t="shared" si="58"/>
        <v>123.88800000000001</v>
      </c>
      <c r="AH39" s="1391">
        <f t="shared" si="59"/>
        <v>337.23500000000001</v>
      </c>
      <c r="AI39" s="1334">
        <f t="shared" si="82"/>
        <v>337.23500000000001</v>
      </c>
      <c r="AJ39" s="1334">
        <f t="shared" si="82"/>
        <v>0</v>
      </c>
      <c r="AK39" s="1334">
        <f t="shared" si="82"/>
        <v>0</v>
      </c>
      <c r="AL39" s="1334">
        <f t="shared" si="82"/>
        <v>0</v>
      </c>
      <c r="AM39" s="1334">
        <f t="shared" si="82"/>
        <v>0</v>
      </c>
      <c r="AN39" s="1334"/>
      <c r="AO39" s="1334">
        <f t="shared" si="79"/>
        <v>337.23500000000001</v>
      </c>
      <c r="AP39" s="1334">
        <f t="shared" si="80"/>
        <v>337.23500000000001</v>
      </c>
      <c r="AQ39" s="1396">
        <f t="shared" si="81"/>
        <v>337.23500000000001</v>
      </c>
      <c r="AR39" s="1417">
        <f t="shared" si="41"/>
        <v>0</v>
      </c>
      <c r="AS39" s="1333">
        <f t="shared" si="83"/>
        <v>1117921.8845399998</v>
      </c>
      <c r="AT39" s="1334">
        <f t="shared" si="83"/>
        <v>0</v>
      </c>
      <c r="AU39" s="1334">
        <f t="shared" si="83"/>
        <v>0</v>
      </c>
      <c r="AV39" s="1334">
        <f t="shared" si="83"/>
        <v>0</v>
      </c>
      <c r="AW39" s="1334">
        <f t="shared" si="83"/>
        <v>0</v>
      </c>
      <c r="AX39" s="1334">
        <f t="shared" si="54"/>
        <v>1117921.8845399998</v>
      </c>
      <c r="AY39" s="1334">
        <f t="shared" si="55"/>
        <v>1117921.8845399998</v>
      </c>
      <c r="AZ39" s="1334">
        <f t="shared" si="84"/>
        <v>1267520.6794799999</v>
      </c>
      <c r="BA39" s="1334">
        <f t="shared" si="84"/>
        <v>0</v>
      </c>
      <c r="BB39" s="1334">
        <f t="shared" si="84"/>
        <v>0</v>
      </c>
      <c r="BC39" s="1334">
        <f t="shared" si="84"/>
        <v>0</v>
      </c>
      <c r="BD39" s="1334">
        <f t="shared" si="84"/>
        <v>0</v>
      </c>
      <c r="BE39" s="1334">
        <f t="shared" si="56"/>
        <v>1267520.6794799999</v>
      </c>
      <c r="BF39" s="1396">
        <f t="shared" si="60"/>
        <v>1267520.6794799999</v>
      </c>
      <c r="BG39" s="1397">
        <f t="shared" si="100"/>
        <v>0</v>
      </c>
      <c r="BH39" s="1398">
        <f t="shared" si="101"/>
        <v>0</v>
      </c>
      <c r="BI39" s="1399">
        <f t="shared" si="102"/>
        <v>0</v>
      </c>
      <c r="BJ39" s="1334"/>
      <c r="BK39" s="1643"/>
      <c r="BL39" s="1334">
        <f t="shared" si="61"/>
        <v>707237.62450799986</v>
      </c>
      <c r="BM39" s="1334">
        <f t="shared" si="61"/>
        <v>0</v>
      </c>
      <c r="BN39" s="1334">
        <f t="shared" si="61"/>
        <v>0</v>
      </c>
      <c r="BO39" s="1334">
        <f t="shared" si="61"/>
        <v>0</v>
      </c>
      <c r="BP39" s="1334">
        <f t="shared" si="61"/>
        <v>0</v>
      </c>
      <c r="BQ39" s="1334">
        <f t="shared" si="62"/>
        <v>707237.62450799986</v>
      </c>
      <c r="BR39" s="1334">
        <f t="shared" si="63"/>
        <v>707237.62450799986</v>
      </c>
      <c r="BS39" s="1334">
        <f t="shared" si="64"/>
        <v>465641.47238399996</v>
      </c>
      <c r="BT39" s="1334">
        <f t="shared" si="64"/>
        <v>0</v>
      </c>
      <c r="BU39" s="1334">
        <f t="shared" si="64"/>
        <v>0</v>
      </c>
      <c r="BV39" s="1334">
        <f t="shared" si="65"/>
        <v>0</v>
      </c>
      <c r="BW39" s="1334">
        <f t="shared" si="19"/>
        <v>0</v>
      </c>
      <c r="BX39" s="1334">
        <f t="shared" si="66"/>
        <v>465641.47238399996</v>
      </c>
      <c r="BY39" s="1334">
        <f t="shared" si="67"/>
        <v>465641.47238399996</v>
      </c>
      <c r="BZ39" s="1389">
        <f t="shared" si="68"/>
        <v>0</v>
      </c>
      <c r="CA39" s="1389">
        <f t="shared" si="68"/>
        <v>0</v>
      </c>
      <c r="CB39" s="1389">
        <f t="shared" si="69"/>
        <v>0</v>
      </c>
      <c r="CC39" s="1420" t="e">
        <f t="shared" si="70"/>
        <v>#DIV/0!</v>
      </c>
      <c r="CD39" s="1420" t="e">
        <f t="shared" si="70"/>
        <v>#DIV/0!</v>
      </c>
      <c r="CE39" s="1420" t="e">
        <f t="shared" si="44"/>
        <v>#DIV/0!</v>
      </c>
      <c r="CF39" s="1389" t="e">
        <f t="shared" si="20"/>
        <v>#DIV/0!</v>
      </c>
      <c r="CG39" s="1421">
        <f t="shared" si="21"/>
        <v>0</v>
      </c>
      <c r="CH39" s="1421" t="e">
        <f t="shared" si="45"/>
        <v>#DIV/0!</v>
      </c>
      <c r="CI39" s="1389"/>
      <c r="CJ39" s="1756">
        <f t="shared" si="103"/>
        <v>707.23762450799984</v>
      </c>
      <c r="CK39" s="1756">
        <f t="shared" si="22"/>
        <v>465.64147238399994</v>
      </c>
      <c r="CL39" s="1756">
        <f t="shared" si="47"/>
        <v>1172.8790968919998</v>
      </c>
      <c r="CM39" s="1334">
        <f t="shared" si="48"/>
        <v>1267.5206794799999</v>
      </c>
      <c r="CN39" s="1334">
        <f t="shared" si="49"/>
        <v>94.641582588000119</v>
      </c>
      <c r="CO39" s="1334">
        <f t="shared" si="23"/>
        <v>1172879.0968919997</v>
      </c>
      <c r="CP39" s="1334">
        <f t="shared" si="24"/>
        <v>1117921.8845399998</v>
      </c>
      <c r="CQ39" s="1334">
        <f t="shared" si="25"/>
        <v>1117921.8845399998</v>
      </c>
      <c r="CR39" s="1334">
        <f t="shared" si="26"/>
        <v>707237.62450799986</v>
      </c>
      <c r="CS39" s="1334">
        <f t="shared" si="27"/>
        <v>1267520.6794799999</v>
      </c>
      <c r="CT39" s="1334">
        <f t="shared" si="28"/>
        <v>1267520.6794799999</v>
      </c>
      <c r="CU39" s="1334">
        <f t="shared" si="29"/>
        <v>465641.47238399996</v>
      </c>
      <c r="CV39" s="1334">
        <f t="shared" si="50"/>
        <v>2385442.5640199995</v>
      </c>
      <c r="CW39" s="1422">
        <f t="shared" si="51"/>
        <v>7073.5319999999983</v>
      </c>
      <c r="CX39" s="1334">
        <f t="shared" si="30"/>
        <v>0</v>
      </c>
      <c r="CY39" s="1334">
        <f t="shared" si="31"/>
        <v>0</v>
      </c>
      <c r="CZ39" s="1334"/>
      <c r="DA39" s="1334">
        <f t="shared" si="32"/>
        <v>1117921.8845399998</v>
      </c>
      <c r="DB39" s="1334">
        <f t="shared" si="33"/>
        <v>1267520.6794799999</v>
      </c>
      <c r="DC39" s="1223"/>
      <c r="DD39" s="1224" t="e">
        <f t="shared" si="52"/>
        <v>#DIV/0!</v>
      </c>
      <c r="DE39" s="1223"/>
      <c r="DF39" s="1223"/>
      <c r="DG39" s="1223"/>
      <c r="DH39" s="1494"/>
      <c r="DI39" s="1494"/>
      <c r="DJ39" s="1494"/>
      <c r="DK39" s="1389"/>
      <c r="DL39" s="1419">
        <f t="shared" si="34"/>
        <v>0</v>
      </c>
      <c r="DM39" s="1419">
        <f t="shared" si="35"/>
        <v>0</v>
      </c>
      <c r="DN39" s="1419">
        <f t="shared" si="36"/>
        <v>0</v>
      </c>
      <c r="DO39" s="819"/>
      <c r="DP39" s="1315"/>
      <c r="DQ39" s="1315"/>
      <c r="DR39" s="1315"/>
      <c r="DS39" s="1315"/>
      <c r="DT39" s="1315"/>
      <c r="DU39" s="1315"/>
      <c r="DV39" s="1315"/>
      <c r="DW39" s="1315"/>
      <c r="DX39" s="1315"/>
      <c r="DY39" s="1315"/>
      <c r="DZ39" s="1315"/>
      <c r="EA39" s="1315"/>
      <c r="EB39" s="1315"/>
      <c r="EC39" s="1315"/>
      <c r="ED39" s="1315"/>
      <c r="EE39" s="1315"/>
      <c r="EF39" s="1315"/>
      <c r="EG39" s="1315"/>
      <c r="EH39" s="1315"/>
      <c r="EI39" s="1315"/>
      <c r="EJ39" s="1315"/>
      <c r="EK39" s="1315"/>
      <c r="EL39" s="1315"/>
    </row>
    <row r="40" spans="1:155" s="1313" customFormat="1" ht="86.25" hidden="1" customHeight="1">
      <c r="A40" s="6">
        <f t="shared" si="53"/>
        <v>27</v>
      </c>
      <c r="B40" s="1839" t="s">
        <v>15</v>
      </c>
      <c r="C40" s="1840" t="s">
        <v>168</v>
      </c>
      <c r="D40" s="1706" t="s">
        <v>141</v>
      </c>
      <c r="E40" s="1331">
        <v>4632024035</v>
      </c>
      <c r="F40" s="1330" t="s">
        <v>8</v>
      </c>
      <c r="G40" s="1682" t="s">
        <v>1034</v>
      </c>
      <c r="H40" s="1700">
        <v>3314.9639999999995</v>
      </c>
      <c r="I40" s="1701">
        <f t="shared" si="96"/>
        <v>3314.9639999999995</v>
      </c>
      <c r="J40" s="1707">
        <v>2484</v>
      </c>
      <c r="K40" s="1335"/>
      <c r="L40" s="1700">
        <v>3314.9639999999995</v>
      </c>
      <c r="M40" s="1390"/>
      <c r="N40" s="1703">
        <f t="shared" si="97"/>
        <v>3758.5679999999998</v>
      </c>
      <c r="O40" s="1704">
        <f t="shared" si="98"/>
        <v>3758.5679999999998</v>
      </c>
      <c r="P40" s="1708">
        <v>2719.98</v>
      </c>
      <c r="Q40" s="1335"/>
      <c r="R40" s="1704">
        <f t="shared" si="99"/>
        <v>3758.5679999999998</v>
      </c>
      <c r="S40" s="1390"/>
      <c r="T40" s="1751">
        <v>1582.24</v>
      </c>
      <c r="U40" s="1736">
        <v>1090.9069999999999</v>
      </c>
      <c r="V40" s="1736">
        <v>0</v>
      </c>
      <c r="W40" s="1392"/>
      <c r="X40" s="1392"/>
      <c r="Y40" s="1392"/>
      <c r="Z40" s="1841">
        <f t="shared" si="8"/>
        <v>2673.1469999999999</v>
      </c>
      <c r="AA40" s="1752">
        <v>918.6</v>
      </c>
      <c r="AB40" s="1736">
        <v>886.2</v>
      </c>
      <c r="AC40" s="1810">
        <v>0</v>
      </c>
      <c r="AD40" s="1334"/>
      <c r="AE40" s="1334"/>
      <c r="AF40" s="1334"/>
      <c r="AG40" s="1395">
        <f t="shared" si="58"/>
        <v>1804.8000000000002</v>
      </c>
      <c r="AH40" s="1391">
        <f t="shared" si="59"/>
        <v>4477.9470000000001</v>
      </c>
      <c r="AI40" s="1334">
        <f t="shared" si="82"/>
        <v>2500.84</v>
      </c>
      <c r="AJ40" s="1334">
        <f t="shared" si="82"/>
        <v>1977.107</v>
      </c>
      <c r="AK40" s="1334">
        <f t="shared" si="82"/>
        <v>0</v>
      </c>
      <c r="AL40" s="1334">
        <f t="shared" si="82"/>
        <v>0</v>
      </c>
      <c r="AM40" s="1334">
        <f t="shared" si="82"/>
        <v>0</v>
      </c>
      <c r="AN40" s="1334"/>
      <c r="AO40" s="1334">
        <f t="shared" si="79"/>
        <v>4477.9470000000001</v>
      </c>
      <c r="AP40" s="1334">
        <f t="shared" si="80"/>
        <v>4477.9470000000001</v>
      </c>
      <c r="AQ40" s="1396">
        <f t="shared" si="81"/>
        <v>4477.9470000000001</v>
      </c>
      <c r="AR40" s="1417">
        <f t="shared" si="41"/>
        <v>0</v>
      </c>
      <c r="AS40" s="1333">
        <f t="shared" si="83"/>
        <v>8290194.5697599994</v>
      </c>
      <c r="AT40" s="1334">
        <f t="shared" si="83"/>
        <v>4911133.7879999997</v>
      </c>
      <c r="AU40" s="1334">
        <f t="shared" si="83"/>
        <v>0</v>
      </c>
      <c r="AV40" s="1334">
        <f t="shared" si="83"/>
        <v>0</v>
      </c>
      <c r="AW40" s="1334">
        <f t="shared" si="83"/>
        <v>0</v>
      </c>
      <c r="AX40" s="1334">
        <f t="shared" si="54"/>
        <v>13201328.357759999</v>
      </c>
      <c r="AY40" s="1334">
        <f t="shared" si="55"/>
        <v>13201328.357759999</v>
      </c>
      <c r="AZ40" s="1334">
        <f t="shared" si="84"/>
        <v>9399577.1971199997</v>
      </c>
      <c r="BA40" s="1334">
        <f t="shared" si="84"/>
        <v>5377691.4978599995</v>
      </c>
      <c r="BB40" s="1334">
        <f t="shared" si="84"/>
        <v>0</v>
      </c>
      <c r="BC40" s="1334">
        <f t="shared" si="84"/>
        <v>0</v>
      </c>
      <c r="BD40" s="1334">
        <f t="shared" si="84"/>
        <v>0</v>
      </c>
      <c r="BE40" s="1334">
        <f t="shared" si="56"/>
        <v>14777268.694979999</v>
      </c>
      <c r="BF40" s="1396">
        <f t="shared" si="60"/>
        <v>14777268.694979999</v>
      </c>
      <c r="BG40" s="1397">
        <f t="shared" si="100"/>
        <v>755.42037028999948</v>
      </c>
      <c r="BH40" s="1398">
        <f t="shared" si="101"/>
        <v>766.99723799999992</v>
      </c>
      <c r="BI40" s="1399">
        <f t="shared" si="102"/>
        <v>1522.4176082899994</v>
      </c>
      <c r="BJ40" s="1399"/>
      <c r="BK40" s="1641"/>
      <c r="BL40" s="1334">
        <f t="shared" si="61"/>
        <v>5245068.6393599994</v>
      </c>
      <c r="BM40" s="1334">
        <f t="shared" si="61"/>
        <v>2709812.9879999999</v>
      </c>
      <c r="BN40" s="1334">
        <f t="shared" si="61"/>
        <v>0</v>
      </c>
      <c r="BO40" s="1334">
        <f t="shared" si="61"/>
        <v>0</v>
      </c>
      <c r="BP40" s="1334">
        <f t="shared" si="61"/>
        <v>0</v>
      </c>
      <c r="BQ40" s="1334">
        <f t="shared" si="62"/>
        <v>7954881.6273599993</v>
      </c>
      <c r="BR40" s="1334">
        <f t="shared" si="63"/>
        <v>7954881.6273599993</v>
      </c>
      <c r="BS40" s="1334">
        <f t="shared" si="64"/>
        <v>3452620.5647999998</v>
      </c>
      <c r="BT40" s="1334">
        <f t="shared" si="64"/>
        <v>2410446.2760000001</v>
      </c>
      <c r="BU40" s="1334">
        <f t="shared" si="64"/>
        <v>0</v>
      </c>
      <c r="BV40" s="1334">
        <f t="shared" si="65"/>
        <v>0</v>
      </c>
      <c r="BW40" s="1334">
        <f t="shared" si="19"/>
        <v>0</v>
      </c>
      <c r="BX40" s="1334">
        <f t="shared" si="66"/>
        <v>5863066.8408000004</v>
      </c>
      <c r="BY40" s="1334">
        <f t="shared" si="67"/>
        <v>5863066.8408000004</v>
      </c>
      <c r="BZ40" s="1389">
        <f t="shared" si="68"/>
        <v>5120259.2640000004</v>
      </c>
      <c r="CA40" s="1389">
        <f t="shared" si="68"/>
        <v>0</v>
      </c>
      <c r="CB40" s="1389">
        <f t="shared" si="69"/>
        <v>5120259.2640000004</v>
      </c>
      <c r="CC40" s="1420">
        <f t="shared" si="70"/>
        <v>2589.7734740709534</v>
      </c>
      <c r="CD40" s="1420" t="e">
        <f t="shared" si="70"/>
        <v>#DIV/0!</v>
      </c>
      <c r="CE40" s="1420">
        <f t="shared" si="44"/>
        <v>2589.7734740709534</v>
      </c>
      <c r="CF40" s="1420">
        <f t="shared" si="20"/>
        <v>2589.7734740709534</v>
      </c>
      <c r="CG40" s="1421">
        <f t="shared" si="21"/>
        <v>6947160.3939479999</v>
      </c>
      <c r="CH40" s="1421">
        <f t="shared" si="45"/>
        <v>3513.8009191955721</v>
      </c>
      <c r="CI40" s="1389"/>
      <c r="CJ40" s="1756">
        <f t="shared" si="103"/>
        <v>8861.3860717079988</v>
      </c>
      <c r="CK40" s="1756">
        <f t="shared" si="22"/>
        <v>6783.4635263999999</v>
      </c>
      <c r="CL40" s="1756">
        <f t="shared" si="47"/>
        <v>15644.849598107998</v>
      </c>
      <c r="CM40" s="1334">
        <f t="shared" si="48"/>
        <v>16830.668299895999</v>
      </c>
      <c r="CN40" s="1334">
        <f t="shared" si="49"/>
        <v>1185.8187017880009</v>
      </c>
      <c r="CO40" s="1334">
        <f t="shared" si="23"/>
        <v>15644849.598107999</v>
      </c>
      <c r="CP40" s="1334">
        <f t="shared" si="24"/>
        <v>13201328.357759999</v>
      </c>
      <c r="CQ40" s="1334">
        <f t="shared" si="25"/>
        <v>13201328.357759999</v>
      </c>
      <c r="CR40" s="1334">
        <f t="shared" si="26"/>
        <v>7954881.6273599993</v>
      </c>
      <c r="CS40" s="1334">
        <f t="shared" si="27"/>
        <v>14777268.694979999</v>
      </c>
      <c r="CT40" s="1334">
        <f t="shared" si="28"/>
        <v>14777268.694979999</v>
      </c>
      <c r="CU40" s="1334">
        <f t="shared" si="29"/>
        <v>5863066.8408000004</v>
      </c>
      <c r="CV40" s="1334">
        <f t="shared" si="50"/>
        <v>27978597.05274</v>
      </c>
      <c r="CW40" s="1422">
        <f t="shared" si="51"/>
        <v>6248.0857975183717</v>
      </c>
      <c r="CX40" s="1334">
        <f t="shared" si="30"/>
        <v>4911133.7879999997</v>
      </c>
      <c r="CY40" s="1334">
        <f t="shared" si="31"/>
        <v>5377691.4978599995</v>
      </c>
      <c r="CZ40" s="1334"/>
      <c r="DA40" s="1334">
        <f t="shared" si="32"/>
        <v>14844233.098907998</v>
      </c>
      <c r="DB40" s="1334">
        <f t="shared" si="33"/>
        <v>16830668.299895998</v>
      </c>
      <c r="DC40" s="1223"/>
      <c r="DD40" s="1224">
        <f t="shared" si="52"/>
        <v>151.3111111111111</v>
      </c>
      <c r="DE40" s="1223"/>
      <c r="DF40" s="1223"/>
      <c r="DG40" s="1223"/>
      <c r="DH40" s="1494"/>
      <c r="DI40" s="1494"/>
      <c r="DJ40" s="1494"/>
      <c r="DK40" s="1389"/>
      <c r="DL40" s="1419">
        <f t="shared" si="34"/>
        <v>0</v>
      </c>
      <c r="DM40" s="1419">
        <f t="shared" si="35"/>
        <v>0</v>
      </c>
      <c r="DN40" s="1419">
        <f t="shared" si="36"/>
        <v>0</v>
      </c>
      <c r="DO40" s="819"/>
      <c r="DP40" s="1315"/>
      <c r="DQ40" s="1315"/>
      <c r="DR40" s="1315"/>
      <c r="DS40" s="1315"/>
      <c r="DT40" s="1315"/>
      <c r="DU40" s="1315"/>
      <c r="DV40" s="1315"/>
      <c r="DW40" s="1315"/>
      <c r="DX40" s="1315"/>
      <c r="DY40" s="1315"/>
      <c r="DZ40" s="1315"/>
      <c r="EA40" s="1315"/>
      <c r="EB40" s="1315"/>
      <c r="EC40" s="1315"/>
      <c r="ED40" s="1315"/>
      <c r="EE40" s="1315"/>
      <c r="EF40" s="1315"/>
      <c r="EG40" s="1315"/>
      <c r="EH40" s="1315"/>
      <c r="EI40" s="1315"/>
      <c r="EJ40" s="1315"/>
      <c r="EK40" s="1315"/>
      <c r="EL40" s="1315"/>
    </row>
    <row r="41" spans="1:155" s="1313" customFormat="1" ht="75.75" hidden="1" customHeight="1">
      <c r="A41" s="6">
        <f t="shared" si="53"/>
        <v>28</v>
      </c>
      <c r="B41" s="1839" t="s">
        <v>15</v>
      </c>
      <c r="C41" s="1839" t="s">
        <v>90</v>
      </c>
      <c r="D41" s="1706" t="s">
        <v>143</v>
      </c>
      <c r="E41" s="1331">
        <v>4632024035</v>
      </c>
      <c r="F41" s="1330" t="s">
        <v>8</v>
      </c>
      <c r="G41" s="1682" t="s">
        <v>1034</v>
      </c>
      <c r="H41" s="1700">
        <v>3314.9639999999995</v>
      </c>
      <c r="I41" s="1701">
        <f t="shared" si="96"/>
        <v>3314.9639999999995</v>
      </c>
      <c r="J41" s="1707">
        <v>2950.21</v>
      </c>
      <c r="K41" s="1335"/>
      <c r="L41" s="1700">
        <v>3314.9639999999995</v>
      </c>
      <c r="M41" s="1390"/>
      <c r="N41" s="1703">
        <f t="shared" si="97"/>
        <v>3758.5679999999998</v>
      </c>
      <c r="O41" s="1704">
        <f t="shared" si="98"/>
        <v>3758.5679999999998</v>
      </c>
      <c r="P41" s="1708">
        <v>2979.71</v>
      </c>
      <c r="Q41" s="1335"/>
      <c r="R41" s="1704">
        <f t="shared" si="99"/>
        <v>3758.5679999999998</v>
      </c>
      <c r="S41" s="1390"/>
      <c r="T41" s="1751">
        <v>467</v>
      </c>
      <c r="U41" s="1736">
        <v>264.32899999999995</v>
      </c>
      <c r="V41" s="1736">
        <v>0</v>
      </c>
      <c r="W41" s="1392"/>
      <c r="X41" s="1392"/>
      <c r="Y41" s="1392"/>
      <c r="Z41" s="1841">
        <f t="shared" si="8"/>
        <v>731.32899999999995</v>
      </c>
      <c r="AA41" s="1752">
        <v>340</v>
      </c>
      <c r="AB41" s="1736">
        <v>237.4</v>
      </c>
      <c r="AC41" s="1810">
        <v>0</v>
      </c>
      <c r="AD41" s="1334"/>
      <c r="AE41" s="1334"/>
      <c r="AF41" s="1334"/>
      <c r="AG41" s="1395">
        <f t="shared" si="58"/>
        <v>577.4</v>
      </c>
      <c r="AH41" s="1391">
        <f t="shared" si="59"/>
        <v>1308.7289999999998</v>
      </c>
      <c r="AI41" s="1334">
        <f t="shared" si="82"/>
        <v>807</v>
      </c>
      <c r="AJ41" s="1334">
        <f t="shared" si="82"/>
        <v>501.72899999999993</v>
      </c>
      <c r="AK41" s="1334">
        <f t="shared" si="82"/>
        <v>0</v>
      </c>
      <c r="AL41" s="1334">
        <f t="shared" si="82"/>
        <v>0</v>
      </c>
      <c r="AM41" s="1334">
        <f t="shared" si="82"/>
        <v>0</v>
      </c>
      <c r="AN41" s="1334"/>
      <c r="AO41" s="1334">
        <f t="shared" si="79"/>
        <v>1308.7289999999998</v>
      </c>
      <c r="AP41" s="1334">
        <f t="shared" si="80"/>
        <v>1308.7289999999998</v>
      </c>
      <c r="AQ41" s="1396">
        <f t="shared" si="81"/>
        <v>1308.7289999999998</v>
      </c>
      <c r="AR41" s="1417">
        <f t="shared" si="41"/>
        <v>0</v>
      </c>
      <c r="AS41" s="1333">
        <f t="shared" si="83"/>
        <v>2675175.9479999994</v>
      </c>
      <c r="AT41" s="1334">
        <f t="shared" si="83"/>
        <v>1480205.9130899997</v>
      </c>
      <c r="AU41" s="1334">
        <f t="shared" si="83"/>
        <v>0</v>
      </c>
      <c r="AV41" s="1334">
        <f t="shared" si="83"/>
        <v>0</v>
      </c>
      <c r="AW41" s="1334">
        <f t="shared" si="83"/>
        <v>0</v>
      </c>
      <c r="AX41" s="1334">
        <f t="shared" si="54"/>
        <v>4155381.8610899989</v>
      </c>
      <c r="AY41" s="1334">
        <f t="shared" si="55"/>
        <v>4155381.8610899989</v>
      </c>
      <c r="AZ41" s="1334">
        <f t="shared" si="84"/>
        <v>3033164.3759999997</v>
      </c>
      <c r="BA41" s="1334">
        <f t="shared" si="84"/>
        <v>1495006.9185899999</v>
      </c>
      <c r="BB41" s="1334">
        <f t="shared" si="84"/>
        <v>0</v>
      </c>
      <c r="BC41" s="1334">
        <f t="shared" si="84"/>
        <v>0</v>
      </c>
      <c r="BD41" s="1334">
        <f t="shared" si="84"/>
        <v>0</v>
      </c>
      <c r="BE41" s="1334">
        <f t="shared" si="56"/>
        <v>4528171.2945900001</v>
      </c>
      <c r="BF41" s="1396">
        <f t="shared" si="60"/>
        <v>4528171.2945900001</v>
      </c>
      <c r="BG41" s="1397">
        <f t="shared" si="100"/>
        <v>80.345883388333206</v>
      </c>
      <c r="BH41" s="1398">
        <f t="shared" si="101"/>
        <v>154.08407433333329</v>
      </c>
      <c r="BI41" s="1399">
        <f t="shared" si="102"/>
        <v>234.42995772166648</v>
      </c>
      <c r="BJ41" s="1399"/>
      <c r="BK41" s="1641"/>
      <c r="BL41" s="1334">
        <f t="shared" si="61"/>
        <v>1548088.1879999998</v>
      </c>
      <c r="BM41" s="1334">
        <f t="shared" si="61"/>
        <v>779826.05908999988</v>
      </c>
      <c r="BN41" s="1334">
        <f t="shared" si="61"/>
        <v>0</v>
      </c>
      <c r="BO41" s="1334">
        <f t="shared" si="61"/>
        <v>0</v>
      </c>
      <c r="BP41" s="1334">
        <f t="shared" si="61"/>
        <v>0</v>
      </c>
      <c r="BQ41" s="1334">
        <f t="shared" si="62"/>
        <v>2327914.2470899997</v>
      </c>
      <c r="BR41" s="1334">
        <f t="shared" si="63"/>
        <v>2327914.2470899997</v>
      </c>
      <c r="BS41" s="1334">
        <f t="shared" si="64"/>
        <v>1277913.1199999999</v>
      </c>
      <c r="BT41" s="1334">
        <f t="shared" si="64"/>
        <v>707383.15399999998</v>
      </c>
      <c r="BU41" s="1334">
        <f t="shared" si="64"/>
        <v>0</v>
      </c>
      <c r="BV41" s="1334">
        <f t="shared" si="65"/>
        <v>0</v>
      </c>
      <c r="BW41" s="1334">
        <f t="shared" si="19"/>
        <v>0</v>
      </c>
      <c r="BX41" s="1334">
        <f t="shared" si="66"/>
        <v>1985296.2739999997</v>
      </c>
      <c r="BY41" s="1334">
        <f t="shared" si="67"/>
        <v>1985296.2739999997</v>
      </c>
      <c r="BZ41" s="1389">
        <f t="shared" si="68"/>
        <v>1487209.2130899997</v>
      </c>
      <c r="CA41" s="1389">
        <f t="shared" si="68"/>
        <v>0</v>
      </c>
      <c r="CB41" s="1389">
        <f t="shared" si="69"/>
        <v>1487209.2130899997</v>
      </c>
      <c r="CC41" s="1420">
        <f t="shared" si="70"/>
        <v>2964.1683320876409</v>
      </c>
      <c r="CD41" s="1420" t="e">
        <f t="shared" si="70"/>
        <v>#DIV/0!</v>
      </c>
      <c r="CE41" s="1420">
        <f t="shared" si="44"/>
        <v>2964.1683320876409</v>
      </c>
      <c r="CF41" s="1420">
        <f t="shared" si="20"/>
        <v>2964.1683320876409</v>
      </c>
      <c r="CG41" s="1421">
        <f t="shared" si="21"/>
        <v>1768525.1623559997</v>
      </c>
      <c r="CH41" s="1421">
        <f t="shared" si="45"/>
        <v>3524.8613541493514</v>
      </c>
      <c r="CI41" s="1389"/>
      <c r="CJ41" s="1756">
        <f t="shared" si="103"/>
        <v>2424.3293071559992</v>
      </c>
      <c r="CK41" s="1756">
        <f t="shared" si="22"/>
        <v>2170.1971632</v>
      </c>
      <c r="CL41" s="1756">
        <f t="shared" si="47"/>
        <v>4594.5264703559988</v>
      </c>
      <c r="CM41" s="1334">
        <f t="shared" si="48"/>
        <v>4918.9469400719991</v>
      </c>
      <c r="CN41" s="1334">
        <f t="shared" si="49"/>
        <v>324.4204697160003</v>
      </c>
      <c r="CO41" s="1334">
        <f t="shared" si="23"/>
        <v>4594526.4703559987</v>
      </c>
      <c r="CP41" s="1334">
        <f t="shared" si="24"/>
        <v>4155381.8610899989</v>
      </c>
      <c r="CQ41" s="1334">
        <f t="shared" si="25"/>
        <v>4155381.8610899989</v>
      </c>
      <c r="CR41" s="1334">
        <f t="shared" si="26"/>
        <v>2327914.2470899997</v>
      </c>
      <c r="CS41" s="1334">
        <f t="shared" si="27"/>
        <v>4528171.2945900001</v>
      </c>
      <c r="CT41" s="1334">
        <f t="shared" si="28"/>
        <v>4528171.2945900001</v>
      </c>
      <c r="CU41" s="1334">
        <f t="shared" si="29"/>
        <v>1985296.2739999997</v>
      </c>
      <c r="CV41" s="1334">
        <f t="shared" si="50"/>
        <v>8683553.1556799989</v>
      </c>
      <c r="CW41" s="1422">
        <f t="shared" si="51"/>
        <v>6635.1041015213996</v>
      </c>
      <c r="CX41" s="1334">
        <f t="shared" si="30"/>
        <v>1480205.9130899997</v>
      </c>
      <c r="CY41" s="1334">
        <f t="shared" si="31"/>
        <v>1495006.9185899999</v>
      </c>
      <c r="CZ41" s="1334"/>
      <c r="DA41" s="1334">
        <f t="shared" si="32"/>
        <v>4338389.5207559988</v>
      </c>
      <c r="DB41" s="1334">
        <f t="shared" si="33"/>
        <v>4918946.9400719991</v>
      </c>
      <c r="DC41" s="1223"/>
      <c r="DD41" s="1224">
        <f t="shared" si="52"/>
        <v>127.40001559211038</v>
      </c>
      <c r="DE41" s="1223"/>
      <c r="DF41" s="1223"/>
      <c r="DG41" s="1223"/>
      <c r="DH41" s="1494"/>
      <c r="DI41" s="1494"/>
      <c r="DJ41" s="1494"/>
      <c r="DK41" s="1389"/>
      <c r="DL41" s="1419">
        <f t="shared" si="34"/>
        <v>0</v>
      </c>
      <c r="DM41" s="1419">
        <f t="shared" si="35"/>
        <v>0</v>
      </c>
      <c r="DN41" s="1419">
        <f t="shared" si="36"/>
        <v>0</v>
      </c>
      <c r="DO41" s="819"/>
      <c r="DP41" s="1315"/>
      <c r="DQ41" s="1315"/>
      <c r="DR41" s="1315"/>
      <c r="DS41" s="1315"/>
      <c r="DT41" s="1315"/>
      <c r="DU41" s="1315"/>
      <c r="DV41" s="1315"/>
      <c r="DW41" s="1315"/>
      <c r="DX41" s="1315"/>
      <c r="DY41" s="1315"/>
      <c r="DZ41" s="1315"/>
      <c r="EA41" s="1315"/>
      <c r="EB41" s="1315"/>
      <c r="EC41" s="1315"/>
      <c r="ED41" s="1315"/>
      <c r="EE41" s="1315"/>
      <c r="EF41" s="1315"/>
      <c r="EG41" s="1315"/>
      <c r="EH41" s="1315"/>
      <c r="EI41" s="1315"/>
      <c r="EJ41" s="1315"/>
      <c r="EK41" s="1315"/>
      <c r="EL41" s="1315"/>
    </row>
    <row r="42" spans="1:155" s="1313" customFormat="1" ht="83.25" hidden="1" customHeight="1">
      <c r="A42" s="6">
        <f t="shared" si="53"/>
        <v>29</v>
      </c>
      <c r="B42" s="1839" t="s">
        <v>15</v>
      </c>
      <c r="C42" s="1839" t="s">
        <v>91</v>
      </c>
      <c r="D42" s="1706" t="s">
        <v>144</v>
      </c>
      <c r="E42" s="1331">
        <v>4632024035</v>
      </c>
      <c r="F42" s="1330" t="s">
        <v>8</v>
      </c>
      <c r="G42" s="1682" t="s">
        <v>1034</v>
      </c>
      <c r="H42" s="1700">
        <v>3314.9639999999995</v>
      </c>
      <c r="I42" s="1701">
        <f t="shared" si="96"/>
        <v>3314.9639999999995</v>
      </c>
      <c r="J42" s="1335"/>
      <c r="K42" s="1335"/>
      <c r="L42" s="1700">
        <v>3314.9639999999995</v>
      </c>
      <c r="M42" s="1390"/>
      <c r="N42" s="1703">
        <f t="shared" si="97"/>
        <v>3758.5679999999998</v>
      </c>
      <c r="O42" s="1704">
        <f t="shared" si="98"/>
        <v>3758.5679999999998</v>
      </c>
      <c r="P42" s="1335"/>
      <c r="Q42" s="1335"/>
      <c r="R42" s="1704">
        <f t="shared" si="99"/>
        <v>3758.5679999999998</v>
      </c>
      <c r="S42" s="1390"/>
      <c r="T42" s="1751">
        <v>530.92399999999998</v>
      </c>
      <c r="U42" s="1810">
        <v>0</v>
      </c>
      <c r="V42" s="1810">
        <v>0</v>
      </c>
      <c r="W42" s="1334"/>
      <c r="X42" s="1334"/>
      <c r="Y42" s="1334"/>
      <c r="Z42" s="1841">
        <f t="shared" si="8"/>
        <v>530.92399999999998</v>
      </c>
      <c r="AA42" s="1752">
        <v>371.26200000000006</v>
      </c>
      <c r="AB42" s="1810">
        <v>0</v>
      </c>
      <c r="AC42" s="1810">
        <v>0</v>
      </c>
      <c r="AD42" s="1334"/>
      <c r="AE42" s="1334"/>
      <c r="AF42" s="1334"/>
      <c r="AG42" s="1395">
        <f t="shared" si="58"/>
        <v>371.26200000000006</v>
      </c>
      <c r="AH42" s="1391">
        <f t="shared" si="59"/>
        <v>902.18600000000004</v>
      </c>
      <c r="AI42" s="1334">
        <f t="shared" si="82"/>
        <v>902.18600000000004</v>
      </c>
      <c r="AJ42" s="1334">
        <f t="shared" si="82"/>
        <v>0</v>
      </c>
      <c r="AK42" s="1334">
        <f t="shared" si="82"/>
        <v>0</v>
      </c>
      <c r="AL42" s="1334">
        <f t="shared" si="82"/>
        <v>0</v>
      </c>
      <c r="AM42" s="1334">
        <f t="shared" si="82"/>
        <v>0</v>
      </c>
      <c r="AN42" s="1334"/>
      <c r="AO42" s="1334">
        <f t="shared" si="79"/>
        <v>902.18600000000004</v>
      </c>
      <c r="AP42" s="1334">
        <f t="shared" si="80"/>
        <v>902.18600000000004</v>
      </c>
      <c r="AQ42" s="1396">
        <f t="shared" si="81"/>
        <v>902.18600000000004</v>
      </c>
      <c r="AR42" s="1417">
        <f t="shared" si="41"/>
        <v>0</v>
      </c>
      <c r="AS42" s="1333">
        <f t="shared" si="83"/>
        <v>2990714.1113039996</v>
      </c>
      <c r="AT42" s="1334">
        <f t="shared" si="83"/>
        <v>0</v>
      </c>
      <c r="AU42" s="1334">
        <f t="shared" si="83"/>
        <v>0</v>
      </c>
      <c r="AV42" s="1334">
        <f t="shared" si="83"/>
        <v>0</v>
      </c>
      <c r="AW42" s="1334">
        <f t="shared" si="83"/>
        <v>0</v>
      </c>
      <c r="AX42" s="1334">
        <f t="shared" si="54"/>
        <v>2990714.1113039996</v>
      </c>
      <c r="AY42" s="1334">
        <f t="shared" si="55"/>
        <v>2990714.1113039996</v>
      </c>
      <c r="AZ42" s="1334">
        <f t="shared" si="84"/>
        <v>3390927.4296479998</v>
      </c>
      <c r="BA42" s="1334">
        <f t="shared" si="84"/>
        <v>0</v>
      </c>
      <c r="BB42" s="1334">
        <f t="shared" si="84"/>
        <v>0</v>
      </c>
      <c r="BC42" s="1334">
        <f t="shared" si="84"/>
        <v>0</v>
      </c>
      <c r="BD42" s="1334">
        <f t="shared" si="84"/>
        <v>0</v>
      </c>
      <c r="BE42" s="1334">
        <f t="shared" si="56"/>
        <v>3390927.4296479998</v>
      </c>
      <c r="BF42" s="1396">
        <f t="shared" si="60"/>
        <v>3390927.4296479998</v>
      </c>
      <c r="BG42" s="1397">
        <f t="shared" si="100"/>
        <v>0</v>
      </c>
      <c r="BH42" s="1398">
        <f t="shared" si="101"/>
        <v>0</v>
      </c>
      <c r="BI42" s="1399">
        <f t="shared" si="102"/>
        <v>0</v>
      </c>
      <c r="BJ42" s="1334"/>
      <c r="BK42" s="1643"/>
      <c r="BL42" s="1334">
        <f t="shared" si="61"/>
        <v>1759993.9467359995</v>
      </c>
      <c r="BM42" s="1334">
        <f t="shared" si="61"/>
        <v>0</v>
      </c>
      <c r="BN42" s="1334">
        <f t="shared" si="61"/>
        <v>0</v>
      </c>
      <c r="BO42" s="1334">
        <f t="shared" si="61"/>
        <v>0</v>
      </c>
      <c r="BP42" s="1334">
        <f t="shared" si="61"/>
        <v>0</v>
      </c>
      <c r="BQ42" s="1334">
        <f t="shared" si="62"/>
        <v>1759993.9467359995</v>
      </c>
      <c r="BR42" s="1334">
        <f t="shared" si="63"/>
        <v>1759993.9467359995</v>
      </c>
      <c r="BS42" s="1334">
        <f t="shared" si="64"/>
        <v>1395413.4728160002</v>
      </c>
      <c r="BT42" s="1334">
        <f t="shared" si="64"/>
        <v>0</v>
      </c>
      <c r="BU42" s="1334">
        <f t="shared" si="64"/>
        <v>0</v>
      </c>
      <c r="BV42" s="1334">
        <f t="shared" si="65"/>
        <v>0</v>
      </c>
      <c r="BW42" s="1334">
        <f t="shared" si="19"/>
        <v>0</v>
      </c>
      <c r="BX42" s="1334">
        <f t="shared" si="66"/>
        <v>1395413.4728160002</v>
      </c>
      <c r="BY42" s="1334">
        <f t="shared" si="67"/>
        <v>1395413.4728160002</v>
      </c>
      <c r="BZ42" s="1389">
        <f t="shared" si="68"/>
        <v>0</v>
      </c>
      <c r="CA42" s="1389">
        <f t="shared" si="68"/>
        <v>0</v>
      </c>
      <c r="CB42" s="1389">
        <f t="shared" si="69"/>
        <v>0</v>
      </c>
      <c r="CC42" s="1420" t="e">
        <f t="shared" si="70"/>
        <v>#DIV/0!</v>
      </c>
      <c r="CD42" s="1420" t="e">
        <f t="shared" si="70"/>
        <v>#DIV/0!</v>
      </c>
      <c r="CE42" s="1420" t="e">
        <f t="shared" si="44"/>
        <v>#DIV/0!</v>
      </c>
      <c r="CF42" s="1389" t="e">
        <f t="shared" si="20"/>
        <v>#DIV/0!</v>
      </c>
      <c r="CG42" s="1421">
        <f t="shared" si="21"/>
        <v>0</v>
      </c>
      <c r="CH42" s="1421" t="e">
        <f t="shared" si="45"/>
        <v>#DIV/0!</v>
      </c>
      <c r="CI42" s="1389"/>
      <c r="CJ42" s="1756">
        <f t="shared" si="103"/>
        <v>1759.9939467359995</v>
      </c>
      <c r="CK42" s="1756">
        <f t="shared" si="22"/>
        <v>1395.4134728160002</v>
      </c>
      <c r="CL42" s="1756">
        <f t="shared" si="47"/>
        <v>3155.4074195519997</v>
      </c>
      <c r="CM42" s="1334">
        <f t="shared" si="48"/>
        <v>3390.9274296479998</v>
      </c>
      <c r="CN42" s="1334">
        <f t="shared" si="49"/>
        <v>235.52001009600008</v>
      </c>
      <c r="CO42" s="1334">
        <f t="shared" si="23"/>
        <v>3155407.4195519998</v>
      </c>
      <c r="CP42" s="1334">
        <f t="shared" si="24"/>
        <v>2990714.1113039996</v>
      </c>
      <c r="CQ42" s="1334">
        <f t="shared" si="25"/>
        <v>2990714.1113039996</v>
      </c>
      <c r="CR42" s="1334">
        <f t="shared" si="26"/>
        <v>1759993.9467359995</v>
      </c>
      <c r="CS42" s="1334">
        <f t="shared" si="27"/>
        <v>3390927.4296479998</v>
      </c>
      <c r="CT42" s="1334">
        <f t="shared" si="28"/>
        <v>3390927.4296479998</v>
      </c>
      <c r="CU42" s="1334">
        <f t="shared" si="29"/>
        <v>1395413.4728160002</v>
      </c>
      <c r="CV42" s="1334">
        <f t="shared" si="50"/>
        <v>6381641.5409519989</v>
      </c>
      <c r="CW42" s="1422">
        <f t="shared" si="51"/>
        <v>7073.5319999999983</v>
      </c>
      <c r="CX42" s="1334">
        <f t="shared" si="30"/>
        <v>0</v>
      </c>
      <c r="CY42" s="1334">
        <f t="shared" si="31"/>
        <v>0</v>
      </c>
      <c r="CZ42" s="1334"/>
      <c r="DA42" s="1334">
        <f t="shared" si="32"/>
        <v>2990714.1113039996</v>
      </c>
      <c r="DB42" s="1334">
        <f t="shared" si="33"/>
        <v>3390927.4296479998</v>
      </c>
      <c r="DC42" s="1223"/>
      <c r="DD42" s="1224" t="e">
        <f t="shared" si="52"/>
        <v>#DIV/0!</v>
      </c>
      <c r="DE42" s="1223"/>
      <c r="DF42" s="1223"/>
      <c r="DG42" s="1223"/>
      <c r="DH42" s="1494"/>
      <c r="DI42" s="1494"/>
      <c r="DJ42" s="1494"/>
      <c r="DK42" s="1389"/>
      <c r="DL42" s="1419">
        <f t="shared" si="34"/>
        <v>0</v>
      </c>
      <c r="DM42" s="1419">
        <f t="shared" si="35"/>
        <v>0</v>
      </c>
      <c r="DN42" s="1419">
        <f t="shared" si="36"/>
        <v>0</v>
      </c>
      <c r="DO42" s="819"/>
      <c r="DP42" s="1315"/>
      <c r="DQ42" s="1315"/>
      <c r="DR42" s="1315"/>
      <c r="DS42" s="1315"/>
      <c r="DT42" s="1315"/>
      <c r="DU42" s="1315"/>
      <c r="DV42" s="1315"/>
      <c r="DW42" s="1315"/>
      <c r="DX42" s="1315"/>
      <c r="DY42" s="1315"/>
      <c r="DZ42" s="1315"/>
      <c r="EA42" s="1315"/>
      <c r="EB42" s="1315"/>
      <c r="EC42" s="1315"/>
      <c r="ED42" s="1315"/>
      <c r="EE42" s="1315"/>
      <c r="EF42" s="1315"/>
      <c r="EG42" s="1315"/>
      <c r="EH42" s="1315"/>
      <c r="EI42" s="1315"/>
      <c r="EJ42" s="1315"/>
      <c r="EK42" s="1315"/>
      <c r="EL42" s="1315"/>
    </row>
    <row r="43" spans="1:155" s="50" customFormat="1" ht="129" hidden="1" customHeight="1">
      <c r="A43" s="6">
        <f t="shared" si="53"/>
        <v>30</v>
      </c>
      <c r="B43" s="1330"/>
      <c r="C43" s="1330" t="s">
        <v>181</v>
      </c>
      <c r="D43" s="1427" t="s">
        <v>261</v>
      </c>
      <c r="E43" s="1331">
        <v>7708503727</v>
      </c>
      <c r="F43" s="1330" t="s">
        <v>8</v>
      </c>
      <c r="G43" s="1332" t="s">
        <v>999</v>
      </c>
      <c r="H43" s="1695">
        <v>3009.7679999999996</v>
      </c>
      <c r="I43" s="1696">
        <v>3009.7679999999996</v>
      </c>
      <c r="J43" s="1335">
        <v>0</v>
      </c>
      <c r="K43" s="1335">
        <v>0</v>
      </c>
      <c r="L43" s="1335">
        <v>3009.7679999999996</v>
      </c>
      <c r="M43" s="1390">
        <v>0</v>
      </c>
      <c r="N43" s="1403">
        <v>3009.7679999999996</v>
      </c>
      <c r="O43" s="1335">
        <v>3009.7679999999996</v>
      </c>
      <c r="P43" s="1335"/>
      <c r="Q43" s="1335"/>
      <c r="R43" s="1335">
        <v>3009.7679999999996</v>
      </c>
      <c r="S43" s="1390"/>
      <c r="T43" s="1333">
        <v>1.883</v>
      </c>
      <c r="U43" s="1334">
        <v>0</v>
      </c>
      <c r="V43" s="1334">
        <v>0</v>
      </c>
      <c r="W43" s="1334">
        <v>287.63200000000001</v>
      </c>
      <c r="X43" s="1334">
        <v>0</v>
      </c>
      <c r="Y43" s="1334">
        <v>0</v>
      </c>
      <c r="Z43" s="1393">
        <f>SUM(T43:Y43)</f>
        <v>289.51499999999999</v>
      </c>
      <c r="AA43" s="1418">
        <v>2.2759999999999998</v>
      </c>
      <c r="AB43" s="1334">
        <v>0</v>
      </c>
      <c r="AC43" s="1334">
        <v>0</v>
      </c>
      <c r="AD43" s="1334">
        <v>224.44800000000004</v>
      </c>
      <c r="AE43" s="1334">
        <v>0</v>
      </c>
      <c r="AF43" s="1334">
        <v>0</v>
      </c>
      <c r="AG43" s="1395">
        <f t="shared" si="58"/>
        <v>226.72400000000005</v>
      </c>
      <c r="AH43" s="1391">
        <f t="shared" si="59"/>
        <v>516.23900000000003</v>
      </c>
      <c r="AI43" s="1334">
        <f t="shared" si="82"/>
        <v>4.1589999999999998</v>
      </c>
      <c r="AJ43" s="1334">
        <f t="shared" si="82"/>
        <v>0</v>
      </c>
      <c r="AK43" s="1334">
        <f t="shared" si="82"/>
        <v>0</v>
      </c>
      <c r="AL43" s="1334">
        <f t="shared" si="82"/>
        <v>512.08000000000004</v>
      </c>
      <c r="AM43" s="1334">
        <f t="shared" si="82"/>
        <v>0</v>
      </c>
      <c r="AN43" s="1334"/>
      <c r="AO43" s="1334">
        <f t="shared" si="79"/>
        <v>516.23900000000003</v>
      </c>
      <c r="AP43" s="1334">
        <f>SUM(AI43:AM43)</f>
        <v>516.23900000000003</v>
      </c>
      <c r="AQ43" s="1396">
        <f t="shared" si="81"/>
        <v>516.23900000000003</v>
      </c>
      <c r="AR43" s="1346">
        <f t="shared" si="41"/>
        <v>0</v>
      </c>
      <c r="AS43" s="1347">
        <f>I43*AI43</f>
        <v>12517.625111999998</v>
      </c>
      <c r="AT43" s="1341">
        <f t="shared" si="83"/>
        <v>0</v>
      </c>
      <c r="AU43" s="1341">
        <f t="shared" si="83"/>
        <v>0</v>
      </c>
      <c r="AV43" s="1341">
        <f>L43*AL43</f>
        <v>1541241.9974399998</v>
      </c>
      <c r="AW43" s="1341">
        <f t="shared" si="83"/>
        <v>0</v>
      </c>
      <c r="AX43" s="1341">
        <f t="shared" si="54"/>
        <v>1553759.6225519998</v>
      </c>
      <c r="AY43" s="1341">
        <f>SUM(AS43:AV43)</f>
        <v>1553759.6225519998</v>
      </c>
      <c r="AZ43" s="1341">
        <f t="shared" si="84"/>
        <v>12517.625111999998</v>
      </c>
      <c r="BA43" s="1341">
        <f t="shared" si="84"/>
        <v>0</v>
      </c>
      <c r="BB43" s="1341">
        <f t="shared" si="84"/>
        <v>0</v>
      </c>
      <c r="BC43" s="1341">
        <f>R43*AL43</f>
        <v>1541241.9974399998</v>
      </c>
      <c r="BD43" s="1341">
        <f t="shared" si="84"/>
        <v>0</v>
      </c>
      <c r="BE43" s="1341">
        <f t="shared" si="56"/>
        <v>1553759.6225519998</v>
      </c>
      <c r="BF43" s="1345">
        <f t="shared" si="60"/>
        <v>1553759.6225519998</v>
      </c>
      <c r="BG43" s="1348">
        <v>0</v>
      </c>
      <c r="BH43" s="1341">
        <v>0</v>
      </c>
      <c r="BI43" s="1341">
        <v>0</v>
      </c>
      <c r="BJ43" s="1363">
        <v>1294.8021892208574</v>
      </c>
      <c r="BK43" s="1638">
        <v>2019.873</v>
      </c>
      <c r="BL43" s="1341">
        <f>I43*T43</f>
        <v>5667.3931439999997</v>
      </c>
      <c r="BM43" s="1341">
        <f t="shared" si="61"/>
        <v>0</v>
      </c>
      <c r="BN43" s="1341">
        <f t="shared" si="61"/>
        <v>0</v>
      </c>
      <c r="BO43" s="1341">
        <f>L43*W43</f>
        <v>865705.58937599987</v>
      </c>
      <c r="BP43" s="1341">
        <f t="shared" si="61"/>
        <v>0</v>
      </c>
      <c r="BQ43" s="1341">
        <f>BL43+BM43+BN43+BO43+BP43</f>
        <v>871372.98251999984</v>
      </c>
      <c r="BR43" s="1341">
        <f t="shared" si="63"/>
        <v>871372.98251999984</v>
      </c>
      <c r="BS43" s="1341">
        <f>O43*AA43</f>
        <v>6850.2319679999982</v>
      </c>
      <c r="BT43" s="1341">
        <f t="shared" si="64"/>
        <v>0</v>
      </c>
      <c r="BU43" s="1341">
        <f t="shared" si="64"/>
        <v>0</v>
      </c>
      <c r="BV43" s="1341">
        <f>R43*AD43</f>
        <v>675536.40806399996</v>
      </c>
      <c r="BW43" s="1341">
        <f t="shared" si="19"/>
        <v>0</v>
      </c>
      <c r="BX43" s="1341">
        <f>BS43+BT43+BU43+BV43+BW43</f>
        <v>682386.64003199991</v>
      </c>
      <c r="BY43" s="1341">
        <f>BX43-BW43</f>
        <v>682386.64003199991</v>
      </c>
      <c r="BZ43" s="1349">
        <f t="shared" si="68"/>
        <v>0</v>
      </c>
      <c r="CA43" s="1349">
        <f t="shared" si="68"/>
        <v>0</v>
      </c>
      <c r="CB43" s="1349">
        <f t="shared" si="69"/>
        <v>0</v>
      </c>
      <c r="CC43" s="1351" t="e">
        <f t="shared" si="70"/>
        <v>#DIV/0!</v>
      </c>
      <c r="CD43" s="1351" t="e">
        <f t="shared" si="70"/>
        <v>#DIV/0!</v>
      </c>
      <c r="CE43" s="1351" t="e">
        <f t="shared" si="44"/>
        <v>#DIV/0!</v>
      </c>
      <c r="CF43" s="1349" t="e">
        <f t="shared" si="20"/>
        <v>#DIV/0!</v>
      </c>
      <c r="CG43" s="1367">
        <f t="shared" si="21"/>
        <v>0</v>
      </c>
      <c r="CH43" s="1367" t="e">
        <f t="shared" si="45"/>
        <v>#DIV/0!</v>
      </c>
      <c r="CI43" s="1423"/>
      <c r="CJ43" s="1341">
        <f t="shared" si="71"/>
        <v>871.37298251999982</v>
      </c>
      <c r="CK43" s="1341">
        <f t="shared" si="22"/>
        <v>682.38664003200006</v>
      </c>
      <c r="CL43" s="1341">
        <f t="shared" si="47"/>
        <v>1553.7596225519999</v>
      </c>
      <c r="CM43" s="1341">
        <f t="shared" si="48"/>
        <v>1553.7596225519999</v>
      </c>
      <c r="CN43" s="1341">
        <f t="shared" si="49"/>
        <v>0</v>
      </c>
      <c r="CO43" s="1341">
        <f t="shared" si="23"/>
        <v>1553759.622552</v>
      </c>
      <c r="CP43" s="1341">
        <f t="shared" si="24"/>
        <v>1553759.6225519998</v>
      </c>
      <c r="CQ43" s="1341">
        <f t="shared" si="25"/>
        <v>1553759.6225519998</v>
      </c>
      <c r="CR43" s="1341">
        <f t="shared" si="26"/>
        <v>871372.98251999984</v>
      </c>
      <c r="CS43" s="1341">
        <f t="shared" si="27"/>
        <v>1553759.6225519998</v>
      </c>
      <c r="CT43" s="1341">
        <f t="shared" si="28"/>
        <v>1553759.6225519998</v>
      </c>
      <c r="CU43" s="1341">
        <f t="shared" si="29"/>
        <v>682386.64003199991</v>
      </c>
      <c r="CV43" s="1341">
        <f t="shared" si="50"/>
        <v>3107519.2451039995</v>
      </c>
      <c r="CW43" s="1350">
        <f t="shared" si="51"/>
        <v>6019.5359999999982</v>
      </c>
      <c r="CX43" s="1341">
        <f t="shared" si="30"/>
        <v>0</v>
      </c>
      <c r="CY43" s="1341">
        <f t="shared" si="31"/>
        <v>0</v>
      </c>
      <c r="CZ43" s="1341"/>
      <c r="DA43" s="1341">
        <f t="shared" si="32"/>
        <v>1553759.6225519998</v>
      </c>
      <c r="DB43" s="1341">
        <f t="shared" si="33"/>
        <v>1553759.6225519998</v>
      </c>
      <c r="DC43" s="1575"/>
      <c r="DD43" s="40" t="e">
        <f t="shared" si="52"/>
        <v>#DIV/0!</v>
      </c>
      <c r="DE43" s="1575"/>
      <c r="DF43" s="1575"/>
      <c r="DG43" s="1575"/>
      <c r="DH43" s="1487">
        <v>415.84</v>
      </c>
      <c r="DI43" s="1487">
        <v>0</v>
      </c>
      <c r="DJ43" s="1487">
        <f t="shared" si="57"/>
        <v>415.84</v>
      </c>
      <c r="DK43" s="1423"/>
      <c r="DL43" s="1352">
        <f t="shared" si="34"/>
        <v>0</v>
      </c>
      <c r="DM43" s="1352">
        <f t="shared" si="35"/>
        <v>0</v>
      </c>
      <c r="DN43" s="1352">
        <f t="shared" si="36"/>
        <v>0</v>
      </c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</row>
    <row r="44" spans="1:155" s="1313" customFormat="1" ht="87.75" hidden="1" customHeight="1">
      <c r="A44" s="6">
        <f t="shared" si="53"/>
        <v>31</v>
      </c>
      <c r="B44" s="1840" t="s">
        <v>16</v>
      </c>
      <c r="C44" s="1840" t="s">
        <v>92</v>
      </c>
      <c r="D44" s="1706" t="s">
        <v>142</v>
      </c>
      <c r="E44" s="1331">
        <v>4632024035</v>
      </c>
      <c r="F44" s="1330" t="s">
        <v>8</v>
      </c>
      <c r="G44" s="1682" t="s">
        <v>1034</v>
      </c>
      <c r="H44" s="1700">
        <v>3314.9639999999995</v>
      </c>
      <c r="I44" s="1701">
        <f>H44</f>
        <v>3314.9639999999995</v>
      </c>
      <c r="J44" s="1707">
        <v>2484</v>
      </c>
      <c r="K44" s="1335"/>
      <c r="L44" s="1700">
        <v>3314.9639999999995</v>
      </c>
      <c r="M44" s="1390"/>
      <c r="N44" s="1703">
        <f>3132.14*1.2</f>
        <v>3758.5679999999998</v>
      </c>
      <c r="O44" s="1704">
        <f>N44</f>
        <v>3758.5679999999998</v>
      </c>
      <c r="P44" s="1708">
        <v>2719.98</v>
      </c>
      <c r="Q44" s="1335"/>
      <c r="R44" s="1704">
        <f>O44</f>
        <v>3758.5679999999998</v>
      </c>
      <c r="S44" s="1390"/>
      <c r="T44" s="1751">
        <v>245.37800000000004</v>
      </c>
      <c r="U44" s="1810"/>
      <c r="V44" s="1810"/>
      <c r="W44" s="1392"/>
      <c r="X44" s="1392"/>
      <c r="Y44" s="1392"/>
      <c r="Z44" s="1841">
        <f t="shared" si="8"/>
        <v>245.37800000000004</v>
      </c>
      <c r="AA44" s="1752">
        <v>257.52</v>
      </c>
      <c r="AB44" s="1736"/>
      <c r="AC44" s="1810"/>
      <c r="AD44" s="1334"/>
      <c r="AE44" s="1334"/>
      <c r="AF44" s="1334"/>
      <c r="AG44" s="1395">
        <f t="shared" si="58"/>
        <v>257.52</v>
      </c>
      <c r="AH44" s="1391">
        <f t="shared" si="59"/>
        <v>502.89800000000002</v>
      </c>
      <c r="AI44" s="1334">
        <f t="shared" si="82"/>
        <v>502.89800000000002</v>
      </c>
      <c r="AJ44" s="1334">
        <f t="shared" si="82"/>
        <v>0</v>
      </c>
      <c r="AK44" s="1334">
        <f t="shared" si="82"/>
        <v>0</v>
      </c>
      <c r="AL44" s="1334">
        <f t="shared" si="82"/>
        <v>0</v>
      </c>
      <c r="AM44" s="1334">
        <f t="shared" si="82"/>
        <v>0</v>
      </c>
      <c r="AN44" s="1334"/>
      <c r="AO44" s="1334">
        <f t="shared" si="79"/>
        <v>502.89800000000002</v>
      </c>
      <c r="AP44" s="1334">
        <f t="shared" si="80"/>
        <v>502.89800000000002</v>
      </c>
      <c r="AQ44" s="1396">
        <f t="shared" si="81"/>
        <v>502.89800000000002</v>
      </c>
      <c r="AR44" s="1417">
        <f t="shared" si="41"/>
        <v>0</v>
      </c>
      <c r="AS44" s="1333">
        <f t="shared" si="83"/>
        <v>1667088.7656719999</v>
      </c>
      <c r="AT44" s="1334">
        <f t="shared" si="83"/>
        <v>0</v>
      </c>
      <c r="AU44" s="1334">
        <f t="shared" si="83"/>
        <v>0</v>
      </c>
      <c r="AV44" s="1334">
        <f t="shared" si="83"/>
        <v>0</v>
      </c>
      <c r="AW44" s="1334">
        <f t="shared" si="83"/>
        <v>0</v>
      </c>
      <c r="AX44" s="1334">
        <f t="shared" si="54"/>
        <v>1667088.7656719999</v>
      </c>
      <c r="AY44" s="1334">
        <f t="shared" si="55"/>
        <v>1667088.7656719999</v>
      </c>
      <c r="AZ44" s="1334">
        <f t="shared" si="84"/>
        <v>1890176.3300639999</v>
      </c>
      <c r="BA44" s="1334">
        <f t="shared" si="84"/>
        <v>0</v>
      </c>
      <c r="BB44" s="1334">
        <f t="shared" si="84"/>
        <v>0</v>
      </c>
      <c r="BC44" s="1334">
        <f t="shared" si="84"/>
        <v>0</v>
      </c>
      <c r="BD44" s="1334">
        <f t="shared" si="84"/>
        <v>0</v>
      </c>
      <c r="BE44" s="1334">
        <f t="shared" si="56"/>
        <v>1890176.3300639999</v>
      </c>
      <c r="BF44" s="1396">
        <f t="shared" si="60"/>
        <v>1890176.3300639999</v>
      </c>
      <c r="BG44" s="1397">
        <f>(H44-J44)/1.2*U44/1000+(H44-K44)/1.2*V44/1000</f>
        <v>0</v>
      </c>
      <c r="BH44" s="1398">
        <f>(O44-P44)*AB44/1000/1.2+(O44-Q44)/1.2*AC44/1000</f>
        <v>0</v>
      </c>
      <c r="BI44" s="1399">
        <f>BG44+BH44</f>
        <v>0</v>
      </c>
      <c r="BJ44" s="1399"/>
      <c r="BK44" s="1641"/>
      <c r="BL44" s="1334">
        <f t="shared" si="61"/>
        <v>813419.23639199999</v>
      </c>
      <c r="BM44" s="1334">
        <f t="shared" si="61"/>
        <v>0</v>
      </c>
      <c r="BN44" s="1334">
        <f t="shared" si="61"/>
        <v>0</v>
      </c>
      <c r="BO44" s="1334">
        <f t="shared" si="61"/>
        <v>0</v>
      </c>
      <c r="BP44" s="1334">
        <f t="shared" si="61"/>
        <v>0</v>
      </c>
      <c r="BQ44" s="1334">
        <f t="shared" si="62"/>
        <v>813419.23639199999</v>
      </c>
      <c r="BR44" s="1334">
        <f t="shared" si="63"/>
        <v>813419.23639199999</v>
      </c>
      <c r="BS44" s="1334">
        <f t="shared" si="64"/>
        <v>967906.43135999981</v>
      </c>
      <c r="BT44" s="1334">
        <f t="shared" si="64"/>
        <v>0</v>
      </c>
      <c r="BU44" s="1334">
        <f t="shared" si="64"/>
        <v>0</v>
      </c>
      <c r="BV44" s="1334">
        <f t="shared" si="65"/>
        <v>0</v>
      </c>
      <c r="BW44" s="1334">
        <f t="shared" si="19"/>
        <v>0</v>
      </c>
      <c r="BX44" s="1334">
        <f t="shared" si="66"/>
        <v>967906.43135999981</v>
      </c>
      <c r="BY44" s="1334">
        <f t="shared" si="67"/>
        <v>967906.43135999981</v>
      </c>
      <c r="BZ44" s="1389">
        <f t="shared" si="68"/>
        <v>0</v>
      </c>
      <c r="CA44" s="1389">
        <f t="shared" si="68"/>
        <v>0</v>
      </c>
      <c r="CB44" s="1389">
        <f t="shared" si="69"/>
        <v>0</v>
      </c>
      <c r="CC44" s="1420" t="e">
        <f t="shared" si="70"/>
        <v>#DIV/0!</v>
      </c>
      <c r="CD44" s="1420" t="e">
        <f t="shared" si="70"/>
        <v>#DIV/0!</v>
      </c>
      <c r="CE44" s="1420" t="e">
        <f t="shared" si="44"/>
        <v>#DIV/0!</v>
      </c>
      <c r="CF44" s="1420" t="e">
        <f t="shared" si="20"/>
        <v>#DIV/0!</v>
      </c>
      <c r="CG44" s="1421">
        <f t="shared" si="21"/>
        <v>0</v>
      </c>
      <c r="CH44" s="1421" t="e">
        <f t="shared" si="45"/>
        <v>#DIV/0!</v>
      </c>
      <c r="CI44" s="1389"/>
      <c r="CJ44" s="1756">
        <f>H44*Z44/1000</f>
        <v>813.41923639200002</v>
      </c>
      <c r="CK44" s="1756">
        <f t="shared" si="22"/>
        <v>967.90643135999983</v>
      </c>
      <c r="CL44" s="1756">
        <f>CJ44+CK44</f>
        <v>1781.3256677519998</v>
      </c>
      <c r="CM44" s="1334">
        <f t="shared" si="48"/>
        <v>1890.1763300639998</v>
      </c>
      <c r="CN44" s="1334">
        <f t="shared" si="49"/>
        <v>108.85066231199994</v>
      </c>
      <c r="CO44" s="1334">
        <f t="shared" si="23"/>
        <v>1781325.6677519998</v>
      </c>
      <c r="CP44" s="1334">
        <f t="shared" si="24"/>
        <v>1667088.7656719999</v>
      </c>
      <c r="CQ44" s="1334">
        <f t="shared" si="25"/>
        <v>1667088.7656719999</v>
      </c>
      <c r="CR44" s="1334">
        <f t="shared" si="26"/>
        <v>813419.23639199999</v>
      </c>
      <c r="CS44" s="1334">
        <f t="shared" si="27"/>
        <v>1890176.3300639999</v>
      </c>
      <c r="CT44" s="1334">
        <f t="shared" si="28"/>
        <v>1890176.3300639999</v>
      </c>
      <c r="CU44" s="1334">
        <f t="shared" si="29"/>
        <v>967906.43135999981</v>
      </c>
      <c r="CV44" s="1334">
        <f t="shared" si="50"/>
        <v>3557265.0957359998</v>
      </c>
      <c r="CW44" s="1422">
        <f t="shared" si="51"/>
        <v>7073.5319999999992</v>
      </c>
      <c r="CX44" s="1334">
        <f t="shared" si="30"/>
        <v>0</v>
      </c>
      <c r="CY44" s="1334">
        <f t="shared" si="31"/>
        <v>0</v>
      </c>
      <c r="CZ44" s="1334"/>
      <c r="DA44" s="1334">
        <f t="shared" si="32"/>
        <v>1667088.7656719999</v>
      </c>
      <c r="DB44" s="1334">
        <f t="shared" si="33"/>
        <v>1890176.3300639999</v>
      </c>
      <c r="DC44" s="1223"/>
      <c r="DD44" s="1224">
        <f t="shared" si="52"/>
        <v>151.3111111111111</v>
      </c>
      <c r="DE44" s="1223"/>
      <c r="DF44" s="1223"/>
      <c r="DG44" s="1223"/>
      <c r="DH44" s="1494"/>
      <c r="DI44" s="1494"/>
      <c r="DJ44" s="1494"/>
      <c r="DK44" s="1389"/>
      <c r="DL44" s="1419">
        <f t="shared" si="34"/>
        <v>0</v>
      </c>
      <c r="DM44" s="1419">
        <f t="shared" si="35"/>
        <v>0</v>
      </c>
      <c r="DN44" s="1419">
        <f t="shared" si="36"/>
        <v>0</v>
      </c>
      <c r="DO44" s="819"/>
      <c r="DP44" s="1315"/>
      <c r="DQ44" s="1315"/>
      <c r="DR44" s="1315"/>
      <c r="DS44" s="1315"/>
      <c r="DT44" s="1315"/>
      <c r="DU44" s="1315"/>
      <c r="DV44" s="1315"/>
      <c r="DW44" s="1315"/>
      <c r="DX44" s="1315"/>
      <c r="DY44" s="1315"/>
      <c r="DZ44" s="1315"/>
      <c r="EA44" s="1315"/>
      <c r="EB44" s="1315"/>
      <c r="EC44" s="1315"/>
      <c r="ED44" s="1315"/>
      <c r="EE44" s="1315"/>
      <c r="EF44" s="1315"/>
      <c r="EG44" s="1315"/>
      <c r="EH44" s="1315"/>
      <c r="EI44" s="1315"/>
      <c r="EJ44" s="1315"/>
      <c r="EK44" s="1315"/>
      <c r="EL44" s="1315"/>
    </row>
    <row r="45" spans="1:155" s="50" customFormat="1" ht="72.75" hidden="1" customHeight="1">
      <c r="A45" s="6">
        <f t="shared" si="53"/>
        <v>32</v>
      </c>
      <c r="B45" s="1400" t="s">
        <v>17</v>
      </c>
      <c r="C45" s="1400" t="s">
        <v>57</v>
      </c>
      <c r="D45" s="1330" t="s">
        <v>278</v>
      </c>
      <c r="E45" s="1330">
        <v>4610006900</v>
      </c>
      <c r="F45" s="1330" t="s">
        <v>8</v>
      </c>
      <c r="G45" s="1332" t="s">
        <v>865</v>
      </c>
      <c r="H45" s="1693"/>
      <c r="I45" s="1694"/>
      <c r="J45" s="1335"/>
      <c r="K45" s="1335"/>
      <c r="L45" s="1335"/>
      <c r="M45" s="1336"/>
      <c r="N45" s="1428"/>
      <c r="O45" s="1339"/>
      <c r="P45" s="1339"/>
      <c r="Q45" s="1339"/>
      <c r="R45" s="1339"/>
      <c r="S45" s="1336"/>
      <c r="T45" s="1424"/>
      <c r="U45" s="1425"/>
      <c r="V45" s="1425"/>
      <c r="W45" s="1425"/>
      <c r="X45" s="1425"/>
      <c r="Y45" s="1425"/>
      <c r="Z45" s="1342"/>
      <c r="AA45" s="1426"/>
      <c r="AB45" s="1425"/>
      <c r="AC45" s="1425"/>
      <c r="AD45" s="1429"/>
      <c r="AE45" s="1425"/>
      <c r="AF45" s="1425"/>
      <c r="AG45" s="1344"/>
      <c r="AH45" s="1340">
        <f t="shared" si="59"/>
        <v>0</v>
      </c>
      <c r="AI45" s="1341">
        <f t="shared" si="82"/>
        <v>0</v>
      </c>
      <c r="AJ45" s="1341">
        <f t="shared" si="82"/>
        <v>0</v>
      </c>
      <c r="AK45" s="1341">
        <f t="shared" si="82"/>
        <v>0</v>
      </c>
      <c r="AL45" s="1341">
        <f t="shared" si="82"/>
        <v>0</v>
      </c>
      <c r="AM45" s="1341">
        <f t="shared" si="82"/>
        <v>0</v>
      </c>
      <c r="AN45" s="1341"/>
      <c r="AO45" s="1341">
        <f t="shared" si="79"/>
        <v>0</v>
      </c>
      <c r="AP45" s="1341">
        <f t="shared" si="80"/>
        <v>0</v>
      </c>
      <c r="AQ45" s="1430">
        <f t="shared" si="81"/>
        <v>0</v>
      </c>
      <c r="AR45" s="1346">
        <f t="shared" si="41"/>
        <v>0</v>
      </c>
      <c r="AS45" s="1347">
        <f t="shared" si="83"/>
        <v>0</v>
      </c>
      <c r="AT45" s="1341">
        <f t="shared" si="83"/>
        <v>0</v>
      </c>
      <c r="AU45" s="1341">
        <f t="shared" si="83"/>
        <v>0</v>
      </c>
      <c r="AV45" s="1341">
        <f t="shared" si="83"/>
        <v>0</v>
      </c>
      <c r="AW45" s="1341">
        <f t="shared" si="83"/>
        <v>0</v>
      </c>
      <c r="AX45" s="1341">
        <f t="shared" si="54"/>
        <v>0</v>
      </c>
      <c r="AY45" s="1341">
        <f t="shared" si="55"/>
        <v>0</v>
      </c>
      <c r="AZ45" s="1341">
        <f t="shared" si="84"/>
        <v>0</v>
      </c>
      <c r="BA45" s="1341">
        <f t="shared" si="84"/>
        <v>0</v>
      </c>
      <c r="BB45" s="1341">
        <f t="shared" si="84"/>
        <v>0</v>
      </c>
      <c r="BC45" s="1341">
        <f t="shared" si="84"/>
        <v>0</v>
      </c>
      <c r="BD45" s="1341">
        <f t="shared" si="84"/>
        <v>0</v>
      </c>
      <c r="BE45" s="1341">
        <f t="shared" si="56"/>
        <v>0</v>
      </c>
      <c r="BF45" s="1345">
        <f t="shared" si="60"/>
        <v>0</v>
      </c>
      <c r="BG45" s="1348">
        <v>670.43</v>
      </c>
      <c r="BH45" s="1341">
        <v>3185.78</v>
      </c>
      <c r="BI45" s="1366">
        <f t="shared" si="7"/>
        <v>3856.21</v>
      </c>
      <c r="BJ45" s="1341">
        <v>9863.1299999999992</v>
      </c>
      <c r="BK45" s="1638"/>
      <c r="BL45" s="1341">
        <f t="shared" ref="BL45:BP74" si="104">I45*T45</f>
        <v>0</v>
      </c>
      <c r="BM45" s="1341">
        <f t="shared" si="104"/>
        <v>0</v>
      </c>
      <c r="BN45" s="1341">
        <f t="shared" si="104"/>
        <v>0</v>
      </c>
      <c r="BO45" s="1341">
        <f t="shared" si="104"/>
        <v>0</v>
      </c>
      <c r="BP45" s="1341">
        <f t="shared" si="104"/>
        <v>0</v>
      </c>
      <c r="BQ45" s="1341">
        <f t="shared" si="62"/>
        <v>0</v>
      </c>
      <c r="BR45" s="1341">
        <f t="shared" si="63"/>
        <v>0</v>
      </c>
      <c r="BS45" s="1341">
        <f t="shared" ref="BS45:BU74" si="105">O45*AA45</f>
        <v>0</v>
      </c>
      <c r="BT45" s="1341">
        <f t="shared" si="105"/>
        <v>0</v>
      </c>
      <c r="BU45" s="1341">
        <f t="shared" si="105"/>
        <v>0</v>
      </c>
      <c r="BV45" s="1341">
        <f t="shared" si="65"/>
        <v>0</v>
      </c>
      <c r="BW45" s="1341">
        <f t="shared" si="19"/>
        <v>0</v>
      </c>
      <c r="BX45" s="1341">
        <f t="shared" si="66"/>
        <v>0</v>
      </c>
      <c r="BY45" s="1341">
        <f t="shared" si="67"/>
        <v>0</v>
      </c>
      <c r="BZ45" s="1349">
        <f t="shared" si="68"/>
        <v>0</v>
      </c>
      <c r="CA45" s="1349">
        <f t="shared" si="68"/>
        <v>0</v>
      </c>
      <c r="CB45" s="1349">
        <f t="shared" si="69"/>
        <v>0</v>
      </c>
      <c r="CC45" s="1351" t="e">
        <f t="shared" si="70"/>
        <v>#DIV/0!</v>
      </c>
      <c r="CD45" s="1351" t="e">
        <f t="shared" si="70"/>
        <v>#DIV/0!</v>
      </c>
      <c r="CE45" s="1351" t="e">
        <f t="shared" si="44"/>
        <v>#DIV/0!</v>
      </c>
      <c r="CF45" s="1351" t="e">
        <f t="shared" si="20"/>
        <v>#DIV/0!</v>
      </c>
      <c r="CG45" s="1367">
        <f t="shared" si="21"/>
        <v>0</v>
      </c>
      <c r="CH45" s="1367" t="e">
        <f t="shared" si="45"/>
        <v>#DIV/0!</v>
      </c>
      <c r="CI45" s="1423"/>
      <c r="CJ45" s="1341">
        <f t="shared" si="71"/>
        <v>0</v>
      </c>
      <c r="CK45" s="1341">
        <f t="shared" si="22"/>
        <v>0</v>
      </c>
      <c r="CL45" s="1341">
        <f t="shared" si="47"/>
        <v>0</v>
      </c>
      <c r="CM45" s="1341">
        <f t="shared" si="48"/>
        <v>0</v>
      </c>
      <c r="CN45" s="1341">
        <f t="shared" si="49"/>
        <v>0</v>
      </c>
      <c r="CO45" s="1341">
        <f t="shared" si="23"/>
        <v>0</v>
      </c>
      <c r="CP45" s="1341">
        <f t="shared" si="24"/>
        <v>0</v>
      </c>
      <c r="CQ45" s="1341">
        <f t="shared" si="25"/>
        <v>0</v>
      </c>
      <c r="CR45" s="1341">
        <f t="shared" si="26"/>
        <v>0</v>
      </c>
      <c r="CS45" s="1341">
        <f t="shared" si="27"/>
        <v>0</v>
      </c>
      <c r="CT45" s="1341">
        <f t="shared" si="28"/>
        <v>0</v>
      </c>
      <c r="CU45" s="1341">
        <f t="shared" si="29"/>
        <v>0</v>
      </c>
      <c r="CV45" s="1341">
        <f t="shared" si="50"/>
        <v>0</v>
      </c>
      <c r="CW45" s="1350" t="e">
        <f t="shared" si="51"/>
        <v>#DIV/0!</v>
      </c>
      <c r="CX45" s="1341">
        <f t="shared" si="30"/>
        <v>0</v>
      </c>
      <c r="CY45" s="1341">
        <f t="shared" si="31"/>
        <v>0</v>
      </c>
      <c r="CZ45" s="1341"/>
      <c r="DA45" s="1341">
        <f t="shared" si="32"/>
        <v>0</v>
      </c>
      <c r="DB45" s="1341">
        <f t="shared" si="33"/>
        <v>0</v>
      </c>
      <c r="DC45" s="1575"/>
      <c r="DD45" s="40" t="e">
        <f t="shared" si="52"/>
        <v>#DIV/0!</v>
      </c>
      <c r="DE45" s="1575"/>
      <c r="DF45" s="1575"/>
      <c r="DG45" s="1575"/>
      <c r="DH45" s="1487">
        <v>2982.3739999999998</v>
      </c>
      <c r="DI45" s="1487">
        <v>2100.2200000000003</v>
      </c>
      <c r="DJ45" s="1487">
        <f t="shared" si="57"/>
        <v>882.15399999999954</v>
      </c>
      <c r="DK45" s="1423"/>
      <c r="DL45" s="1352">
        <f t="shared" si="34"/>
        <v>0</v>
      </c>
      <c r="DM45" s="1352">
        <f t="shared" si="35"/>
        <v>0</v>
      </c>
      <c r="DN45" s="1352">
        <f t="shared" si="36"/>
        <v>0</v>
      </c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</row>
    <row r="46" spans="1:155" s="50" customFormat="1" ht="70.5" hidden="1" customHeight="1">
      <c r="A46" s="6">
        <f t="shared" si="53"/>
        <v>33</v>
      </c>
      <c r="B46" s="1663" t="s">
        <v>18</v>
      </c>
      <c r="C46" s="1663" t="s">
        <v>93</v>
      </c>
      <c r="D46" s="1663" t="s">
        <v>275</v>
      </c>
      <c r="E46" s="1663">
        <v>4611016308</v>
      </c>
      <c r="F46" s="1663" t="s">
        <v>8</v>
      </c>
      <c r="G46" s="1666" t="s">
        <v>1015</v>
      </c>
      <c r="H46" s="1369">
        <v>2954.172</v>
      </c>
      <c r="I46" s="1335">
        <v>2954.172</v>
      </c>
      <c r="J46" s="1335">
        <v>1858.8959999999997</v>
      </c>
      <c r="K46" s="1335">
        <v>1858.8959999999997</v>
      </c>
      <c r="L46" s="1335">
        <v>2954.172</v>
      </c>
      <c r="M46" s="1390">
        <v>0</v>
      </c>
      <c r="N46" s="1403">
        <f>2666.04*1.2</f>
        <v>3199.248</v>
      </c>
      <c r="O46" s="1335">
        <f>N46</f>
        <v>3199.248</v>
      </c>
      <c r="P46" s="1335">
        <f>1772.15*1.2</f>
        <v>2126.58</v>
      </c>
      <c r="Q46" s="1335">
        <f>P46</f>
        <v>2126.58</v>
      </c>
      <c r="R46" s="1335">
        <f>O46</f>
        <v>3199.248</v>
      </c>
      <c r="S46" s="1390">
        <v>0</v>
      </c>
      <c r="T46" s="1333">
        <v>10032.875666666667</v>
      </c>
      <c r="U46" s="1334">
        <v>8442.5949999999993</v>
      </c>
      <c r="V46" s="1392">
        <v>2291.0963333333334</v>
      </c>
      <c r="W46" s="1334">
        <v>332.96766666666667</v>
      </c>
      <c r="X46" s="1334">
        <v>0</v>
      </c>
      <c r="Y46" s="1334">
        <v>0</v>
      </c>
      <c r="Z46" s="1393">
        <f>SUM(T46:W46)</f>
        <v>21099.53466666667</v>
      </c>
      <c r="AA46" s="1418">
        <v>6833.2309999999998</v>
      </c>
      <c r="AB46" s="1334">
        <v>5682.1549999999997</v>
      </c>
      <c r="AC46" s="1496">
        <v>1959.9143333333334</v>
      </c>
      <c r="AD46" s="1334">
        <v>196.57966666666667</v>
      </c>
      <c r="AE46" s="1334">
        <v>0</v>
      </c>
      <c r="AF46" s="1334">
        <v>0</v>
      </c>
      <c r="AG46" s="1395">
        <f>SUM(AA46:AD46)</f>
        <v>14671.88</v>
      </c>
      <c r="AH46" s="1448">
        <f>Z46+AG46</f>
        <v>35771.414666666671</v>
      </c>
      <c r="AI46" s="1338">
        <f>T46+AA46</f>
        <v>16866.106666666667</v>
      </c>
      <c r="AJ46" s="1338">
        <f>U46+AB46</f>
        <v>14124.75</v>
      </c>
      <c r="AK46" s="1338">
        <f>V46+AC46</f>
        <v>4251.010666666667</v>
      </c>
      <c r="AL46" s="1338">
        <f t="shared" si="82"/>
        <v>529.54733333333331</v>
      </c>
      <c r="AM46" s="1338">
        <f t="shared" si="82"/>
        <v>0</v>
      </c>
      <c r="AN46" s="1338">
        <v>0</v>
      </c>
      <c r="AO46" s="1338">
        <f>SUM(AI46:AN46)</f>
        <v>35771.414666666671</v>
      </c>
      <c r="AP46" s="1338">
        <f>SUM(AI46:AM46)</f>
        <v>35771.414666666671</v>
      </c>
      <c r="AQ46" s="1416">
        <f>SUM(AI46:AL46)</f>
        <v>35771.414666666671</v>
      </c>
      <c r="AR46" s="1417">
        <f>AQ46-AH46</f>
        <v>0</v>
      </c>
      <c r="AS46" s="1333">
        <f>I46*AI46</f>
        <v>49825380.063680001</v>
      </c>
      <c r="AT46" s="1334">
        <f t="shared" si="83"/>
        <v>26256441.275999997</v>
      </c>
      <c r="AU46" s="1334">
        <f t="shared" si="83"/>
        <v>7902186.7242239993</v>
      </c>
      <c r="AV46" s="1334">
        <f t="shared" si="83"/>
        <v>1564373.904808</v>
      </c>
      <c r="AW46" s="1334">
        <f t="shared" si="83"/>
        <v>0</v>
      </c>
      <c r="AX46" s="1419">
        <f t="shared" si="54"/>
        <v>85548381.968712002</v>
      </c>
      <c r="AY46" s="1419">
        <f t="shared" si="55"/>
        <v>85548381.968712002</v>
      </c>
      <c r="AZ46" s="1419">
        <f t="shared" si="84"/>
        <v>53958858.021119997</v>
      </c>
      <c r="BA46" s="1419">
        <f t="shared" si="84"/>
        <v>30037410.855</v>
      </c>
      <c r="BB46" s="1419">
        <f t="shared" si="84"/>
        <v>9040114.2635200005</v>
      </c>
      <c r="BC46" s="1419">
        <f t="shared" si="84"/>
        <v>1694153.2470720001</v>
      </c>
      <c r="BD46" s="1419">
        <f t="shared" si="84"/>
        <v>0</v>
      </c>
      <c r="BE46" s="1419">
        <f t="shared" si="56"/>
        <v>94730536.386712</v>
      </c>
      <c r="BF46" s="1479">
        <f t="shared" si="60"/>
        <v>94730536.386712</v>
      </c>
      <c r="BG46" s="1397">
        <v>9796.9294924374499</v>
      </c>
      <c r="BH46" s="1398">
        <v>6831.2209405287422</v>
      </c>
      <c r="BI46" s="1399">
        <f>BG46+BH46</f>
        <v>16628.150432966191</v>
      </c>
      <c r="BJ46" s="1334">
        <v>91058.825078751834</v>
      </c>
      <c r="BK46" s="1643">
        <v>114518.11862476318</v>
      </c>
      <c r="BL46" s="1334">
        <f>I46*T46</f>
        <v>29638840.373948</v>
      </c>
      <c r="BM46" s="1334">
        <f>J46*U46</f>
        <v>15693906.075119996</v>
      </c>
      <c r="BN46" s="1334">
        <f>K46*V46</f>
        <v>4258909.8096479997</v>
      </c>
      <c r="BO46" s="1334">
        <f>L46*W46</f>
        <v>983643.75777200004</v>
      </c>
      <c r="BP46" s="1334">
        <f t="shared" si="104"/>
        <v>0</v>
      </c>
      <c r="BQ46" s="1334">
        <f>BL46+BM46+BN46+BO46+BP46</f>
        <v>50575300.016487993</v>
      </c>
      <c r="BR46" s="1334">
        <f>BQ46-BP46</f>
        <v>50575300.016487993</v>
      </c>
      <c r="BS46" s="1334">
        <f t="shared" si="105"/>
        <v>21861200.610287998</v>
      </c>
      <c r="BT46" s="1334">
        <f t="shared" si="105"/>
        <v>12083557.1799</v>
      </c>
      <c r="BU46" s="1334">
        <f t="shared" si="105"/>
        <v>4167914.62298</v>
      </c>
      <c r="BV46" s="1334">
        <f t="shared" si="65"/>
        <v>1065246.1416480001</v>
      </c>
      <c r="BW46" s="1334">
        <f t="shared" si="19"/>
        <v>0</v>
      </c>
      <c r="BX46" s="1334">
        <f t="shared" si="66"/>
        <v>39177918.554816</v>
      </c>
      <c r="BY46" s="1334">
        <f>BX46-BW46</f>
        <v>39177918.554816</v>
      </c>
      <c r="BZ46" s="1389">
        <f>BM46+BT46</f>
        <v>27777463.255019996</v>
      </c>
      <c r="CA46" s="1389">
        <f>BN46+BU46</f>
        <v>8426824.4326280002</v>
      </c>
      <c r="CB46" s="1389">
        <f>BZ46+CA46</f>
        <v>36204287.687647998</v>
      </c>
      <c r="CC46" s="1420">
        <f t="shared" si="70"/>
        <v>1966.5808778930598</v>
      </c>
      <c r="CD46" s="1420">
        <f t="shared" si="70"/>
        <v>1982.3108181555569</v>
      </c>
      <c r="CE46" s="1420">
        <f t="shared" si="44"/>
        <v>1970.2198099108891</v>
      </c>
      <c r="CF46" s="1420">
        <f t="shared" si="20"/>
        <v>1970.2198099108896</v>
      </c>
      <c r="CG46" s="1421">
        <f t="shared" si="21"/>
        <v>56158045.42410399</v>
      </c>
      <c r="CH46" s="1421">
        <f t="shared" si="45"/>
        <v>3056.0936465598279</v>
      </c>
      <c r="CI46" s="1389"/>
      <c r="CJ46" s="1334">
        <f>N46*Z46/1000</f>
        <v>67502.644083264007</v>
      </c>
      <c r="CK46" s="1334">
        <f t="shared" si="22"/>
        <v>46938.982746239999</v>
      </c>
      <c r="CL46" s="1334">
        <f t="shared" si="47"/>
        <v>114441.62682950401</v>
      </c>
      <c r="CM46" s="1334">
        <f t="shared" si="48"/>
        <v>114441.62682950401</v>
      </c>
      <c r="CN46" s="1334">
        <f t="shared" si="49"/>
        <v>0</v>
      </c>
      <c r="CO46" s="1334">
        <f t="shared" si="23"/>
        <v>109270637.27153601</v>
      </c>
      <c r="CP46" s="1334">
        <f t="shared" si="24"/>
        <v>85548381.968712002</v>
      </c>
      <c r="CQ46" s="1334">
        <f t="shared" si="25"/>
        <v>85548381.968712002</v>
      </c>
      <c r="CR46" s="1334">
        <f t="shared" si="26"/>
        <v>50575300.016487993</v>
      </c>
      <c r="CS46" s="1334">
        <f t="shared" si="27"/>
        <v>94730536.386712</v>
      </c>
      <c r="CT46" s="1334">
        <f t="shared" si="28"/>
        <v>94730536.386712</v>
      </c>
      <c r="CU46" s="1334">
        <f t="shared" si="29"/>
        <v>38741579.518592</v>
      </c>
      <c r="CV46" s="1334">
        <f t="shared" si="50"/>
        <v>180278918.35542399</v>
      </c>
      <c r="CW46" s="1422">
        <f t="shared" si="51"/>
        <v>5039.7480791671223</v>
      </c>
      <c r="CX46" s="1334">
        <f t="shared" si="30"/>
        <v>34158628.000223994</v>
      </c>
      <c r="CY46" s="1334">
        <f t="shared" si="31"/>
        <v>39077525.118519999</v>
      </c>
      <c r="CZ46" s="1334"/>
      <c r="DA46" s="1334">
        <f t="shared" si="32"/>
        <v>105674911.608656</v>
      </c>
      <c r="DB46" s="1334">
        <f t="shared" si="33"/>
        <v>114441626.829504</v>
      </c>
      <c r="DC46" s="1223"/>
      <c r="DD46" s="1224">
        <f t="shared" si="52"/>
        <v>172.1047331319235</v>
      </c>
      <c r="DE46" s="1223"/>
      <c r="DF46" s="1223"/>
      <c r="DG46" s="1223"/>
      <c r="DH46" s="1664">
        <f>AQ46</f>
        <v>35771.414666666671</v>
      </c>
      <c r="DI46" s="1664">
        <f>AJ46+AK46</f>
        <v>18375.760666666669</v>
      </c>
      <c r="DJ46" s="1664">
        <f>DH46-DI46</f>
        <v>17395.654000000002</v>
      </c>
      <c r="DK46" s="1389"/>
      <c r="DL46" s="1419">
        <f t="shared" si="34"/>
        <v>0</v>
      </c>
      <c r="DM46" s="1419">
        <f t="shared" si="35"/>
        <v>0</v>
      </c>
      <c r="DN46" s="1419">
        <f t="shared" si="36"/>
        <v>0</v>
      </c>
      <c r="DO46" s="819"/>
      <c r="DP46" s="1315"/>
      <c r="DQ46" s="1315"/>
      <c r="DR46" s="1315"/>
      <c r="DS46" s="1315"/>
      <c r="DT46" s="1315"/>
      <c r="DU46" s="1315"/>
      <c r="DV46" s="1315"/>
      <c r="DW46" s="1315"/>
      <c r="DX46" s="1315"/>
      <c r="DY46" s="1315"/>
      <c r="DZ46" s="1315"/>
      <c r="EA46" s="1315"/>
      <c r="EB46" s="1315"/>
      <c r="EC46" s="1315"/>
      <c r="ED46" s="1315"/>
      <c r="EE46" s="1315"/>
      <c r="EF46" s="1315"/>
      <c r="EG46" s="1315"/>
      <c r="EH46" s="1315"/>
      <c r="EI46" s="1315"/>
      <c r="EJ46" s="1315"/>
      <c r="EK46" s="1315"/>
      <c r="EL46" s="1315"/>
      <c r="EM46" s="1313"/>
      <c r="EN46" s="1313"/>
      <c r="EO46" s="1313"/>
      <c r="EP46" s="1313"/>
      <c r="EQ46" s="1313"/>
      <c r="ER46" s="1313"/>
      <c r="ES46" s="1313"/>
      <c r="ET46" s="1313"/>
      <c r="EU46" s="1313"/>
      <c r="EV46" s="1313"/>
      <c r="EW46" s="1313"/>
      <c r="EX46" s="1313"/>
      <c r="EY46" s="1313"/>
    </row>
    <row r="47" spans="1:155" s="50" customFormat="1" ht="77.25" hidden="1" customHeight="1">
      <c r="A47" s="6">
        <f t="shared" si="53"/>
        <v>34</v>
      </c>
      <c r="B47" s="1330" t="s">
        <v>18</v>
      </c>
      <c r="C47" s="1330"/>
      <c r="D47" s="1663" t="s">
        <v>1030</v>
      </c>
      <c r="E47" s="1681">
        <v>6829012680</v>
      </c>
      <c r="F47" s="1663" t="s">
        <v>8</v>
      </c>
      <c r="G47" s="1666" t="s">
        <v>1033</v>
      </c>
      <c r="H47" s="1369">
        <v>2326.752</v>
      </c>
      <c r="I47" s="1335">
        <v>2326.752</v>
      </c>
      <c r="J47" s="1335">
        <v>2231.2199999999998</v>
      </c>
      <c r="K47" s="1335">
        <v>2231.2199999999998</v>
      </c>
      <c r="L47" s="1335">
        <v>2326.752</v>
      </c>
      <c r="M47" s="1390">
        <v>0</v>
      </c>
      <c r="N47" s="1371">
        <f>2165.81*1.2</f>
        <v>2598.9719999999998</v>
      </c>
      <c r="O47" s="1372">
        <f>N47</f>
        <v>2598.9719999999998</v>
      </c>
      <c r="P47" s="1372">
        <v>2403.02</v>
      </c>
      <c r="Q47" s="1372">
        <f>P47</f>
        <v>2403.02</v>
      </c>
      <c r="R47" s="1372">
        <f>O47</f>
        <v>2598.9719999999998</v>
      </c>
      <c r="S47" s="1370">
        <v>0</v>
      </c>
      <c r="T47" s="1432">
        <v>645.19999999999993</v>
      </c>
      <c r="U47" s="1431">
        <v>96.2</v>
      </c>
      <c r="V47" s="1341">
        <v>0</v>
      </c>
      <c r="W47" s="1341"/>
      <c r="X47" s="1341"/>
      <c r="Y47" s="1341"/>
      <c r="Z47" s="1342">
        <f t="shared" si="8"/>
        <v>741.4</v>
      </c>
      <c r="AA47" s="1433">
        <v>321</v>
      </c>
      <c r="AB47" s="1431">
        <v>140.4</v>
      </c>
      <c r="AC47" s="1341">
        <v>0</v>
      </c>
      <c r="AD47" s="1341"/>
      <c r="AE47" s="1341">
        <v>0</v>
      </c>
      <c r="AF47" s="1341"/>
      <c r="AG47" s="1344">
        <f t="shared" si="58"/>
        <v>461.4</v>
      </c>
      <c r="AH47" s="1340">
        <f t="shared" si="59"/>
        <v>1202.8</v>
      </c>
      <c r="AI47" s="1341">
        <f t="shared" si="82"/>
        <v>966.19999999999993</v>
      </c>
      <c r="AJ47" s="1341">
        <f t="shared" si="82"/>
        <v>236.60000000000002</v>
      </c>
      <c r="AK47" s="1341">
        <f t="shared" si="82"/>
        <v>0</v>
      </c>
      <c r="AL47" s="1341">
        <f t="shared" si="82"/>
        <v>0</v>
      </c>
      <c r="AM47" s="1341">
        <f t="shared" si="82"/>
        <v>0</v>
      </c>
      <c r="AN47" s="1341"/>
      <c r="AO47" s="1341">
        <f t="shared" si="79"/>
        <v>1202.8</v>
      </c>
      <c r="AP47" s="1341">
        <f t="shared" si="80"/>
        <v>1202.8</v>
      </c>
      <c r="AQ47" s="1345">
        <f t="shared" si="81"/>
        <v>1202.8</v>
      </c>
      <c r="AR47" s="1346">
        <f t="shared" si="41"/>
        <v>0</v>
      </c>
      <c r="AS47" s="1347">
        <f t="shared" si="83"/>
        <v>2248107.7823999999</v>
      </c>
      <c r="AT47" s="1341">
        <f t="shared" si="83"/>
        <v>527906.652</v>
      </c>
      <c r="AU47" s="1341">
        <f t="shared" si="83"/>
        <v>0</v>
      </c>
      <c r="AV47" s="1341">
        <f t="shared" si="83"/>
        <v>0</v>
      </c>
      <c r="AW47" s="1341">
        <f t="shared" si="83"/>
        <v>0</v>
      </c>
      <c r="AX47" s="1341">
        <f t="shared" si="54"/>
        <v>2776014.4343999997</v>
      </c>
      <c r="AY47" s="1341">
        <f t="shared" si="55"/>
        <v>2776014.4343999997</v>
      </c>
      <c r="AZ47" s="1341">
        <f t="shared" si="84"/>
        <v>2511126.7463999996</v>
      </c>
      <c r="BA47" s="1341">
        <f t="shared" si="84"/>
        <v>568554.53200000001</v>
      </c>
      <c r="BB47" s="1341">
        <f t="shared" si="84"/>
        <v>0</v>
      </c>
      <c r="BC47" s="1341">
        <f t="shared" si="84"/>
        <v>0</v>
      </c>
      <c r="BD47" s="1341">
        <f t="shared" si="84"/>
        <v>0</v>
      </c>
      <c r="BE47" s="1341">
        <f t="shared" si="56"/>
        <v>3079681.2783999997</v>
      </c>
      <c r="BF47" s="1345">
        <f t="shared" si="60"/>
        <v>3079681.2783999997</v>
      </c>
      <c r="BG47" s="1348"/>
      <c r="BH47" s="1366"/>
      <c r="BI47" s="1366">
        <v>12.817210000000021</v>
      </c>
      <c r="BJ47" s="1341"/>
      <c r="BK47" s="1638"/>
      <c r="BL47" s="1341">
        <f t="shared" si="104"/>
        <v>1501220.3903999999</v>
      </c>
      <c r="BM47" s="1341">
        <f t="shared" si="104"/>
        <v>214643.364</v>
      </c>
      <c r="BN47" s="1341">
        <f t="shared" si="104"/>
        <v>0</v>
      </c>
      <c r="BO47" s="1341">
        <f t="shared" si="104"/>
        <v>0</v>
      </c>
      <c r="BP47" s="1341">
        <f t="shared" si="104"/>
        <v>0</v>
      </c>
      <c r="BQ47" s="1341">
        <f t="shared" si="62"/>
        <v>1715863.7544</v>
      </c>
      <c r="BR47" s="1341">
        <f t="shared" si="63"/>
        <v>1715863.7544</v>
      </c>
      <c r="BS47" s="1341">
        <f t="shared" si="105"/>
        <v>834270.01199999987</v>
      </c>
      <c r="BT47" s="1341">
        <f t="shared" si="105"/>
        <v>337384.00800000003</v>
      </c>
      <c r="BU47" s="1341">
        <f t="shared" si="105"/>
        <v>0</v>
      </c>
      <c r="BV47" s="1341">
        <f t="shared" si="65"/>
        <v>0</v>
      </c>
      <c r="BW47" s="1341">
        <f t="shared" si="19"/>
        <v>0</v>
      </c>
      <c r="BX47" s="1341">
        <f t="shared" si="66"/>
        <v>1171654.02</v>
      </c>
      <c r="BY47" s="1341">
        <f t="shared" si="67"/>
        <v>1171654.02</v>
      </c>
      <c r="BZ47" s="1349">
        <f t="shared" si="68"/>
        <v>552027.37199999997</v>
      </c>
      <c r="CA47" s="1349">
        <f t="shared" si="68"/>
        <v>0</v>
      </c>
      <c r="CB47" s="1349">
        <f t="shared" si="69"/>
        <v>552027.37199999997</v>
      </c>
      <c r="CC47" s="1351">
        <f t="shared" si="70"/>
        <v>2333.1672527472524</v>
      </c>
      <c r="CD47" s="1351" t="e">
        <f t="shared" si="70"/>
        <v>#DIV/0!</v>
      </c>
      <c r="CE47" s="1351">
        <f t="shared" si="44"/>
        <v>2333.1672527472524</v>
      </c>
      <c r="CF47" s="1351">
        <f t="shared" si="20"/>
        <v>2333.1672527472524</v>
      </c>
      <c r="CG47" s="1367">
        <f t="shared" si="21"/>
        <v>588729.21120000002</v>
      </c>
      <c r="CH47" s="1367">
        <f t="shared" si="45"/>
        <v>2488.2891428571429</v>
      </c>
      <c r="CI47" s="1349"/>
      <c r="CJ47" s="1341">
        <f t="shared" si="71"/>
        <v>1926.8778407999996</v>
      </c>
      <c r="CK47" s="1341">
        <f t="shared" si="22"/>
        <v>1199.1656807999998</v>
      </c>
      <c r="CL47" s="1341">
        <f t="shared" si="47"/>
        <v>3126.0435215999996</v>
      </c>
      <c r="CM47" s="1341">
        <f t="shared" si="48"/>
        <v>3126.0435215999996</v>
      </c>
      <c r="CN47" s="1341">
        <f t="shared" si="49"/>
        <v>0</v>
      </c>
      <c r="CO47" s="1341">
        <f t="shared" si="23"/>
        <v>2924219.6135999998</v>
      </c>
      <c r="CP47" s="1341">
        <f t="shared" si="24"/>
        <v>2776014.4343999997</v>
      </c>
      <c r="CQ47" s="1341">
        <f t="shared" si="25"/>
        <v>2776014.4343999997</v>
      </c>
      <c r="CR47" s="1341">
        <f t="shared" si="26"/>
        <v>1715863.7544</v>
      </c>
      <c r="CS47" s="1341">
        <f t="shared" si="27"/>
        <v>3079681.2783999997</v>
      </c>
      <c r="CT47" s="1341">
        <f t="shared" si="28"/>
        <v>3079681.2783999997</v>
      </c>
      <c r="CU47" s="1341">
        <f t="shared" si="29"/>
        <v>1171654.02</v>
      </c>
      <c r="CV47" s="1341">
        <f t="shared" si="50"/>
        <v>5855695.7127999999</v>
      </c>
      <c r="CW47" s="1350">
        <f t="shared" si="51"/>
        <v>4868.3868579980044</v>
      </c>
      <c r="CX47" s="1341">
        <f t="shared" si="30"/>
        <v>527906.652</v>
      </c>
      <c r="CY47" s="1341">
        <f t="shared" si="31"/>
        <v>568554.53200000001</v>
      </c>
      <c r="CZ47" s="1341"/>
      <c r="DA47" s="1341">
        <f t="shared" si="32"/>
        <v>2798617.3056000001</v>
      </c>
      <c r="DB47" s="1341">
        <f t="shared" si="33"/>
        <v>3126043.5215999996</v>
      </c>
      <c r="DC47" s="27"/>
      <c r="DD47" s="40">
        <f t="shared" si="52"/>
        <v>116.48210396106167</v>
      </c>
      <c r="DE47" s="27"/>
      <c r="DF47" s="27"/>
      <c r="DG47" s="27"/>
      <c r="DH47" s="1679">
        <f>AH47</f>
        <v>1202.8</v>
      </c>
      <c r="DI47" s="1581">
        <f>AJ47+AK47</f>
        <v>236.60000000000002</v>
      </c>
      <c r="DJ47" s="1680">
        <f>DH47-DI47</f>
        <v>966.19999999999993</v>
      </c>
      <c r="DK47" s="1349"/>
      <c r="DL47" s="1352">
        <f t="shared" si="34"/>
        <v>0</v>
      </c>
      <c r="DM47" s="1352">
        <f t="shared" si="35"/>
        <v>0</v>
      </c>
      <c r="DN47" s="1352">
        <f t="shared" si="36"/>
        <v>0</v>
      </c>
      <c r="DO47" s="6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</row>
    <row r="48" spans="1:155" s="50" customFormat="1" ht="70.5" hidden="1" customHeight="1">
      <c r="A48" s="6">
        <f t="shared" si="53"/>
        <v>35</v>
      </c>
      <c r="B48" s="1782" t="s">
        <v>18</v>
      </c>
      <c r="C48" s="1782"/>
      <c r="D48" s="1782" t="s">
        <v>152</v>
      </c>
      <c r="E48" s="1330">
        <v>7729314745</v>
      </c>
      <c r="F48" s="1330" t="s">
        <v>8</v>
      </c>
      <c r="G48" s="1792" t="s">
        <v>1037</v>
      </c>
      <c r="H48" s="1783">
        <v>3272.424</v>
      </c>
      <c r="I48" s="1708">
        <v>3272.424</v>
      </c>
      <c r="J48" s="1708">
        <v>1180.98</v>
      </c>
      <c r="K48" s="1708"/>
      <c r="L48" s="1708"/>
      <c r="M48" s="1794"/>
      <c r="N48" s="1763">
        <f>2731.07*1.2</f>
        <v>3277.2840000000001</v>
      </c>
      <c r="O48" s="1708">
        <f>2731.07*1.2</f>
        <v>3277.2840000000001</v>
      </c>
      <c r="P48" s="1708">
        <v>1350.92</v>
      </c>
      <c r="Q48" s="1793"/>
      <c r="R48" s="1708">
        <f>2731.07*1.2</f>
        <v>3277.2840000000001</v>
      </c>
      <c r="S48" s="1794"/>
      <c r="T48" s="1765">
        <v>738.82804341138979</v>
      </c>
      <c r="U48" s="1764">
        <v>1114.82565</v>
      </c>
      <c r="V48" s="1764"/>
      <c r="W48" s="1764"/>
      <c r="X48" s="1764"/>
      <c r="Y48" s="1764"/>
      <c r="Z48" s="1795">
        <f t="shared" si="8"/>
        <v>1853.6536934113897</v>
      </c>
      <c r="AA48" s="1767">
        <v>493.50536227425982</v>
      </c>
      <c r="AB48" s="1764">
        <v>905.00338499999975</v>
      </c>
      <c r="AC48" s="1363"/>
      <c r="AD48" s="1341"/>
      <c r="AE48" s="1341"/>
      <c r="AF48" s="1341"/>
      <c r="AG48" s="1344">
        <f t="shared" si="58"/>
        <v>1398.5087472742596</v>
      </c>
      <c r="AH48" s="1340">
        <f t="shared" si="59"/>
        <v>3252.162440685649</v>
      </c>
      <c r="AI48" s="1341">
        <f t="shared" si="82"/>
        <v>1232.3334056856497</v>
      </c>
      <c r="AJ48" s="1341">
        <f t="shared" si="82"/>
        <v>2019.8290349999997</v>
      </c>
      <c r="AK48" s="1341">
        <f t="shared" si="82"/>
        <v>0</v>
      </c>
      <c r="AL48" s="1341">
        <f t="shared" si="82"/>
        <v>0</v>
      </c>
      <c r="AM48" s="1341">
        <f t="shared" si="82"/>
        <v>0</v>
      </c>
      <c r="AN48" s="1341"/>
      <c r="AO48" s="1341">
        <f t="shared" si="79"/>
        <v>3252.1624406856495</v>
      </c>
      <c r="AP48" s="1341">
        <f t="shared" si="80"/>
        <v>3252.1624406856495</v>
      </c>
      <c r="AQ48" s="1409">
        <f t="shared" si="81"/>
        <v>3252.1624406856495</v>
      </c>
      <c r="AR48" s="1346">
        <f t="shared" si="41"/>
        <v>0</v>
      </c>
      <c r="AS48" s="1347">
        <f t="shared" si="83"/>
        <v>4032717.4127674564</v>
      </c>
      <c r="AT48" s="1341">
        <f t="shared" si="83"/>
        <v>2385377.6937542995</v>
      </c>
      <c r="AU48" s="1341">
        <f t="shared" si="83"/>
        <v>0</v>
      </c>
      <c r="AV48" s="1341">
        <f t="shared" si="83"/>
        <v>0</v>
      </c>
      <c r="AW48" s="1341">
        <f t="shared" si="83"/>
        <v>0</v>
      </c>
      <c r="AX48" s="1341">
        <f t="shared" si="54"/>
        <v>6418095.1065217555</v>
      </c>
      <c r="AY48" s="1341">
        <f t="shared" si="55"/>
        <v>6418095.1065217555</v>
      </c>
      <c r="AZ48" s="1341">
        <f t="shared" si="84"/>
        <v>4038706.553119089</v>
      </c>
      <c r="BA48" s="1341">
        <f t="shared" si="84"/>
        <v>2728627.4399621999</v>
      </c>
      <c r="BB48" s="1341">
        <f t="shared" si="84"/>
        <v>0</v>
      </c>
      <c r="BC48" s="1341">
        <f t="shared" si="84"/>
        <v>0</v>
      </c>
      <c r="BD48" s="1341">
        <f t="shared" si="84"/>
        <v>0</v>
      </c>
      <c r="BE48" s="1341">
        <f t="shared" si="56"/>
        <v>6767333.9930812884</v>
      </c>
      <c r="BF48" s="1345">
        <f t="shared" si="60"/>
        <v>6767333.9930812884</v>
      </c>
      <c r="BG48" s="1748">
        <f t="shared" ref="BG48:BG50" si="106">(H48-J48)/1.2*U48/1000+(H48-K48)/1.2*V48/1000</f>
        <v>1942.9961806155002</v>
      </c>
      <c r="BH48" s="1749">
        <f t="shared" ref="BH48:BH50" si="107">(O48-P48)*AB48/1000/1.2+(O48-Q48)/1.2*AC48/1000</f>
        <v>1452.8049506184495</v>
      </c>
      <c r="BI48" s="1750">
        <f t="shared" ref="BI48:BI50" si="108">BG48+BH48</f>
        <v>3395.8011312339495</v>
      </c>
      <c r="BJ48" s="1341"/>
      <c r="BK48" s="1638"/>
      <c r="BL48" s="1341">
        <f t="shared" si="104"/>
        <v>2417758.6211324739</v>
      </c>
      <c r="BM48" s="1341">
        <f t="shared" si="104"/>
        <v>1316586.796137</v>
      </c>
      <c r="BN48" s="1341">
        <f t="shared" si="104"/>
        <v>0</v>
      </c>
      <c r="BO48" s="1341">
        <f t="shared" si="104"/>
        <v>0</v>
      </c>
      <c r="BP48" s="1341">
        <f t="shared" si="104"/>
        <v>0</v>
      </c>
      <c r="BQ48" s="1341">
        <f t="shared" si="62"/>
        <v>3734345.4172694739</v>
      </c>
      <c r="BR48" s="1341">
        <f t="shared" si="63"/>
        <v>3734345.4172694739</v>
      </c>
      <c r="BS48" s="1341">
        <f t="shared" si="105"/>
        <v>1617357.2276956353</v>
      </c>
      <c r="BT48" s="1341">
        <f t="shared" si="105"/>
        <v>1222587.1728641996</v>
      </c>
      <c r="BU48" s="1341">
        <f t="shared" si="105"/>
        <v>0</v>
      </c>
      <c r="BV48" s="1341">
        <f t="shared" si="65"/>
        <v>0</v>
      </c>
      <c r="BW48" s="1341">
        <f t="shared" si="19"/>
        <v>0</v>
      </c>
      <c r="BX48" s="1341">
        <f t="shared" si="66"/>
        <v>2839944.4005598351</v>
      </c>
      <c r="BY48" s="1341">
        <f t="shared" si="67"/>
        <v>2839944.4005598351</v>
      </c>
      <c r="BZ48" s="1349">
        <f t="shared" si="68"/>
        <v>2539173.9690011996</v>
      </c>
      <c r="CA48" s="1349">
        <f t="shared" si="68"/>
        <v>0</v>
      </c>
      <c r="CB48" s="1349">
        <f t="shared" si="69"/>
        <v>2539173.9690011996</v>
      </c>
      <c r="CC48" s="1351">
        <f t="shared" si="70"/>
        <v>1257.1232143918558</v>
      </c>
      <c r="CD48" s="1351" t="e">
        <f t="shared" si="70"/>
        <v>#DIV/0!</v>
      </c>
      <c r="CE48" s="1351">
        <f t="shared" si="44"/>
        <v>1257.1232143918558</v>
      </c>
      <c r="CF48" s="1351">
        <f t="shared" si="20"/>
        <v>1257.1232143918558</v>
      </c>
      <c r="CG48" s="1367">
        <f t="shared" si="21"/>
        <v>6614135.3264819393</v>
      </c>
      <c r="CH48" s="1367">
        <f t="shared" si="45"/>
        <v>3274.6015686827377</v>
      </c>
      <c r="CI48" s="1349"/>
      <c r="CJ48" s="1338">
        <f t="shared" si="71"/>
        <v>6074.9495909580528</v>
      </c>
      <c r="CK48" s="1338">
        <f t="shared" si="22"/>
        <v>4583.3103413019744</v>
      </c>
      <c r="CL48" s="1338">
        <f>CJ48+CK48</f>
        <v>10658.259932260027</v>
      </c>
      <c r="CM48" s="1341">
        <f t="shared" si="48"/>
        <v>10658.259932260027</v>
      </c>
      <c r="CN48" s="1341">
        <f t="shared" si="49"/>
        <v>0</v>
      </c>
      <c r="CO48" s="1341">
        <f t="shared" si="23"/>
        <v>10649251.175310049</v>
      </c>
      <c r="CP48" s="1341">
        <f t="shared" si="24"/>
        <v>6418095.1065217555</v>
      </c>
      <c r="CQ48" s="1341">
        <f t="shared" si="25"/>
        <v>6418095.1065217555</v>
      </c>
      <c r="CR48" s="1341">
        <f t="shared" si="26"/>
        <v>3734345.4172694739</v>
      </c>
      <c r="CS48" s="1341">
        <f t="shared" si="27"/>
        <v>6767333.9930812884</v>
      </c>
      <c r="CT48" s="1341">
        <f t="shared" si="28"/>
        <v>6767333.9930812884</v>
      </c>
      <c r="CU48" s="1341">
        <f t="shared" si="29"/>
        <v>2839944.4005598351</v>
      </c>
      <c r="CV48" s="1341">
        <f t="shared" si="50"/>
        <v>13185429.099603044</v>
      </c>
      <c r="CW48" s="1350">
        <f t="shared" si="51"/>
        <v>4054.3574744757148</v>
      </c>
      <c r="CX48" s="1341">
        <f t="shared" si="30"/>
        <v>2385377.6937542995</v>
      </c>
      <c r="CY48" s="1341">
        <f t="shared" si="31"/>
        <v>2728627.4399621999</v>
      </c>
      <c r="CZ48" s="1341"/>
      <c r="DA48" s="1341">
        <f t="shared" si="32"/>
        <v>10642454.422798296</v>
      </c>
      <c r="DB48" s="1341">
        <f t="shared" si="33"/>
        <v>10658259.932260029</v>
      </c>
      <c r="DC48" s="27"/>
      <c r="DD48" s="40">
        <f t="shared" si="52"/>
        <v>277.50546156581822</v>
      </c>
      <c r="DE48" s="27"/>
      <c r="DF48" s="27"/>
      <c r="DG48" s="27"/>
      <c r="DH48" s="1579">
        <v>3337.7641328</v>
      </c>
      <c r="DI48" s="1487">
        <v>2042.9011518</v>
      </c>
      <c r="DJ48" s="1487">
        <f t="shared" si="57"/>
        <v>1294.862981</v>
      </c>
      <c r="DK48" s="1349"/>
      <c r="DL48" s="1352">
        <f t="shared" si="34"/>
        <v>0</v>
      </c>
      <c r="DM48" s="1352">
        <f t="shared" si="35"/>
        <v>0</v>
      </c>
      <c r="DN48" s="1352">
        <f t="shared" si="36"/>
        <v>0</v>
      </c>
      <c r="DO48" s="6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</row>
    <row r="49" spans="1:142" s="50" customFormat="1" ht="69.75" hidden="1" customHeight="1">
      <c r="A49" s="6">
        <f t="shared" si="53"/>
        <v>36</v>
      </c>
      <c r="B49" s="1782" t="s">
        <v>18</v>
      </c>
      <c r="C49" s="1782"/>
      <c r="D49" s="1782" t="s">
        <v>153</v>
      </c>
      <c r="E49" s="1330">
        <v>7729314745</v>
      </c>
      <c r="F49" s="1330" t="s">
        <v>8</v>
      </c>
      <c r="G49" s="1792" t="s">
        <v>1037</v>
      </c>
      <c r="H49" s="1783">
        <v>2535.7679999999996</v>
      </c>
      <c r="I49" s="1708">
        <v>2535.7679999999996</v>
      </c>
      <c r="J49" s="1708">
        <v>1702.81</v>
      </c>
      <c r="K49" s="1708">
        <v>1457.23</v>
      </c>
      <c r="L49" s="1708"/>
      <c r="M49" s="1794"/>
      <c r="N49" s="1763">
        <f>2348.11 *1.2</f>
        <v>2817.732</v>
      </c>
      <c r="O49" s="1708">
        <f>2348.11 *1.2</f>
        <v>2817.732</v>
      </c>
      <c r="P49" s="1708">
        <f>1947.84</f>
        <v>1947.84</v>
      </c>
      <c r="Q49" s="1708">
        <v>1666.93</v>
      </c>
      <c r="R49" s="1708">
        <f>2348.11 *1.2</f>
        <v>2817.732</v>
      </c>
      <c r="S49" s="1794"/>
      <c r="T49" s="1765">
        <f>2575.33436831511+923.724917582997</f>
        <v>3499.0592858981072</v>
      </c>
      <c r="U49" s="1363">
        <v>3431.3680429999986</v>
      </c>
      <c r="V49" s="1764">
        <v>919.71281599999986</v>
      </c>
      <c r="W49" s="1363"/>
      <c r="X49" s="1363"/>
      <c r="Y49" s="1363"/>
      <c r="Z49" s="1364">
        <f t="shared" si="8"/>
        <v>7850.140144898106</v>
      </c>
      <c r="AA49" s="1767">
        <f>1748.14208915007+939.681528440389</f>
        <v>2687.823617590459</v>
      </c>
      <c r="AB49" s="1363">
        <v>2419.4968762200042</v>
      </c>
      <c r="AC49" s="1363">
        <v>855.21097368999892</v>
      </c>
      <c r="AD49" s="1341"/>
      <c r="AE49" s="1341"/>
      <c r="AF49" s="1341"/>
      <c r="AG49" s="1344">
        <f t="shared" si="58"/>
        <v>5962.531467500462</v>
      </c>
      <c r="AH49" s="1340">
        <f t="shared" si="59"/>
        <v>13812.671612398568</v>
      </c>
      <c r="AI49" s="1341">
        <f t="shared" si="82"/>
        <v>6186.8829034885657</v>
      </c>
      <c r="AJ49" s="1341">
        <f t="shared" si="82"/>
        <v>5850.8649192200028</v>
      </c>
      <c r="AK49" s="1341">
        <f t="shared" si="82"/>
        <v>1774.9237896899988</v>
      </c>
      <c r="AL49" s="1341">
        <f t="shared" si="82"/>
        <v>0</v>
      </c>
      <c r="AM49" s="1341">
        <f t="shared" si="82"/>
        <v>0</v>
      </c>
      <c r="AN49" s="1341"/>
      <c r="AO49" s="1341">
        <f t="shared" si="79"/>
        <v>13812.671612398568</v>
      </c>
      <c r="AP49" s="1341">
        <f t="shared" si="80"/>
        <v>13812.671612398568</v>
      </c>
      <c r="AQ49" s="1409">
        <f t="shared" si="81"/>
        <v>13812.671612398568</v>
      </c>
      <c r="AR49" s="1346">
        <f t="shared" si="41"/>
        <v>0</v>
      </c>
      <c r="AS49" s="1347">
        <f t="shared" si="83"/>
        <v>15688499.686413391</v>
      </c>
      <c r="AT49" s="1341">
        <f t="shared" si="83"/>
        <v>9962911.2930970117</v>
      </c>
      <c r="AU49" s="1341">
        <f t="shared" si="83"/>
        <v>2586472.1940499567</v>
      </c>
      <c r="AV49" s="1341">
        <f t="shared" si="83"/>
        <v>0</v>
      </c>
      <c r="AW49" s="1341">
        <f t="shared" si="83"/>
        <v>0</v>
      </c>
      <c r="AX49" s="1341">
        <f t="shared" si="54"/>
        <v>28237883.173560362</v>
      </c>
      <c r="AY49" s="1341">
        <f t="shared" si="55"/>
        <v>28237883.173560362</v>
      </c>
      <c r="AZ49" s="1341">
        <f t="shared" si="84"/>
        <v>17432977.937412642</v>
      </c>
      <c r="BA49" s="1341">
        <f t="shared" si="84"/>
        <v>11396548.724253491</v>
      </c>
      <c r="BB49" s="1341">
        <f t="shared" si="84"/>
        <v>2958673.7127479496</v>
      </c>
      <c r="BC49" s="1341">
        <f t="shared" si="84"/>
        <v>0</v>
      </c>
      <c r="BD49" s="1341">
        <f t="shared" si="84"/>
        <v>0</v>
      </c>
      <c r="BE49" s="1341">
        <f t="shared" si="56"/>
        <v>31788200.374414083</v>
      </c>
      <c r="BF49" s="1345">
        <f t="shared" si="60"/>
        <v>31788200.374414083</v>
      </c>
      <c r="BG49" s="1748">
        <f t="shared" si="106"/>
        <v>3208.4422362534997</v>
      </c>
      <c r="BH49" s="1749">
        <f t="shared" si="107"/>
        <v>2574.0662296609753</v>
      </c>
      <c r="BI49" s="1750">
        <f t="shared" si="108"/>
        <v>5782.508465914475</v>
      </c>
      <c r="BJ49" s="1341"/>
      <c r="BK49" s="1638"/>
      <c r="BL49" s="1341">
        <f t="shared" si="104"/>
        <v>8872802.5672832709</v>
      </c>
      <c r="BM49" s="1341">
        <f t="shared" si="104"/>
        <v>5842967.8173008272</v>
      </c>
      <c r="BN49" s="1341">
        <f t="shared" si="104"/>
        <v>1340233.1068596798</v>
      </c>
      <c r="BO49" s="1341">
        <f t="shared" si="104"/>
        <v>0</v>
      </c>
      <c r="BP49" s="1341">
        <f t="shared" si="104"/>
        <v>0</v>
      </c>
      <c r="BQ49" s="1341">
        <f t="shared" si="62"/>
        <v>16056003.491443779</v>
      </c>
      <c r="BR49" s="1341">
        <f t="shared" si="63"/>
        <v>16056003.491443779</v>
      </c>
      <c r="BS49" s="1341">
        <f t="shared" si="105"/>
        <v>7573566.6176403994</v>
      </c>
      <c r="BT49" s="1341">
        <f t="shared" si="105"/>
        <v>4712792.7953763725</v>
      </c>
      <c r="BU49" s="1341">
        <f t="shared" si="105"/>
        <v>1425576.8283730699</v>
      </c>
      <c r="BV49" s="1341">
        <f t="shared" si="65"/>
        <v>0</v>
      </c>
      <c r="BW49" s="1341">
        <f t="shared" si="19"/>
        <v>0</v>
      </c>
      <c r="BX49" s="1341">
        <f t="shared" si="66"/>
        <v>13711936.241389841</v>
      </c>
      <c r="BY49" s="1341">
        <f t="shared" si="67"/>
        <v>13711936.241389841</v>
      </c>
      <c r="BZ49" s="1349">
        <f t="shared" si="68"/>
        <v>10555760.6126772</v>
      </c>
      <c r="CA49" s="1349">
        <f t="shared" si="68"/>
        <v>2765809.9352327497</v>
      </c>
      <c r="CB49" s="1349">
        <f t="shared" si="69"/>
        <v>13321570.547909949</v>
      </c>
      <c r="CC49" s="1351">
        <f t="shared" si="70"/>
        <v>1804.1367829227584</v>
      </c>
      <c r="CD49" s="1351">
        <f t="shared" si="70"/>
        <v>1558.2696853231175</v>
      </c>
      <c r="CE49" s="1351">
        <f t="shared" si="44"/>
        <v>1746.9105238052261</v>
      </c>
      <c r="CF49" s="1351">
        <f t="shared" si="20"/>
        <v>1746.9105238052259</v>
      </c>
      <c r="CG49" s="1367">
        <f t="shared" si="21"/>
        <v>20260580.707007319</v>
      </c>
      <c r="CH49" s="1367">
        <f t="shared" si="45"/>
        <v>2656.8505213545686</v>
      </c>
      <c r="CI49" s="1349"/>
      <c r="CJ49" s="1338">
        <f t="shared" si="71"/>
        <v>22119.591090764032</v>
      </c>
      <c r="CK49" s="1338">
        <f t="shared" si="22"/>
        <v>16800.815716983012</v>
      </c>
      <c r="CL49" s="1338">
        <f>CJ49+CK49+0.0161466775825829</f>
        <v>38920.422954424626</v>
      </c>
      <c r="CM49" s="1341">
        <f t="shared" si="48"/>
        <v>38920.406807747044</v>
      </c>
      <c r="CN49" s="1341">
        <f t="shared" si="49"/>
        <v>-1.6146677582582925E-2</v>
      </c>
      <c r="CO49" s="1341">
        <f t="shared" si="23"/>
        <v>36706949.89193099</v>
      </c>
      <c r="CP49" s="1341">
        <f t="shared" si="24"/>
        <v>28237883.173560362</v>
      </c>
      <c r="CQ49" s="1341">
        <f t="shared" si="25"/>
        <v>28673768.95783243</v>
      </c>
      <c r="CR49" s="1341">
        <f t="shared" si="26"/>
        <v>16056003.491443779</v>
      </c>
      <c r="CS49" s="1341">
        <f t="shared" si="27"/>
        <v>31788200.374414083</v>
      </c>
      <c r="CT49" s="1341">
        <f t="shared" si="28"/>
        <v>32286794.216175899</v>
      </c>
      <c r="CU49" s="1341">
        <f t="shared" si="29"/>
        <v>13711936.241389841</v>
      </c>
      <c r="CV49" s="1341">
        <f t="shared" si="50"/>
        <v>60026083.547974445</v>
      </c>
      <c r="CW49" s="1350">
        <f t="shared" si="51"/>
        <v>4345.7258112249383</v>
      </c>
      <c r="CX49" s="1341">
        <f t="shared" si="30"/>
        <v>12549383.487146968</v>
      </c>
      <c r="CY49" s="1341">
        <f t="shared" si="31"/>
        <v>14355222.437001441</v>
      </c>
      <c r="CZ49" s="1341"/>
      <c r="DA49" s="1341">
        <f t="shared" si="32"/>
        <v>35025730.66922868</v>
      </c>
      <c r="DB49" s="1341">
        <f t="shared" si="33"/>
        <v>38920406.807747036</v>
      </c>
      <c r="DC49" s="27"/>
      <c r="DD49" s="40">
        <f t="shared" si="52"/>
        <v>165.47542004099108</v>
      </c>
      <c r="DE49" s="27"/>
      <c r="DF49" s="27"/>
      <c r="DG49" s="27"/>
      <c r="DH49" s="1487">
        <v>13680.072040621932</v>
      </c>
      <c r="DI49" s="1487">
        <v>7199.2479353999997</v>
      </c>
      <c r="DJ49" s="1487">
        <f t="shared" si="57"/>
        <v>6480.8241052219319</v>
      </c>
      <c r="DK49" s="1349"/>
      <c r="DL49" s="1352">
        <f t="shared" si="34"/>
        <v>0</v>
      </c>
      <c r="DM49" s="1352">
        <f t="shared" si="35"/>
        <v>0</v>
      </c>
      <c r="DN49" s="1352">
        <f t="shared" si="36"/>
        <v>0</v>
      </c>
      <c r="DO49" s="6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</row>
    <row r="50" spans="1:142" s="50" customFormat="1" ht="69.75" hidden="1" customHeight="1">
      <c r="A50" s="6">
        <f t="shared" si="53"/>
        <v>37</v>
      </c>
      <c r="B50" s="1782" t="s">
        <v>18</v>
      </c>
      <c r="C50" s="1782"/>
      <c r="D50" s="1782" t="s">
        <v>1039</v>
      </c>
      <c r="E50" s="1330">
        <v>461109152080</v>
      </c>
      <c r="F50" s="1330" t="s">
        <v>8</v>
      </c>
      <c r="G50" s="1792" t="s">
        <v>1040</v>
      </c>
      <c r="H50" s="1801">
        <v>2186.11</v>
      </c>
      <c r="I50" s="1761">
        <v>2186.11</v>
      </c>
      <c r="J50" s="1708">
        <v>2186.11</v>
      </c>
      <c r="K50" s="1708">
        <v>2186.11</v>
      </c>
      <c r="L50" s="1708">
        <v>2186.11</v>
      </c>
      <c r="M50" s="1794"/>
      <c r="N50" s="1763">
        <v>2437.5100000000002</v>
      </c>
      <c r="O50" s="1763">
        <v>2437.5100000000002</v>
      </c>
      <c r="P50" s="1763">
        <v>2437.5100000000002</v>
      </c>
      <c r="Q50" s="1763">
        <v>2437.5100000000002</v>
      </c>
      <c r="R50" s="1708">
        <v>2186.11</v>
      </c>
      <c r="S50" s="1794"/>
      <c r="T50" s="1802">
        <v>593.94000000000005</v>
      </c>
      <c r="U50" s="1338">
        <v>335.64672165642082</v>
      </c>
      <c r="V50" s="1803">
        <v>11.383278343579221</v>
      </c>
      <c r="W50" s="1338"/>
      <c r="X50" s="1338"/>
      <c r="Y50" s="1338"/>
      <c r="Z50" s="1364">
        <f t="shared" si="8"/>
        <v>940.97000000000014</v>
      </c>
      <c r="AA50" s="1804">
        <v>481.44990000000007</v>
      </c>
      <c r="AB50" s="1338">
        <v>327.28626215148432</v>
      </c>
      <c r="AC50" s="1338">
        <v>11.099737848515687</v>
      </c>
      <c r="AD50" s="1341"/>
      <c r="AE50" s="1341"/>
      <c r="AF50" s="1341"/>
      <c r="AG50" s="1344">
        <f t="shared" si="58"/>
        <v>819.83590000000015</v>
      </c>
      <c r="AH50" s="1340">
        <f t="shared" si="59"/>
        <v>1760.8059000000003</v>
      </c>
      <c r="AI50" s="1341">
        <f t="shared" si="82"/>
        <v>1075.3899000000001</v>
      </c>
      <c r="AJ50" s="1341">
        <f t="shared" si="82"/>
        <v>662.9329838079052</v>
      </c>
      <c r="AK50" s="1341">
        <f t="shared" si="82"/>
        <v>22.483016192094908</v>
      </c>
      <c r="AL50" s="1341">
        <f t="shared" si="82"/>
        <v>0</v>
      </c>
      <c r="AM50" s="1341">
        <f t="shared" si="82"/>
        <v>0</v>
      </c>
      <c r="AN50" s="1341"/>
      <c r="AO50" s="1341">
        <f t="shared" ref="AO50" si="109">SUM(AI50:AN50)</f>
        <v>1760.8059000000003</v>
      </c>
      <c r="AP50" s="1341">
        <f t="shared" ref="AP50" si="110">SUM(AI50:AM50)</f>
        <v>1760.8059000000003</v>
      </c>
      <c r="AQ50" s="1409">
        <f t="shared" ref="AQ50" si="111">SUM(AI50:AL50)</f>
        <v>1760.8059000000003</v>
      </c>
      <c r="AR50" s="1346">
        <f t="shared" si="41"/>
        <v>0</v>
      </c>
      <c r="AS50" s="1347">
        <f t="shared" si="83"/>
        <v>2350920.6142890006</v>
      </c>
      <c r="AT50" s="1341">
        <f t="shared" si="83"/>
        <v>1449244.4252322998</v>
      </c>
      <c r="AU50" s="1341">
        <f t="shared" si="83"/>
        <v>49150.346527700603</v>
      </c>
      <c r="AV50" s="1341">
        <f t="shared" si="83"/>
        <v>0</v>
      </c>
      <c r="AW50" s="1341">
        <f t="shared" si="83"/>
        <v>0</v>
      </c>
      <c r="AX50" s="1341">
        <f t="shared" ref="AX50" si="112">SUM(AS50:AW50)</f>
        <v>3849315.386049001</v>
      </c>
      <c r="AY50" s="1341">
        <f t="shared" ref="AY50" si="113">SUM(AS50:AV50)</f>
        <v>3849315.386049001</v>
      </c>
      <c r="AZ50" s="1341">
        <f t="shared" si="84"/>
        <v>2621273.6351490007</v>
      </c>
      <c r="BA50" s="1341">
        <f t="shared" si="84"/>
        <v>1615905.7773616072</v>
      </c>
      <c r="BB50" s="1341">
        <f t="shared" si="84"/>
        <v>54802.576798393267</v>
      </c>
      <c r="BC50" s="1341">
        <f t="shared" si="84"/>
        <v>0</v>
      </c>
      <c r="BD50" s="1341">
        <f t="shared" si="84"/>
        <v>0</v>
      </c>
      <c r="BE50" s="1341">
        <f t="shared" ref="BE50" si="114">SUM(AZ50:BD50)</f>
        <v>4291981.9893090008</v>
      </c>
      <c r="BF50" s="1345">
        <f t="shared" ref="BF50" si="115">SUM(AZ50:BC50)</f>
        <v>4291981.9893090008</v>
      </c>
      <c r="BG50" s="1748">
        <f t="shared" si="106"/>
        <v>0</v>
      </c>
      <c r="BH50" s="1749">
        <f t="shared" si="107"/>
        <v>0</v>
      </c>
      <c r="BI50" s="1750">
        <f t="shared" si="108"/>
        <v>0</v>
      </c>
      <c r="BJ50" s="1341"/>
      <c r="BK50" s="1638"/>
      <c r="BL50" s="1341">
        <f t="shared" si="104"/>
        <v>1298418.1734000002</v>
      </c>
      <c r="BM50" s="1341">
        <f t="shared" si="104"/>
        <v>733760.6546803182</v>
      </c>
      <c r="BN50" s="1341">
        <f t="shared" si="104"/>
        <v>24885.098619681972</v>
      </c>
      <c r="BO50" s="1341">
        <f t="shared" si="104"/>
        <v>0</v>
      </c>
      <c r="BP50" s="1341">
        <f t="shared" si="104"/>
        <v>0</v>
      </c>
      <c r="BQ50" s="1341">
        <f t="shared" si="62"/>
        <v>2057063.9267000004</v>
      </c>
      <c r="BR50" s="1341">
        <f t="shared" si="63"/>
        <v>2057063.9267000004</v>
      </c>
      <c r="BS50" s="1341">
        <f t="shared" si="105"/>
        <v>1173538.9457490002</v>
      </c>
      <c r="BT50" s="1341">
        <f t="shared" si="105"/>
        <v>797763.53685686458</v>
      </c>
      <c r="BU50" s="1341">
        <f t="shared" si="105"/>
        <v>27055.722003135474</v>
      </c>
      <c r="BV50" s="1341">
        <f t="shared" si="65"/>
        <v>0</v>
      </c>
      <c r="BW50" s="1341">
        <f t="shared" si="19"/>
        <v>0</v>
      </c>
      <c r="BX50" s="1341">
        <f t="shared" si="66"/>
        <v>1998358.2046090001</v>
      </c>
      <c r="BY50" s="1341">
        <f t="shared" si="67"/>
        <v>1998358.2046090001</v>
      </c>
      <c r="BZ50" s="1349"/>
      <c r="CA50" s="1349"/>
      <c r="CB50" s="1349"/>
      <c r="CC50" s="1351"/>
      <c r="CD50" s="1351"/>
      <c r="CE50" s="1351"/>
      <c r="CF50" s="1351"/>
      <c r="CG50" s="1367"/>
      <c r="CH50" s="1367"/>
      <c r="CI50" s="1349"/>
      <c r="CJ50" s="1338"/>
      <c r="CK50" s="1338"/>
      <c r="CL50" s="1338"/>
      <c r="CM50" s="1341"/>
      <c r="CN50" s="1341"/>
      <c r="CO50" s="1341"/>
      <c r="CP50" s="1341"/>
      <c r="CQ50" s="1341"/>
      <c r="CR50" s="1341"/>
      <c r="CS50" s="1341"/>
      <c r="CT50" s="1341"/>
      <c r="CU50" s="1341"/>
      <c r="CV50" s="1341"/>
      <c r="CW50" s="1350"/>
      <c r="CX50" s="1341"/>
      <c r="CY50" s="1341"/>
      <c r="CZ50" s="1341"/>
      <c r="DA50" s="1341"/>
      <c r="DB50" s="1341"/>
      <c r="DC50" s="27"/>
      <c r="DD50" s="40"/>
      <c r="DE50" s="27"/>
      <c r="DF50" s="27"/>
      <c r="DG50" s="27"/>
      <c r="DH50" s="1487"/>
      <c r="DI50" s="1487"/>
      <c r="DJ50" s="1487"/>
      <c r="DK50" s="1349"/>
      <c r="DL50" s="1352"/>
      <c r="DM50" s="1352"/>
      <c r="DN50" s="1352"/>
      <c r="DO50" s="6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</row>
    <row r="51" spans="1:142" s="50" customFormat="1" ht="73.5" hidden="1" customHeight="1">
      <c r="A51" s="6">
        <f t="shared" si="53"/>
        <v>38</v>
      </c>
      <c r="B51" s="1330" t="s">
        <v>18</v>
      </c>
      <c r="C51" s="1663" t="s">
        <v>148</v>
      </c>
      <c r="D51" s="1663" t="s">
        <v>1031</v>
      </c>
      <c r="E51" s="1681">
        <v>6829012680</v>
      </c>
      <c r="F51" s="1663" t="s">
        <v>8</v>
      </c>
      <c r="G51" s="1666" t="s">
        <v>1033</v>
      </c>
      <c r="H51" s="1685">
        <v>2326.752</v>
      </c>
      <c r="I51" s="1686">
        <v>2326.752</v>
      </c>
      <c r="J51" s="1335">
        <v>2231.2199999999998</v>
      </c>
      <c r="K51" s="1335">
        <v>2231.2199999999998</v>
      </c>
      <c r="L51" s="1335">
        <v>2326.752</v>
      </c>
      <c r="M51" s="1390">
        <v>0</v>
      </c>
      <c r="N51" s="1371">
        <f>2165.81*1.2</f>
        <v>2598.9719999999998</v>
      </c>
      <c r="O51" s="1372">
        <f>N51</f>
        <v>2598.9719999999998</v>
      </c>
      <c r="P51" s="1372">
        <v>2403.02</v>
      </c>
      <c r="Q51" s="1372">
        <f>P51</f>
        <v>2403.02</v>
      </c>
      <c r="R51" s="1335">
        <f>O51</f>
        <v>2598.9719999999998</v>
      </c>
      <c r="S51" s="1370">
        <v>0</v>
      </c>
      <c r="T51" s="1432">
        <v>4158.1000000000004</v>
      </c>
      <c r="U51" s="1431">
        <v>1394.5</v>
      </c>
      <c r="V51" s="1431">
        <f>1677.5-U51</f>
        <v>283</v>
      </c>
      <c r="W51" s="1431">
        <v>81.900000000000006</v>
      </c>
      <c r="X51" s="1341">
        <v>0</v>
      </c>
      <c r="Y51" s="1341"/>
      <c r="Z51" s="1342">
        <f t="shared" si="8"/>
        <v>5917.5</v>
      </c>
      <c r="AA51" s="1433">
        <v>2596.3000000000002</v>
      </c>
      <c r="AB51" s="1341">
        <v>951.3</v>
      </c>
      <c r="AC51" s="1431">
        <f>1232.5-AB51</f>
        <v>281.20000000000005</v>
      </c>
      <c r="AD51" s="1431">
        <v>40.5</v>
      </c>
      <c r="AE51" s="1341">
        <v>0</v>
      </c>
      <c r="AF51" s="1341"/>
      <c r="AG51" s="1344">
        <f>SUM(AA51:AE51)</f>
        <v>3869.3</v>
      </c>
      <c r="AH51" s="1340">
        <f t="shared" si="59"/>
        <v>9786.7999999999993</v>
      </c>
      <c r="AI51" s="1341">
        <f t="shared" si="82"/>
        <v>6754.4000000000005</v>
      </c>
      <c r="AJ51" s="1341">
        <f t="shared" si="82"/>
        <v>2345.8000000000002</v>
      </c>
      <c r="AK51" s="1341">
        <f t="shared" si="82"/>
        <v>564.20000000000005</v>
      </c>
      <c r="AL51" s="1341">
        <f t="shared" si="82"/>
        <v>122.4</v>
      </c>
      <c r="AM51" s="1341">
        <f t="shared" si="82"/>
        <v>0</v>
      </c>
      <c r="AN51" s="1341"/>
      <c r="AO51" s="1341">
        <f t="shared" si="79"/>
        <v>9786.8000000000011</v>
      </c>
      <c r="AP51" s="1341">
        <f t="shared" si="80"/>
        <v>9786.8000000000011</v>
      </c>
      <c r="AQ51" s="1345">
        <f t="shared" si="81"/>
        <v>9786.8000000000011</v>
      </c>
      <c r="AR51" s="1346">
        <f t="shared" si="41"/>
        <v>0</v>
      </c>
      <c r="AS51" s="1347">
        <f t="shared" si="83"/>
        <v>15715813.708800001</v>
      </c>
      <c r="AT51" s="1341">
        <f t="shared" si="83"/>
        <v>5233995.8760000002</v>
      </c>
      <c r="AU51" s="1341">
        <f t="shared" si="83"/>
        <v>1258854.324</v>
      </c>
      <c r="AV51" s="1341">
        <f t="shared" si="83"/>
        <v>284794.4448</v>
      </c>
      <c r="AW51" s="1341">
        <f t="shared" si="83"/>
        <v>0</v>
      </c>
      <c r="AX51" s="1341">
        <f t="shared" si="54"/>
        <v>22493458.353600003</v>
      </c>
      <c r="AY51" s="1341">
        <f t="shared" si="55"/>
        <v>22493458.353600003</v>
      </c>
      <c r="AZ51" s="1341">
        <f t="shared" si="84"/>
        <v>17554496.476799998</v>
      </c>
      <c r="BA51" s="1341">
        <f t="shared" si="84"/>
        <v>5637004.3160000006</v>
      </c>
      <c r="BB51" s="1341">
        <f t="shared" si="84"/>
        <v>1355783.8840000001</v>
      </c>
      <c r="BC51" s="1341">
        <f t="shared" si="84"/>
        <v>318114.1728</v>
      </c>
      <c r="BD51" s="1341">
        <f t="shared" si="84"/>
        <v>0</v>
      </c>
      <c r="BE51" s="1341">
        <f t="shared" si="56"/>
        <v>24865398.849599998</v>
      </c>
      <c r="BF51" s="1345">
        <f t="shared" si="60"/>
        <v>24865398.849599998</v>
      </c>
      <c r="BG51" s="1365"/>
      <c r="BH51" s="1434"/>
      <c r="BI51" s="1434">
        <v>232.45323900000042</v>
      </c>
      <c r="BJ51" s="1341"/>
      <c r="BK51" s="1638"/>
      <c r="BL51" s="1341">
        <f t="shared" si="104"/>
        <v>9674867.4912</v>
      </c>
      <c r="BM51" s="1341">
        <f t="shared" si="104"/>
        <v>3111436.2899999996</v>
      </c>
      <c r="BN51" s="1341">
        <f t="shared" si="104"/>
        <v>631435.25999999989</v>
      </c>
      <c r="BO51" s="1341">
        <f t="shared" si="104"/>
        <v>190560.98880000002</v>
      </c>
      <c r="BP51" s="1341">
        <f t="shared" si="104"/>
        <v>0</v>
      </c>
      <c r="BQ51" s="1341">
        <f t="shared" si="62"/>
        <v>13608300.029999999</v>
      </c>
      <c r="BR51" s="1341">
        <f t="shared" si="63"/>
        <v>13608300.029999999</v>
      </c>
      <c r="BS51" s="1341">
        <f t="shared" si="105"/>
        <v>6747711.0035999995</v>
      </c>
      <c r="BT51" s="1341">
        <f t="shared" si="105"/>
        <v>2285992.926</v>
      </c>
      <c r="BU51" s="1341">
        <f t="shared" si="105"/>
        <v>675729.22400000016</v>
      </c>
      <c r="BV51" s="1341">
        <f t="shared" si="65"/>
        <v>212855.80679999999</v>
      </c>
      <c r="BW51" s="1341">
        <f t="shared" si="19"/>
        <v>0</v>
      </c>
      <c r="BX51" s="1341">
        <f t="shared" si="66"/>
        <v>9922288.9604000002</v>
      </c>
      <c r="BY51" s="1341">
        <f t="shared" si="67"/>
        <v>9922288.9604000002</v>
      </c>
      <c r="BZ51" s="1349">
        <f t="shared" si="68"/>
        <v>5397429.216</v>
      </c>
      <c r="CA51" s="1349">
        <f t="shared" si="68"/>
        <v>1307164.4840000002</v>
      </c>
      <c r="CB51" s="1349">
        <f t="shared" si="69"/>
        <v>6704593.7000000002</v>
      </c>
      <c r="CC51" s="1351">
        <f t="shared" si="70"/>
        <v>2300.8906198311875</v>
      </c>
      <c r="CD51" s="1351">
        <f t="shared" si="70"/>
        <v>2316.8459482453031</v>
      </c>
      <c r="CE51" s="1351">
        <f t="shared" si="44"/>
        <v>2303.9840893470791</v>
      </c>
      <c r="CF51" s="1351">
        <f t="shared" si="20"/>
        <v>2303.9840893470791</v>
      </c>
      <c r="CG51" s="1367">
        <f t="shared" si="21"/>
        <v>7106359.4699999997</v>
      </c>
      <c r="CH51" s="1367">
        <f t="shared" si="45"/>
        <v>2442.0479278350513</v>
      </c>
      <c r="CI51" s="1349"/>
      <c r="CJ51" s="1341">
        <f t="shared" si="71"/>
        <v>15379.416809999999</v>
      </c>
      <c r="CK51" s="1341">
        <f t="shared" si="22"/>
        <v>10056.2023596</v>
      </c>
      <c r="CL51" s="1341">
        <f t="shared" si="47"/>
        <v>25435.619169599999</v>
      </c>
      <c r="CM51" s="1341">
        <f t="shared" si="48"/>
        <v>25435.619169599995</v>
      </c>
      <c r="CN51" s="1341">
        <f t="shared" si="49"/>
        <v>0</v>
      </c>
      <c r="CO51" s="1341">
        <f t="shared" si="23"/>
        <v>23824757.319600001</v>
      </c>
      <c r="CP51" s="1341">
        <f t="shared" si="24"/>
        <v>22493458.353600003</v>
      </c>
      <c r="CQ51" s="1341">
        <f t="shared" si="25"/>
        <v>22493458.353599999</v>
      </c>
      <c r="CR51" s="1341">
        <f t="shared" si="26"/>
        <v>13608300.029999999</v>
      </c>
      <c r="CS51" s="1341">
        <f t="shared" si="27"/>
        <v>24865398.849599998</v>
      </c>
      <c r="CT51" s="1341">
        <f t="shared" si="28"/>
        <v>24865398.849599998</v>
      </c>
      <c r="CU51" s="1341">
        <f t="shared" si="29"/>
        <v>9814691.5196000002</v>
      </c>
      <c r="CV51" s="1341">
        <f t="shared" si="50"/>
        <v>47358857.203199998</v>
      </c>
      <c r="CW51" s="1350">
        <f t="shared" si="51"/>
        <v>4839.0543592594104</v>
      </c>
      <c r="CX51" s="1341">
        <f t="shared" si="30"/>
        <v>6492850.2000000002</v>
      </c>
      <c r="CY51" s="1341">
        <f t="shared" si="31"/>
        <v>6992788.2000000011</v>
      </c>
      <c r="CZ51" s="1341"/>
      <c r="DA51" s="1341">
        <f t="shared" si="32"/>
        <v>22771456.4736</v>
      </c>
      <c r="DB51" s="1341">
        <f t="shared" si="33"/>
        <v>25435619.169599999</v>
      </c>
      <c r="DC51" s="27"/>
      <c r="DD51" s="40">
        <f t="shared" si="52"/>
        <v>116.48210396106167</v>
      </c>
      <c r="DE51" s="27"/>
      <c r="DF51" s="27"/>
      <c r="DG51" s="27"/>
      <c r="DH51" s="1679">
        <f>AH51</f>
        <v>9786.7999999999993</v>
      </c>
      <c r="DI51" s="1581">
        <f>AJ51+AK51</f>
        <v>2910</v>
      </c>
      <c r="DJ51" s="1680">
        <f>DH51-DI51</f>
        <v>6876.7999999999993</v>
      </c>
      <c r="DK51" s="1349"/>
      <c r="DL51" s="1352">
        <f t="shared" si="34"/>
        <v>0</v>
      </c>
      <c r="DM51" s="1352">
        <f t="shared" si="35"/>
        <v>0</v>
      </c>
      <c r="DN51" s="1352">
        <f t="shared" si="36"/>
        <v>0</v>
      </c>
      <c r="DO51" s="6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</row>
    <row r="52" spans="1:142" s="1313" customFormat="1" ht="64.5" hidden="1" customHeight="1">
      <c r="A52" s="6">
        <f t="shared" si="53"/>
        <v>39</v>
      </c>
      <c r="B52" s="1839" t="s">
        <v>18</v>
      </c>
      <c r="C52" s="1839" t="s">
        <v>148</v>
      </c>
      <c r="D52" s="1706" t="s">
        <v>141</v>
      </c>
      <c r="E52" s="1331">
        <v>4632024035</v>
      </c>
      <c r="F52" s="1330" t="s">
        <v>8</v>
      </c>
      <c r="G52" s="1682" t="s">
        <v>1034</v>
      </c>
      <c r="H52" s="1700">
        <v>3314.9639999999995</v>
      </c>
      <c r="I52" s="1701">
        <f>H52</f>
        <v>3314.9639999999995</v>
      </c>
      <c r="J52" s="1707">
        <v>2950.21</v>
      </c>
      <c r="K52" s="1335"/>
      <c r="L52" s="1700">
        <v>3314.9639999999995</v>
      </c>
      <c r="M52" s="1390"/>
      <c r="N52" s="1703">
        <f>3132.14*1.2</f>
        <v>3758.5679999999998</v>
      </c>
      <c r="O52" s="1704">
        <f>N52</f>
        <v>3758.5679999999998</v>
      </c>
      <c r="P52" s="1708">
        <v>2979.71</v>
      </c>
      <c r="Q52" s="1335"/>
      <c r="R52" s="1335">
        <f>O52</f>
        <v>3758.5679999999998</v>
      </c>
      <c r="S52" s="1390"/>
      <c r="T52" s="1751">
        <v>1241.306</v>
      </c>
      <c r="U52" s="1736">
        <v>6.0299999999999994</v>
      </c>
      <c r="V52" s="1736">
        <v>0</v>
      </c>
      <c r="W52" s="1392"/>
      <c r="X52" s="1392"/>
      <c r="Y52" s="1392"/>
      <c r="Z52" s="1841">
        <f t="shared" si="8"/>
        <v>1247.336</v>
      </c>
      <c r="AA52" s="1752">
        <v>701.24199999999996</v>
      </c>
      <c r="AB52" s="1736">
        <v>4.4000000000000004</v>
      </c>
      <c r="AC52" s="1810">
        <v>0</v>
      </c>
      <c r="AD52" s="1334"/>
      <c r="AE52" s="1334"/>
      <c r="AF52" s="1334"/>
      <c r="AG52" s="1395">
        <f t="shared" si="58"/>
        <v>705.64199999999994</v>
      </c>
      <c r="AH52" s="1391">
        <f t="shared" si="59"/>
        <v>1952.9780000000001</v>
      </c>
      <c r="AI52" s="1334">
        <f t="shared" si="82"/>
        <v>1942.548</v>
      </c>
      <c r="AJ52" s="1334">
        <f t="shared" si="82"/>
        <v>10.43</v>
      </c>
      <c r="AK52" s="1334">
        <f t="shared" si="82"/>
        <v>0</v>
      </c>
      <c r="AL52" s="1334">
        <f t="shared" si="82"/>
        <v>0</v>
      </c>
      <c r="AM52" s="1334">
        <f t="shared" si="82"/>
        <v>0</v>
      </c>
      <c r="AN52" s="1334"/>
      <c r="AO52" s="1334">
        <f t="shared" si="79"/>
        <v>1952.9780000000001</v>
      </c>
      <c r="AP52" s="1334">
        <f t="shared" si="80"/>
        <v>1952.9780000000001</v>
      </c>
      <c r="AQ52" s="1396">
        <f t="shared" si="81"/>
        <v>1952.9780000000001</v>
      </c>
      <c r="AR52" s="1417">
        <f t="shared" si="41"/>
        <v>0</v>
      </c>
      <c r="AS52" s="1333">
        <f t="shared" si="83"/>
        <v>6439476.6882719994</v>
      </c>
      <c r="AT52" s="1334">
        <f t="shared" si="83"/>
        <v>30770.690299999998</v>
      </c>
      <c r="AU52" s="1334">
        <f t="shared" si="83"/>
        <v>0</v>
      </c>
      <c r="AV52" s="1334">
        <f t="shared" si="83"/>
        <v>0</v>
      </c>
      <c r="AW52" s="1334">
        <f t="shared" si="83"/>
        <v>0</v>
      </c>
      <c r="AX52" s="1334">
        <f t="shared" si="54"/>
        <v>6470247.3785719993</v>
      </c>
      <c r="AY52" s="1334">
        <f t="shared" si="55"/>
        <v>6470247.3785719993</v>
      </c>
      <c r="AZ52" s="1334">
        <f t="shared" si="84"/>
        <v>7301198.7512639994</v>
      </c>
      <c r="BA52" s="1334">
        <f t="shared" si="84"/>
        <v>31078.3753</v>
      </c>
      <c r="BB52" s="1334">
        <f t="shared" si="84"/>
        <v>0</v>
      </c>
      <c r="BC52" s="1334">
        <f t="shared" si="84"/>
        <v>0</v>
      </c>
      <c r="BD52" s="1334">
        <f t="shared" si="84"/>
        <v>0</v>
      </c>
      <c r="BE52" s="1334">
        <f t="shared" si="56"/>
        <v>7332277.1265639998</v>
      </c>
      <c r="BF52" s="1396">
        <f t="shared" si="60"/>
        <v>7332277.1265639998</v>
      </c>
      <c r="BG52" s="1397">
        <f>(H52-J52)/1.2*U52/1000+(H52-K52)/1.2*V52/1000</f>
        <v>1.8328888499999973</v>
      </c>
      <c r="BH52" s="1398">
        <f>(O52-P52)*AB52/1000/1.2+(O52-Q52)/1.2*AC52/1000</f>
        <v>2.8558126666666657</v>
      </c>
      <c r="BI52" s="1399">
        <f>BG52+BH52</f>
        <v>4.6887015166666632</v>
      </c>
      <c r="BJ52" s="1399"/>
      <c r="BK52" s="1641"/>
      <c r="BL52" s="1334">
        <f t="shared" si="104"/>
        <v>4114884.7029839996</v>
      </c>
      <c r="BM52" s="1334">
        <f t="shared" si="104"/>
        <v>17789.766299999999</v>
      </c>
      <c r="BN52" s="1334">
        <f t="shared" si="104"/>
        <v>0</v>
      </c>
      <c r="BO52" s="1334">
        <f t="shared" si="104"/>
        <v>0</v>
      </c>
      <c r="BP52" s="1334">
        <f t="shared" si="104"/>
        <v>0</v>
      </c>
      <c r="BQ52" s="1334">
        <f t="shared" si="62"/>
        <v>4132674.4692839994</v>
      </c>
      <c r="BR52" s="1334">
        <f t="shared" si="63"/>
        <v>4132674.4692839994</v>
      </c>
      <c r="BS52" s="1334">
        <f t="shared" si="105"/>
        <v>2635665.7414559997</v>
      </c>
      <c r="BT52" s="1334">
        <f t="shared" si="105"/>
        <v>13110.724000000002</v>
      </c>
      <c r="BU52" s="1334">
        <f t="shared" si="105"/>
        <v>0</v>
      </c>
      <c r="BV52" s="1334">
        <f t="shared" si="65"/>
        <v>0</v>
      </c>
      <c r="BW52" s="1334">
        <f t="shared" si="19"/>
        <v>0</v>
      </c>
      <c r="BX52" s="1334">
        <f t="shared" si="66"/>
        <v>2648776.4654559996</v>
      </c>
      <c r="BY52" s="1334">
        <f t="shared" si="67"/>
        <v>2648776.4654559996</v>
      </c>
      <c r="BZ52" s="1389">
        <f t="shared" si="68"/>
        <v>30900.490300000001</v>
      </c>
      <c r="CA52" s="1389">
        <f t="shared" si="68"/>
        <v>0</v>
      </c>
      <c r="CB52" s="1389">
        <f t="shared" si="69"/>
        <v>30900.490300000001</v>
      </c>
      <c r="CC52" s="1420">
        <f t="shared" si="70"/>
        <v>2962.654870565676</v>
      </c>
      <c r="CD52" s="1420" t="e">
        <f t="shared" si="70"/>
        <v>#DIV/0!</v>
      </c>
      <c r="CE52" s="1420">
        <f t="shared" si="44"/>
        <v>2962.654870565676</v>
      </c>
      <c r="CF52" s="1420">
        <f t="shared" si="20"/>
        <v>2962.654870565676</v>
      </c>
      <c r="CG52" s="1421">
        <f t="shared" si="21"/>
        <v>36526.932119999998</v>
      </c>
      <c r="CH52" s="1421">
        <f t="shared" si="45"/>
        <v>3502.1027919463086</v>
      </c>
      <c r="CI52" s="1389"/>
      <c r="CJ52" s="1756">
        <f>H52*Z52/1000</f>
        <v>4134.8739359039992</v>
      </c>
      <c r="CK52" s="1756">
        <f t="shared" si="22"/>
        <v>2652.2034406559997</v>
      </c>
      <c r="CL52" s="1756">
        <f>CJ52+CK52</f>
        <v>6787.0773765599988</v>
      </c>
      <c r="CM52" s="1334">
        <f t="shared" si="48"/>
        <v>7340.4006155039997</v>
      </c>
      <c r="CN52" s="1334">
        <f t="shared" si="49"/>
        <v>553.32323894400088</v>
      </c>
      <c r="CO52" s="1334">
        <f t="shared" si="23"/>
        <v>6787077.3765599988</v>
      </c>
      <c r="CP52" s="1334">
        <f t="shared" si="24"/>
        <v>6470247.3785719993</v>
      </c>
      <c r="CQ52" s="1334">
        <f t="shared" si="25"/>
        <v>6470247.3785719993</v>
      </c>
      <c r="CR52" s="1334">
        <f t="shared" si="26"/>
        <v>4132674.4692839994</v>
      </c>
      <c r="CS52" s="1334">
        <f t="shared" si="27"/>
        <v>7332277.1265639998</v>
      </c>
      <c r="CT52" s="1334">
        <f t="shared" si="28"/>
        <v>7332277.1265639998</v>
      </c>
      <c r="CU52" s="1334">
        <f t="shared" si="29"/>
        <v>2648776.4654559996</v>
      </c>
      <c r="CV52" s="1334">
        <f t="shared" si="50"/>
        <v>13802524.505135998</v>
      </c>
      <c r="CW52" s="1422">
        <f t="shared" si="51"/>
        <v>7067.4244692648854</v>
      </c>
      <c r="CX52" s="1334">
        <f t="shared" si="30"/>
        <v>30770.690299999998</v>
      </c>
      <c r="CY52" s="1334">
        <f t="shared" si="31"/>
        <v>31078.3753</v>
      </c>
      <c r="CZ52" s="1334"/>
      <c r="DA52" s="1334">
        <f t="shared" si="32"/>
        <v>6474051.7627919996</v>
      </c>
      <c r="DB52" s="1334">
        <f t="shared" si="33"/>
        <v>7340400.6155039994</v>
      </c>
      <c r="DC52" s="1223"/>
      <c r="DD52" s="1224">
        <f t="shared" si="52"/>
        <v>127.40001559211038</v>
      </c>
      <c r="DE52" s="1223"/>
      <c r="DF52" s="1223"/>
      <c r="DG52" s="1223"/>
      <c r="DH52" s="1494"/>
      <c r="DI52" s="1494"/>
      <c r="DJ52" s="1494"/>
      <c r="DK52" s="1389"/>
      <c r="DL52" s="1419">
        <f t="shared" si="34"/>
        <v>0</v>
      </c>
      <c r="DM52" s="1419">
        <f t="shared" si="35"/>
        <v>0</v>
      </c>
      <c r="DN52" s="1419">
        <f t="shared" si="36"/>
        <v>0</v>
      </c>
      <c r="DO52" s="819"/>
      <c r="DP52" s="1315"/>
      <c r="DQ52" s="1315"/>
      <c r="DR52" s="1315"/>
      <c r="DS52" s="1315"/>
      <c r="DT52" s="1315"/>
      <c r="DU52" s="1315"/>
      <c r="DV52" s="1315"/>
      <c r="DW52" s="1315"/>
      <c r="DX52" s="1315"/>
      <c r="DY52" s="1315"/>
      <c r="DZ52" s="1315"/>
      <c r="EA52" s="1315"/>
      <c r="EB52" s="1315"/>
      <c r="EC52" s="1315"/>
      <c r="ED52" s="1315"/>
      <c r="EE52" s="1315"/>
      <c r="EF52" s="1315"/>
      <c r="EG52" s="1315"/>
      <c r="EH52" s="1315"/>
      <c r="EI52" s="1315"/>
      <c r="EJ52" s="1315"/>
      <c r="EK52" s="1315"/>
      <c r="EL52" s="1315"/>
    </row>
    <row r="53" spans="1:142" s="50" customFormat="1" ht="57" hidden="1" customHeight="1">
      <c r="A53" s="6">
        <f t="shared" si="53"/>
        <v>40</v>
      </c>
      <c r="B53" s="1330" t="s">
        <v>18</v>
      </c>
      <c r="C53" s="1330"/>
      <c r="D53" s="1650" t="s">
        <v>96</v>
      </c>
      <c r="E53" s="1330">
        <v>4611013586</v>
      </c>
      <c r="F53" s="1330" t="s">
        <v>8</v>
      </c>
      <c r="G53" s="1332" t="s">
        <v>1001</v>
      </c>
      <c r="H53" s="1695">
        <v>4183.0030781451369</v>
      </c>
      <c r="I53" s="1696">
        <v>0</v>
      </c>
      <c r="J53" s="1335">
        <v>3218.8790000000004</v>
      </c>
      <c r="K53" s="1335">
        <v>3218.8790000000004</v>
      </c>
      <c r="L53" s="1335">
        <v>0</v>
      </c>
      <c r="M53" s="1390">
        <v>0</v>
      </c>
      <c r="N53" s="1403">
        <v>5288.62</v>
      </c>
      <c r="O53" s="1335">
        <v>0</v>
      </c>
      <c r="P53" s="1335">
        <v>3524.67</v>
      </c>
      <c r="Q53" s="1335">
        <v>3524.67</v>
      </c>
      <c r="R53" s="1335">
        <v>0</v>
      </c>
      <c r="S53" s="1390">
        <v>0</v>
      </c>
      <c r="T53" s="1333">
        <v>0</v>
      </c>
      <c r="U53" s="1338">
        <v>169.31</v>
      </c>
      <c r="V53" s="1338">
        <v>27.2</v>
      </c>
      <c r="W53" s="1334">
        <v>0</v>
      </c>
      <c r="X53" s="1334">
        <v>0</v>
      </c>
      <c r="Y53" s="1334">
        <v>0</v>
      </c>
      <c r="Z53" s="1393">
        <f>SUM(T53:W53)</f>
        <v>196.51</v>
      </c>
      <c r="AA53" s="1418">
        <v>0</v>
      </c>
      <c r="AB53" s="1338">
        <v>126.98</v>
      </c>
      <c r="AC53" s="1338">
        <v>19.96</v>
      </c>
      <c r="AD53" s="1334">
        <v>0</v>
      </c>
      <c r="AE53" s="1334">
        <v>0</v>
      </c>
      <c r="AF53" s="1334">
        <v>0</v>
      </c>
      <c r="AG53" s="1395">
        <f>SUM(AA53:AD53)</f>
        <v>146.94</v>
      </c>
      <c r="AH53" s="1391">
        <f>Z53+AG53</f>
        <v>343.45</v>
      </c>
      <c r="AI53" s="1334">
        <f t="shared" si="82"/>
        <v>0</v>
      </c>
      <c r="AJ53" s="1338">
        <f>U53+AB53</f>
        <v>296.29000000000002</v>
      </c>
      <c r="AK53" s="1338">
        <f>V53+AC53</f>
        <v>47.16</v>
      </c>
      <c r="AL53" s="1334">
        <f t="shared" si="82"/>
        <v>0</v>
      </c>
      <c r="AM53" s="1334">
        <f t="shared" si="82"/>
        <v>0</v>
      </c>
      <c r="AN53" s="1334"/>
      <c r="AO53" s="1334">
        <f>SUM(AI53:AN53)</f>
        <v>343.45000000000005</v>
      </c>
      <c r="AP53" s="1334">
        <f>SUM(AI53:AM53)</f>
        <v>343.45000000000005</v>
      </c>
      <c r="AQ53" s="1396">
        <f>SUM(AI53:AL53)</f>
        <v>343.45000000000005</v>
      </c>
      <c r="AR53" s="1417">
        <f t="shared" si="41"/>
        <v>0</v>
      </c>
      <c r="AS53" s="1333">
        <f t="shared" si="83"/>
        <v>0</v>
      </c>
      <c r="AT53" s="1334">
        <f t="shared" si="83"/>
        <v>953721.65891000011</v>
      </c>
      <c r="AU53" s="1334">
        <f t="shared" si="83"/>
        <v>151802.33364</v>
      </c>
      <c r="AV53" s="1334">
        <f t="shared" si="83"/>
        <v>0</v>
      </c>
      <c r="AW53" s="1334">
        <f t="shared" si="83"/>
        <v>0</v>
      </c>
      <c r="AX53" s="1334">
        <f t="shared" si="54"/>
        <v>1105523.9925500001</v>
      </c>
      <c r="AY53" s="1334">
        <f t="shared" si="55"/>
        <v>1105523.9925500001</v>
      </c>
      <c r="AZ53" s="1334">
        <f t="shared" si="84"/>
        <v>0</v>
      </c>
      <c r="BA53" s="1334">
        <f t="shared" si="84"/>
        <v>1044324.4743000001</v>
      </c>
      <c r="BB53" s="1334">
        <f t="shared" si="84"/>
        <v>166223.43719999999</v>
      </c>
      <c r="BC53" s="1334">
        <f t="shared" si="84"/>
        <v>0</v>
      </c>
      <c r="BD53" s="1334">
        <f t="shared" si="84"/>
        <v>0</v>
      </c>
      <c r="BE53" s="1334">
        <f t="shared" si="56"/>
        <v>1210547.9115000002</v>
      </c>
      <c r="BF53" s="1396">
        <f t="shared" si="60"/>
        <v>1210547.9115000002</v>
      </c>
      <c r="BG53" s="1418">
        <v>189.459</v>
      </c>
      <c r="BH53" s="1334">
        <v>259.19499999999999</v>
      </c>
      <c r="BI53" s="1392">
        <v>448.654</v>
      </c>
      <c r="BJ53" s="1338">
        <v>1247.1099999999999</v>
      </c>
      <c r="BK53" s="1644">
        <v>2032.7</v>
      </c>
      <c r="BL53" s="1341">
        <f t="shared" si="104"/>
        <v>0</v>
      </c>
      <c r="BM53" s="1341">
        <f>J53*U53</f>
        <v>544988.40349000006</v>
      </c>
      <c r="BN53" s="1341">
        <f>K53*V53</f>
        <v>87553.508800000011</v>
      </c>
      <c r="BO53" s="1341">
        <f t="shared" si="104"/>
        <v>0</v>
      </c>
      <c r="BP53" s="1341">
        <f t="shared" si="104"/>
        <v>0</v>
      </c>
      <c r="BQ53" s="1341">
        <f>BL53+BM53+BN53+BO53+BP53</f>
        <v>632541.91229000012</v>
      </c>
      <c r="BR53" s="1341">
        <f>BQ53-BP53</f>
        <v>632541.91229000012</v>
      </c>
      <c r="BS53" s="1341">
        <f t="shared" si="105"/>
        <v>0</v>
      </c>
      <c r="BT53" s="1341">
        <f>P53*AB53</f>
        <v>447562.59660000005</v>
      </c>
      <c r="BU53" s="1341">
        <f>Q53*AC53</f>
        <v>70352.41320000001</v>
      </c>
      <c r="BV53" s="1341">
        <f t="shared" si="65"/>
        <v>0</v>
      </c>
      <c r="BW53" s="1341">
        <f t="shared" si="19"/>
        <v>0</v>
      </c>
      <c r="BX53" s="1341">
        <f>BS53+BT53+BU53+BV53+BW53</f>
        <v>517915.00980000006</v>
      </c>
      <c r="BY53" s="1341">
        <f>BX53-BW53</f>
        <v>517915.00980000006</v>
      </c>
      <c r="BZ53" s="1349">
        <f t="shared" si="68"/>
        <v>992551.0000900001</v>
      </c>
      <c r="CA53" s="1349">
        <f t="shared" si="68"/>
        <v>157905.92200000002</v>
      </c>
      <c r="CB53" s="1349">
        <f t="shared" si="69"/>
        <v>1150456.92209</v>
      </c>
      <c r="CC53" s="1351">
        <f t="shared" si="70"/>
        <v>3349.930811333491</v>
      </c>
      <c r="CD53" s="1351">
        <f t="shared" si="70"/>
        <v>3348.3019932145894</v>
      </c>
      <c r="CE53" s="1351">
        <f t="shared" si="44"/>
        <v>3349.7071541417959</v>
      </c>
      <c r="CF53" s="1351">
        <f t="shared" si="20"/>
        <v>3349.7071541417968</v>
      </c>
      <c r="CG53" s="1367">
        <f t="shared" si="21"/>
        <v>0</v>
      </c>
      <c r="CH53" s="1367">
        <f t="shared" si="45"/>
        <v>0</v>
      </c>
      <c r="CI53" s="1423"/>
      <c r="CJ53" s="1341">
        <f t="shared" si="71"/>
        <v>1039.2667162</v>
      </c>
      <c r="CK53" s="1341">
        <f t="shared" si="22"/>
        <v>777.10982279999996</v>
      </c>
      <c r="CL53" s="1341">
        <f t="shared" si="47"/>
        <v>1816.3765389999999</v>
      </c>
      <c r="CM53" s="1341">
        <f t="shared" si="48"/>
        <v>1816.3765389999999</v>
      </c>
      <c r="CN53" s="1341">
        <f t="shared" si="49"/>
        <v>0</v>
      </c>
      <c r="CO53" s="1341">
        <f t="shared" si="23"/>
        <v>1599111.7576863007</v>
      </c>
      <c r="CP53" s="1341">
        <f t="shared" si="24"/>
        <v>1105523.9925500001</v>
      </c>
      <c r="CQ53" s="1341">
        <f t="shared" si="25"/>
        <v>1105523.9925500003</v>
      </c>
      <c r="CR53" s="1341">
        <f t="shared" si="26"/>
        <v>632541.91229000012</v>
      </c>
      <c r="CS53" s="1341">
        <f t="shared" si="27"/>
        <v>1210547.9115000002</v>
      </c>
      <c r="CT53" s="1341">
        <f t="shared" si="28"/>
        <v>1210547.9115000002</v>
      </c>
      <c r="CU53" s="1341">
        <f t="shared" si="29"/>
        <v>517915.00980000006</v>
      </c>
      <c r="CV53" s="1341">
        <f t="shared" si="50"/>
        <v>2316071.90405</v>
      </c>
      <c r="CW53" s="1350">
        <f t="shared" si="51"/>
        <v>6743.549</v>
      </c>
      <c r="CX53" s="1341">
        <f t="shared" si="30"/>
        <v>1105523.9925500001</v>
      </c>
      <c r="CY53" s="1341">
        <f t="shared" si="31"/>
        <v>1210547.9115000002</v>
      </c>
      <c r="CZ53" s="1341"/>
      <c r="DA53" s="1341">
        <f t="shared" si="32"/>
        <v>1436652.4071889473</v>
      </c>
      <c r="DB53" s="1341">
        <f t="shared" si="33"/>
        <v>1816376.5390000001</v>
      </c>
      <c r="DC53" s="1575"/>
      <c r="DD53" s="40">
        <f t="shared" si="52"/>
        <v>164.30005601328907</v>
      </c>
      <c r="DE53" s="1575"/>
      <c r="DF53" s="1575"/>
      <c r="DG53" s="1575"/>
      <c r="DH53" s="1487">
        <v>343.45</v>
      </c>
      <c r="DI53" s="1487">
        <v>343.45</v>
      </c>
      <c r="DJ53" s="1487">
        <f t="shared" si="57"/>
        <v>0</v>
      </c>
      <c r="DK53" s="1423"/>
      <c r="DL53" s="1352">
        <f t="shared" si="34"/>
        <v>0</v>
      </c>
      <c r="DM53" s="1352">
        <f t="shared" si="35"/>
        <v>0</v>
      </c>
      <c r="DN53" s="1352">
        <f t="shared" si="36"/>
        <v>0</v>
      </c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</row>
    <row r="54" spans="1:142" s="50" customFormat="1" ht="61.5" hidden="1" customHeight="1">
      <c r="A54" s="6">
        <f t="shared" si="53"/>
        <v>41</v>
      </c>
      <c r="B54" s="1330" t="s">
        <v>18</v>
      </c>
      <c r="C54" s="1330" t="s">
        <v>138</v>
      </c>
      <c r="D54" s="1650" t="s">
        <v>95</v>
      </c>
      <c r="E54" s="1330">
        <v>4611013586</v>
      </c>
      <c r="F54" s="1330" t="s">
        <v>8</v>
      </c>
      <c r="G54" s="1332" t="s">
        <v>1001</v>
      </c>
      <c r="H54" s="1695">
        <v>4183.0030781451369</v>
      </c>
      <c r="I54" s="1696">
        <v>0</v>
      </c>
      <c r="J54" s="1335">
        <v>3218.8790000000004</v>
      </c>
      <c r="K54" s="1335">
        <v>3218.8790000000004</v>
      </c>
      <c r="L54" s="1335">
        <v>0</v>
      </c>
      <c r="M54" s="1390">
        <v>0</v>
      </c>
      <c r="N54" s="1371">
        <v>5288.62</v>
      </c>
      <c r="O54" s="1335">
        <v>0</v>
      </c>
      <c r="P54" s="1335">
        <v>3524.67</v>
      </c>
      <c r="Q54" s="1335">
        <v>3524.67</v>
      </c>
      <c r="R54" s="1335">
        <v>0</v>
      </c>
      <c r="S54" s="1390">
        <v>0</v>
      </c>
      <c r="T54" s="1333">
        <v>0</v>
      </c>
      <c r="U54" s="1334">
        <v>67.02</v>
      </c>
      <c r="V54" s="1334">
        <v>0</v>
      </c>
      <c r="W54" s="1334">
        <v>0</v>
      </c>
      <c r="X54" s="1334">
        <v>0</v>
      </c>
      <c r="Y54" s="1334">
        <v>0</v>
      </c>
      <c r="Z54" s="1393">
        <f t="shared" si="8"/>
        <v>67.02</v>
      </c>
      <c r="AA54" s="1418">
        <v>0</v>
      </c>
      <c r="AB54" s="1334">
        <v>50.27</v>
      </c>
      <c r="AC54" s="1334">
        <v>0</v>
      </c>
      <c r="AD54" s="1334">
        <v>0</v>
      </c>
      <c r="AE54" s="1334">
        <v>0</v>
      </c>
      <c r="AF54" s="1334">
        <v>0</v>
      </c>
      <c r="AG54" s="1395">
        <f t="shared" si="58"/>
        <v>50.27</v>
      </c>
      <c r="AH54" s="1391">
        <f>Z54+AG54</f>
        <v>117.28999999999999</v>
      </c>
      <c r="AI54" s="1334">
        <f t="shared" si="82"/>
        <v>0</v>
      </c>
      <c r="AJ54" s="1392">
        <f>U54+AB54</f>
        <v>117.28999999999999</v>
      </c>
      <c r="AK54" s="1334">
        <f t="shared" si="82"/>
        <v>0</v>
      </c>
      <c r="AL54" s="1334">
        <f t="shared" si="82"/>
        <v>0</v>
      </c>
      <c r="AM54" s="1334">
        <f t="shared" si="82"/>
        <v>0</v>
      </c>
      <c r="AN54" s="1334"/>
      <c r="AO54" s="1392">
        <f>SUM(AI54:AN54)</f>
        <v>117.28999999999999</v>
      </c>
      <c r="AP54" s="1392">
        <f>SUM(AI54:AM54)</f>
        <v>117.28999999999999</v>
      </c>
      <c r="AQ54" s="1393">
        <f>SUM(AI54:AL54)</f>
        <v>117.28999999999999</v>
      </c>
      <c r="AR54" s="1417">
        <f t="shared" si="41"/>
        <v>0</v>
      </c>
      <c r="AS54" s="1333">
        <f t="shared" si="83"/>
        <v>0</v>
      </c>
      <c r="AT54" s="1334">
        <f t="shared" si="83"/>
        <v>377542.31791000004</v>
      </c>
      <c r="AU54" s="1334">
        <f t="shared" si="83"/>
        <v>0</v>
      </c>
      <c r="AV54" s="1334">
        <f t="shared" si="83"/>
        <v>0</v>
      </c>
      <c r="AW54" s="1334">
        <f t="shared" si="83"/>
        <v>0</v>
      </c>
      <c r="AX54" s="1334">
        <f t="shared" si="54"/>
        <v>377542.31791000004</v>
      </c>
      <c r="AY54" s="1334">
        <f t="shared" si="55"/>
        <v>377542.31791000004</v>
      </c>
      <c r="AZ54" s="1334">
        <f t="shared" si="84"/>
        <v>0</v>
      </c>
      <c r="BA54" s="1334">
        <f t="shared" si="84"/>
        <v>413408.54430000001</v>
      </c>
      <c r="BB54" s="1334">
        <f t="shared" si="84"/>
        <v>0</v>
      </c>
      <c r="BC54" s="1334">
        <f t="shared" si="84"/>
        <v>0</v>
      </c>
      <c r="BD54" s="1334">
        <f t="shared" si="84"/>
        <v>0</v>
      </c>
      <c r="BE54" s="1334">
        <f t="shared" si="56"/>
        <v>413408.54430000001</v>
      </c>
      <c r="BF54" s="1396">
        <f t="shared" si="60"/>
        <v>413408.54430000001</v>
      </c>
      <c r="BG54" s="1418">
        <v>64.614999999999995</v>
      </c>
      <c r="BH54" s="1334">
        <v>88.674000000000007</v>
      </c>
      <c r="BI54" s="1392">
        <v>153.28899999999999</v>
      </c>
      <c r="BJ54" s="1338">
        <v>855.25</v>
      </c>
      <c r="BK54" s="1644">
        <v>1440.48</v>
      </c>
      <c r="BL54" s="1341">
        <f t="shared" si="104"/>
        <v>0</v>
      </c>
      <c r="BM54" s="1341">
        <f>J54*U54</f>
        <v>215729.27058000001</v>
      </c>
      <c r="BN54" s="1341">
        <f t="shared" si="104"/>
        <v>0</v>
      </c>
      <c r="BO54" s="1341">
        <f t="shared" si="104"/>
        <v>0</v>
      </c>
      <c r="BP54" s="1341">
        <f t="shared" si="104"/>
        <v>0</v>
      </c>
      <c r="BQ54" s="1341">
        <f>BL54+BM54+BN54+BO54+BP54</f>
        <v>215729.27058000001</v>
      </c>
      <c r="BR54" s="1341">
        <f>BQ54-BP54</f>
        <v>215729.27058000001</v>
      </c>
      <c r="BS54" s="1341">
        <f t="shared" si="105"/>
        <v>0</v>
      </c>
      <c r="BT54" s="1341">
        <f>P54*AB54</f>
        <v>177185.16090000002</v>
      </c>
      <c r="BU54" s="1341">
        <f t="shared" si="105"/>
        <v>0</v>
      </c>
      <c r="BV54" s="1341">
        <f t="shared" si="65"/>
        <v>0</v>
      </c>
      <c r="BW54" s="1341">
        <f t="shared" si="19"/>
        <v>0</v>
      </c>
      <c r="BX54" s="1341">
        <f>BS54+BT54+BU54+BV54+BW54</f>
        <v>177185.16090000002</v>
      </c>
      <c r="BY54" s="1341">
        <f>BX54-BW54</f>
        <v>177185.16090000002</v>
      </c>
      <c r="BZ54" s="1349">
        <f t="shared" si="68"/>
        <v>392914.43148000003</v>
      </c>
      <c r="CA54" s="1349">
        <f t="shared" si="68"/>
        <v>0</v>
      </c>
      <c r="CB54" s="1349">
        <f t="shared" si="69"/>
        <v>392914.43148000003</v>
      </c>
      <c r="CC54" s="1351">
        <f t="shared" si="70"/>
        <v>3349.9397346747382</v>
      </c>
      <c r="CD54" s="1351" t="e">
        <f t="shared" si="70"/>
        <v>#DIV/0!</v>
      </c>
      <c r="CE54" s="1351">
        <f t="shared" si="44"/>
        <v>3349.9397346747382</v>
      </c>
      <c r="CF54" s="1351">
        <f t="shared" si="20"/>
        <v>3349.9397346747382</v>
      </c>
      <c r="CG54" s="1367">
        <f t="shared" si="21"/>
        <v>0</v>
      </c>
      <c r="CH54" s="1367">
        <f t="shared" si="45"/>
        <v>0</v>
      </c>
      <c r="CI54" s="1423"/>
      <c r="CJ54" s="1341">
        <f t="shared" si="71"/>
        <v>354.44331239999997</v>
      </c>
      <c r="CK54" s="1341">
        <f t="shared" si="22"/>
        <v>265.85892739999997</v>
      </c>
      <c r="CL54" s="1341">
        <f t="shared" si="47"/>
        <v>620.30223979999994</v>
      </c>
      <c r="CM54" s="1341">
        <f t="shared" si="48"/>
        <v>620.30223979999994</v>
      </c>
      <c r="CN54" s="1341">
        <f t="shared" si="49"/>
        <v>0</v>
      </c>
      <c r="CO54" s="1341">
        <f t="shared" si="23"/>
        <v>546203.7936972871</v>
      </c>
      <c r="CP54" s="1341">
        <f t="shared" si="24"/>
        <v>377542.31791000004</v>
      </c>
      <c r="CQ54" s="1341">
        <f t="shared" si="25"/>
        <v>377542.31791000004</v>
      </c>
      <c r="CR54" s="1341">
        <f t="shared" si="26"/>
        <v>215729.27058000001</v>
      </c>
      <c r="CS54" s="1341">
        <f t="shared" si="27"/>
        <v>413408.54430000001</v>
      </c>
      <c r="CT54" s="1341">
        <f t="shared" si="28"/>
        <v>413408.54430000001</v>
      </c>
      <c r="CU54" s="1341">
        <f t="shared" si="29"/>
        <v>177185.16090000002</v>
      </c>
      <c r="CV54" s="1341">
        <f t="shared" si="50"/>
        <v>790950.86221000005</v>
      </c>
      <c r="CW54" s="1350">
        <f t="shared" si="51"/>
        <v>6743.5490000000009</v>
      </c>
      <c r="CX54" s="1341">
        <f t="shared" si="30"/>
        <v>377542.31791000004</v>
      </c>
      <c r="CY54" s="1341">
        <f t="shared" si="31"/>
        <v>413408.54430000001</v>
      </c>
      <c r="CZ54" s="1341"/>
      <c r="DA54" s="1341">
        <f t="shared" si="32"/>
        <v>490624.43103564309</v>
      </c>
      <c r="DB54" s="1341">
        <f t="shared" si="33"/>
        <v>620302.23979999998</v>
      </c>
      <c r="DC54" s="1575"/>
      <c r="DD54" s="40">
        <f t="shared" si="52"/>
        <v>164.30005601328907</v>
      </c>
      <c r="DE54" s="1575"/>
      <c r="DF54" s="1575"/>
      <c r="DG54" s="1575"/>
      <c r="DH54" s="1487">
        <v>117.28999999999999</v>
      </c>
      <c r="DI54" s="1487">
        <v>117.28999999999999</v>
      </c>
      <c r="DJ54" s="1487">
        <f t="shared" si="57"/>
        <v>0</v>
      </c>
      <c r="DK54" s="1423"/>
      <c r="DL54" s="1352">
        <f t="shared" si="34"/>
        <v>0</v>
      </c>
      <c r="DM54" s="1352">
        <f t="shared" si="35"/>
        <v>0</v>
      </c>
      <c r="DN54" s="1352">
        <f t="shared" si="36"/>
        <v>0</v>
      </c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  <c r="EH54" s="81"/>
      <c r="EI54" s="81"/>
      <c r="EJ54" s="81"/>
      <c r="EK54" s="81"/>
      <c r="EL54" s="81"/>
    </row>
    <row r="55" spans="1:142" s="1313" customFormat="1" ht="69.75" hidden="1" customHeight="1">
      <c r="A55" s="6">
        <f t="shared" si="53"/>
        <v>42</v>
      </c>
      <c r="B55" s="1839" t="s">
        <v>18</v>
      </c>
      <c r="C55" s="1839" t="s">
        <v>97</v>
      </c>
      <c r="D55" s="1706" t="s">
        <v>141</v>
      </c>
      <c r="E55" s="1331">
        <v>4632024035</v>
      </c>
      <c r="F55" s="1330" t="s">
        <v>8</v>
      </c>
      <c r="G55" s="1682" t="s">
        <v>1034</v>
      </c>
      <c r="H55" s="1700">
        <v>3314.9639999999995</v>
      </c>
      <c r="I55" s="1701">
        <f t="shared" ref="I55:I56" si="116">H55</f>
        <v>3314.9639999999995</v>
      </c>
      <c r="J55" s="1335"/>
      <c r="K55" s="1335"/>
      <c r="L55" s="1700">
        <v>3314.9639999999995</v>
      </c>
      <c r="M55" s="1390"/>
      <c r="N55" s="1703">
        <f t="shared" ref="N55:N56" si="117">3132.14*1.2</f>
        <v>3758.5679999999998</v>
      </c>
      <c r="O55" s="1704">
        <f t="shared" ref="O55:O56" si="118">N55</f>
        <v>3758.5679999999998</v>
      </c>
      <c r="P55" s="1335"/>
      <c r="Q55" s="1335"/>
      <c r="R55" s="1335">
        <f t="shared" ref="R55:R56" si="119">O55</f>
        <v>3758.5679999999998</v>
      </c>
      <c r="S55" s="1390"/>
      <c r="T55" s="1751">
        <v>3953.3850000000002</v>
      </c>
      <c r="U55" s="1810"/>
      <c r="V55" s="1810"/>
      <c r="W55" s="1334"/>
      <c r="X55" s="1334"/>
      <c r="Y55" s="1334"/>
      <c r="Z55" s="1841">
        <f t="shared" si="8"/>
        <v>3953.3850000000002</v>
      </c>
      <c r="AA55" s="1752">
        <v>958.45</v>
      </c>
      <c r="AB55" s="1810"/>
      <c r="AC55" s="1810"/>
      <c r="AD55" s="1334"/>
      <c r="AE55" s="1334"/>
      <c r="AF55" s="1334"/>
      <c r="AG55" s="1395">
        <f t="shared" si="58"/>
        <v>958.45</v>
      </c>
      <c r="AH55" s="1391">
        <f t="shared" si="59"/>
        <v>4911.835</v>
      </c>
      <c r="AI55" s="1334">
        <f t="shared" si="82"/>
        <v>4911.835</v>
      </c>
      <c r="AJ55" s="1334">
        <f t="shared" si="82"/>
        <v>0</v>
      </c>
      <c r="AK55" s="1334">
        <f t="shared" si="82"/>
        <v>0</v>
      </c>
      <c r="AL55" s="1334">
        <f t="shared" si="82"/>
        <v>0</v>
      </c>
      <c r="AM55" s="1334">
        <f t="shared" si="82"/>
        <v>0</v>
      </c>
      <c r="AN55" s="1334"/>
      <c r="AO55" s="1334">
        <f t="shared" si="79"/>
        <v>4911.835</v>
      </c>
      <c r="AP55" s="1334">
        <f t="shared" si="80"/>
        <v>4911.835</v>
      </c>
      <c r="AQ55" s="1396">
        <f t="shared" si="81"/>
        <v>4911.835</v>
      </c>
      <c r="AR55" s="1417">
        <f t="shared" si="41"/>
        <v>0</v>
      </c>
      <c r="AS55" s="1333">
        <f t="shared" si="83"/>
        <v>16282556.198939998</v>
      </c>
      <c r="AT55" s="1334">
        <f t="shared" si="83"/>
        <v>0</v>
      </c>
      <c r="AU55" s="1334">
        <f t="shared" si="83"/>
        <v>0</v>
      </c>
      <c r="AV55" s="1334">
        <f t="shared" si="83"/>
        <v>0</v>
      </c>
      <c r="AW55" s="1334">
        <f t="shared" si="83"/>
        <v>0</v>
      </c>
      <c r="AX55" s="1334">
        <f t="shared" si="54"/>
        <v>16282556.198939998</v>
      </c>
      <c r="AY55" s="1334">
        <f t="shared" si="55"/>
        <v>16282556.198939998</v>
      </c>
      <c r="AZ55" s="1334">
        <f t="shared" si="84"/>
        <v>18461465.852279998</v>
      </c>
      <c r="BA55" s="1334">
        <f t="shared" si="84"/>
        <v>0</v>
      </c>
      <c r="BB55" s="1334">
        <f t="shared" si="84"/>
        <v>0</v>
      </c>
      <c r="BC55" s="1334">
        <f t="shared" si="84"/>
        <v>0</v>
      </c>
      <c r="BD55" s="1334">
        <f t="shared" si="84"/>
        <v>0</v>
      </c>
      <c r="BE55" s="1334">
        <f t="shared" si="56"/>
        <v>18461465.852279998</v>
      </c>
      <c r="BF55" s="1396">
        <f t="shared" si="60"/>
        <v>18461465.852279998</v>
      </c>
      <c r="BG55" s="1397">
        <f t="shared" ref="BG55:BG56" si="120">(H55-J55)/1.2*U55/1000+(H55-K55)/1.2*V55/1000</f>
        <v>0</v>
      </c>
      <c r="BH55" s="1398">
        <f t="shared" ref="BH55:BH56" si="121">(O55-P55)*AB55/1000/1.2+(O55-Q55)/1.2*AC55/1000</f>
        <v>0</v>
      </c>
      <c r="BI55" s="1399">
        <f t="shared" ref="BI55:BI56" si="122">BG55+BH55</f>
        <v>0</v>
      </c>
      <c r="BJ55" s="1334"/>
      <c r="BK55" s="1643"/>
      <c r="BL55" s="1334">
        <f t="shared" si="104"/>
        <v>13105328.953139998</v>
      </c>
      <c r="BM55" s="1334">
        <f t="shared" si="104"/>
        <v>0</v>
      </c>
      <c r="BN55" s="1334">
        <f t="shared" si="104"/>
        <v>0</v>
      </c>
      <c r="BO55" s="1334">
        <f t="shared" si="104"/>
        <v>0</v>
      </c>
      <c r="BP55" s="1334">
        <f t="shared" si="104"/>
        <v>0</v>
      </c>
      <c r="BQ55" s="1334">
        <f t="shared" si="62"/>
        <v>13105328.953139998</v>
      </c>
      <c r="BR55" s="1334">
        <f t="shared" si="63"/>
        <v>13105328.953139998</v>
      </c>
      <c r="BS55" s="1334">
        <f t="shared" si="105"/>
        <v>3602399.4995999997</v>
      </c>
      <c r="BT55" s="1334">
        <f t="shared" si="105"/>
        <v>0</v>
      </c>
      <c r="BU55" s="1334">
        <f t="shared" si="105"/>
        <v>0</v>
      </c>
      <c r="BV55" s="1334">
        <f t="shared" si="65"/>
        <v>0</v>
      </c>
      <c r="BW55" s="1334">
        <f t="shared" si="19"/>
        <v>0</v>
      </c>
      <c r="BX55" s="1334">
        <f t="shared" si="66"/>
        <v>3602399.4995999997</v>
      </c>
      <c r="BY55" s="1334">
        <f t="shared" si="67"/>
        <v>3602399.4995999997</v>
      </c>
      <c r="BZ55" s="1389">
        <f t="shared" si="68"/>
        <v>0</v>
      </c>
      <c r="CA55" s="1389">
        <f t="shared" si="68"/>
        <v>0</v>
      </c>
      <c r="CB55" s="1389">
        <f t="shared" si="69"/>
        <v>0</v>
      </c>
      <c r="CC55" s="1420" t="e">
        <f t="shared" si="70"/>
        <v>#DIV/0!</v>
      </c>
      <c r="CD55" s="1420" t="e">
        <f t="shared" si="70"/>
        <v>#DIV/0!</v>
      </c>
      <c r="CE55" s="1420" t="e">
        <f t="shared" si="44"/>
        <v>#DIV/0!</v>
      </c>
      <c r="CF55" s="1389" t="e">
        <f t="shared" si="20"/>
        <v>#DIV/0!</v>
      </c>
      <c r="CG55" s="1421">
        <f t="shared" si="21"/>
        <v>0</v>
      </c>
      <c r="CH55" s="1421" t="e">
        <f t="shared" si="45"/>
        <v>#DIV/0!</v>
      </c>
      <c r="CI55" s="1389"/>
      <c r="CJ55" s="1756">
        <f t="shared" ref="CJ55:CJ56" si="123">H55*Z55/1000</f>
        <v>13105.328953139999</v>
      </c>
      <c r="CK55" s="1756">
        <f t="shared" si="22"/>
        <v>3602.3994995999997</v>
      </c>
      <c r="CL55" s="1756">
        <f t="shared" si="47"/>
        <v>16707.728452739997</v>
      </c>
      <c r="CM55" s="1334">
        <f t="shared" si="48"/>
        <v>18461.465852279998</v>
      </c>
      <c r="CN55" s="1334">
        <f t="shared" si="49"/>
        <v>1753.7373995400012</v>
      </c>
      <c r="CO55" s="1334">
        <f t="shared" si="23"/>
        <v>16707728.452739999</v>
      </c>
      <c r="CP55" s="1334">
        <f t="shared" si="24"/>
        <v>16282556.198939998</v>
      </c>
      <c r="CQ55" s="1334">
        <f t="shared" si="25"/>
        <v>16282556.198939998</v>
      </c>
      <c r="CR55" s="1334">
        <f t="shared" si="26"/>
        <v>13105328.953139998</v>
      </c>
      <c r="CS55" s="1334">
        <f t="shared" si="27"/>
        <v>18461465.852279998</v>
      </c>
      <c r="CT55" s="1334">
        <f t="shared" si="28"/>
        <v>18461465.852279998</v>
      </c>
      <c r="CU55" s="1334">
        <f t="shared" si="29"/>
        <v>3602399.4995999997</v>
      </c>
      <c r="CV55" s="1334">
        <f t="shared" si="50"/>
        <v>34744022.05122</v>
      </c>
      <c r="CW55" s="1422">
        <f t="shared" si="51"/>
        <v>7073.5320000000002</v>
      </c>
      <c r="CX55" s="1334">
        <f t="shared" si="30"/>
        <v>0</v>
      </c>
      <c r="CY55" s="1334">
        <f t="shared" si="31"/>
        <v>0</v>
      </c>
      <c r="CZ55" s="1334"/>
      <c r="DA55" s="1334">
        <f t="shared" si="32"/>
        <v>16282556.198939998</v>
      </c>
      <c r="DB55" s="1334">
        <f t="shared" si="33"/>
        <v>18461465.852279998</v>
      </c>
      <c r="DC55" s="1223"/>
      <c r="DD55" s="1224" t="e">
        <f t="shared" si="52"/>
        <v>#DIV/0!</v>
      </c>
      <c r="DE55" s="1223"/>
      <c r="DF55" s="1223"/>
      <c r="DG55" s="1223"/>
      <c r="DH55" s="1494"/>
      <c r="DI55" s="1494"/>
      <c r="DJ55" s="1494"/>
      <c r="DK55" s="1389"/>
      <c r="DL55" s="1419">
        <f t="shared" si="34"/>
        <v>0</v>
      </c>
      <c r="DM55" s="1419">
        <f t="shared" si="35"/>
        <v>0</v>
      </c>
      <c r="DN55" s="1419">
        <f t="shared" si="36"/>
        <v>0</v>
      </c>
      <c r="DO55" s="819"/>
      <c r="DP55" s="1315"/>
      <c r="DQ55" s="1315"/>
      <c r="DR55" s="1315"/>
      <c r="DS55" s="1315"/>
      <c r="DT55" s="1315"/>
      <c r="DU55" s="1315"/>
      <c r="DV55" s="1315"/>
      <c r="DW55" s="1315"/>
      <c r="DX55" s="1315"/>
      <c r="DY55" s="1315"/>
      <c r="DZ55" s="1315"/>
      <c r="EA55" s="1315"/>
      <c r="EB55" s="1315"/>
      <c r="EC55" s="1315"/>
      <c r="ED55" s="1315"/>
      <c r="EE55" s="1315"/>
      <c r="EF55" s="1315"/>
      <c r="EG55" s="1315"/>
      <c r="EH55" s="1315"/>
      <c r="EI55" s="1315"/>
      <c r="EJ55" s="1315"/>
      <c r="EK55" s="1315"/>
      <c r="EL55" s="1315"/>
    </row>
    <row r="56" spans="1:142" s="1313" customFormat="1" ht="75.75" hidden="1" customHeight="1">
      <c r="A56" s="6">
        <f t="shared" si="53"/>
        <v>43</v>
      </c>
      <c r="B56" s="1839" t="s">
        <v>18</v>
      </c>
      <c r="C56" s="1839" t="s">
        <v>98</v>
      </c>
      <c r="D56" s="1706" t="s">
        <v>141</v>
      </c>
      <c r="E56" s="1331">
        <v>4632024035</v>
      </c>
      <c r="F56" s="1330" t="s">
        <v>8</v>
      </c>
      <c r="G56" s="1682" t="s">
        <v>1034</v>
      </c>
      <c r="H56" s="1700">
        <v>3314.9639999999995</v>
      </c>
      <c r="I56" s="1701">
        <f t="shared" si="116"/>
        <v>3314.9639999999995</v>
      </c>
      <c r="J56" s="1335"/>
      <c r="K56" s="1335"/>
      <c r="L56" s="1700">
        <v>3314.9639999999995</v>
      </c>
      <c r="M56" s="1390"/>
      <c r="N56" s="1703">
        <f t="shared" si="117"/>
        <v>3758.5679999999998</v>
      </c>
      <c r="O56" s="1704">
        <f t="shared" si="118"/>
        <v>3758.5679999999998</v>
      </c>
      <c r="P56" s="1335"/>
      <c r="Q56" s="1335"/>
      <c r="R56" s="1335">
        <f t="shared" si="119"/>
        <v>3758.5679999999998</v>
      </c>
      <c r="S56" s="1390"/>
      <c r="T56" s="1751">
        <v>345.18</v>
      </c>
      <c r="U56" s="1810"/>
      <c r="V56" s="1810"/>
      <c r="W56" s="1334"/>
      <c r="X56" s="1334"/>
      <c r="Y56" s="1334"/>
      <c r="Z56" s="1841">
        <f t="shared" si="8"/>
        <v>345.18</v>
      </c>
      <c r="AA56" s="1752">
        <v>300.53999999999996</v>
      </c>
      <c r="AB56" s="1810"/>
      <c r="AC56" s="1810"/>
      <c r="AD56" s="1334"/>
      <c r="AE56" s="1334"/>
      <c r="AF56" s="1334"/>
      <c r="AG56" s="1395">
        <f t="shared" si="58"/>
        <v>300.53999999999996</v>
      </c>
      <c r="AH56" s="1391">
        <f t="shared" si="59"/>
        <v>645.72</v>
      </c>
      <c r="AI56" s="1334">
        <f t="shared" si="82"/>
        <v>645.72</v>
      </c>
      <c r="AJ56" s="1334">
        <f t="shared" si="82"/>
        <v>0</v>
      </c>
      <c r="AK56" s="1334">
        <f t="shared" si="82"/>
        <v>0</v>
      </c>
      <c r="AL56" s="1334">
        <f t="shared" si="82"/>
        <v>0</v>
      </c>
      <c r="AM56" s="1334">
        <f t="shared" si="82"/>
        <v>0</v>
      </c>
      <c r="AN56" s="1334"/>
      <c r="AO56" s="1334">
        <f t="shared" si="79"/>
        <v>645.72</v>
      </c>
      <c r="AP56" s="1334">
        <f t="shared" si="80"/>
        <v>645.72</v>
      </c>
      <c r="AQ56" s="1396">
        <f t="shared" si="81"/>
        <v>645.72</v>
      </c>
      <c r="AR56" s="1417">
        <f t="shared" si="41"/>
        <v>0</v>
      </c>
      <c r="AS56" s="1333">
        <f t="shared" si="83"/>
        <v>2140538.5540799997</v>
      </c>
      <c r="AT56" s="1334">
        <f t="shared" si="83"/>
        <v>0</v>
      </c>
      <c r="AU56" s="1334">
        <f t="shared" si="83"/>
        <v>0</v>
      </c>
      <c r="AV56" s="1334">
        <f t="shared" si="83"/>
        <v>0</v>
      </c>
      <c r="AW56" s="1334">
        <f t="shared" si="83"/>
        <v>0</v>
      </c>
      <c r="AX56" s="1334">
        <f t="shared" si="54"/>
        <v>2140538.5540799997</v>
      </c>
      <c r="AY56" s="1334">
        <f t="shared" si="55"/>
        <v>2140538.5540799997</v>
      </c>
      <c r="AZ56" s="1334">
        <f t="shared" si="84"/>
        <v>2426982.5289599998</v>
      </c>
      <c r="BA56" s="1334">
        <f t="shared" si="84"/>
        <v>0</v>
      </c>
      <c r="BB56" s="1334">
        <f t="shared" si="84"/>
        <v>0</v>
      </c>
      <c r="BC56" s="1334">
        <f t="shared" si="84"/>
        <v>0</v>
      </c>
      <c r="BD56" s="1334">
        <f t="shared" si="84"/>
        <v>0</v>
      </c>
      <c r="BE56" s="1334">
        <f t="shared" si="56"/>
        <v>2426982.5289599998</v>
      </c>
      <c r="BF56" s="1396">
        <f t="shared" si="60"/>
        <v>2426982.5289599998</v>
      </c>
      <c r="BG56" s="1397">
        <f t="shared" si="120"/>
        <v>0</v>
      </c>
      <c r="BH56" s="1398">
        <f t="shared" si="121"/>
        <v>0</v>
      </c>
      <c r="BI56" s="1399">
        <f t="shared" si="122"/>
        <v>0</v>
      </c>
      <c r="BJ56" s="1334"/>
      <c r="BK56" s="1643"/>
      <c r="BL56" s="1334">
        <f t="shared" si="104"/>
        <v>1144259.2735199998</v>
      </c>
      <c r="BM56" s="1334">
        <f t="shared" si="104"/>
        <v>0</v>
      </c>
      <c r="BN56" s="1334">
        <f t="shared" si="104"/>
        <v>0</v>
      </c>
      <c r="BO56" s="1334">
        <f t="shared" si="104"/>
        <v>0</v>
      </c>
      <c r="BP56" s="1334">
        <f t="shared" si="104"/>
        <v>0</v>
      </c>
      <c r="BQ56" s="1334">
        <f t="shared" si="62"/>
        <v>1144259.2735199998</v>
      </c>
      <c r="BR56" s="1334">
        <f t="shared" si="63"/>
        <v>1144259.2735199998</v>
      </c>
      <c r="BS56" s="1334">
        <f t="shared" si="105"/>
        <v>1129600.0267199997</v>
      </c>
      <c r="BT56" s="1334">
        <f t="shared" si="105"/>
        <v>0</v>
      </c>
      <c r="BU56" s="1334">
        <f t="shared" si="105"/>
        <v>0</v>
      </c>
      <c r="BV56" s="1334">
        <f t="shared" si="65"/>
        <v>0</v>
      </c>
      <c r="BW56" s="1334">
        <f t="shared" si="19"/>
        <v>0</v>
      </c>
      <c r="BX56" s="1334">
        <f t="shared" si="66"/>
        <v>1129600.0267199997</v>
      </c>
      <c r="BY56" s="1334">
        <f t="shared" si="67"/>
        <v>1129600.0267199997</v>
      </c>
      <c r="BZ56" s="1389">
        <f t="shared" si="68"/>
        <v>0</v>
      </c>
      <c r="CA56" s="1389">
        <f t="shared" si="68"/>
        <v>0</v>
      </c>
      <c r="CB56" s="1389">
        <f t="shared" si="69"/>
        <v>0</v>
      </c>
      <c r="CC56" s="1420" t="e">
        <f t="shared" si="70"/>
        <v>#DIV/0!</v>
      </c>
      <c r="CD56" s="1420" t="e">
        <f t="shared" si="70"/>
        <v>#DIV/0!</v>
      </c>
      <c r="CE56" s="1420" t="e">
        <f t="shared" si="44"/>
        <v>#DIV/0!</v>
      </c>
      <c r="CF56" s="1389" t="e">
        <f t="shared" si="20"/>
        <v>#DIV/0!</v>
      </c>
      <c r="CG56" s="1421">
        <f t="shared" si="21"/>
        <v>0</v>
      </c>
      <c r="CH56" s="1421" t="e">
        <f t="shared" si="45"/>
        <v>#DIV/0!</v>
      </c>
      <c r="CI56" s="1389"/>
      <c r="CJ56" s="1756">
        <f t="shared" si="123"/>
        <v>1144.2592735199999</v>
      </c>
      <c r="CK56" s="1756">
        <f t="shared" si="22"/>
        <v>1129.6000267199997</v>
      </c>
      <c r="CL56" s="1756">
        <f t="shared" si="47"/>
        <v>2273.8593002399994</v>
      </c>
      <c r="CM56" s="1334">
        <f t="shared" si="48"/>
        <v>2426.9825289599999</v>
      </c>
      <c r="CN56" s="1334">
        <f t="shared" si="49"/>
        <v>153.1232287200005</v>
      </c>
      <c r="CO56" s="1334">
        <f t="shared" si="23"/>
        <v>2273859.3002399998</v>
      </c>
      <c r="CP56" s="1334">
        <f t="shared" si="24"/>
        <v>2140538.5540799997</v>
      </c>
      <c r="CQ56" s="1334">
        <f t="shared" si="25"/>
        <v>2140538.5540799997</v>
      </c>
      <c r="CR56" s="1334">
        <f t="shared" si="26"/>
        <v>1144259.2735199998</v>
      </c>
      <c r="CS56" s="1334">
        <f t="shared" si="27"/>
        <v>2426982.5289599998</v>
      </c>
      <c r="CT56" s="1334">
        <f t="shared" si="28"/>
        <v>2426982.5289599998</v>
      </c>
      <c r="CU56" s="1334">
        <f t="shared" si="29"/>
        <v>1129600.0267199997</v>
      </c>
      <c r="CV56" s="1334">
        <f t="shared" si="50"/>
        <v>4567521.083039999</v>
      </c>
      <c r="CW56" s="1422">
        <f t="shared" si="51"/>
        <v>7073.5319999999983</v>
      </c>
      <c r="CX56" s="1334">
        <f t="shared" si="30"/>
        <v>0</v>
      </c>
      <c r="CY56" s="1334">
        <f t="shared" si="31"/>
        <v>0</v>
      </c>
      <c r="CZ56" s="1334"/>
      <c r="DA56" s="1334">
        <f t="shared" si="32"/>
        <v>2140538.5540799997</v>
      </c>
      <c r="DB56" s="1334">
        <f t="shared" si="33"/>
        <v>2426982.5289599998</v>
      </c>
      <c r="DC56" s="1223"/>
      <c r="DD56" s="1224" t="e">
        <f t="shared" si="52"/>
        <v>#DIV/0!</v>
      </c>
      <c r="DE56" s="1223"/>
      <c r="DF56" s="1223"/>
      <c r="DG56" s="1223"/>
      <c r="DH56" s="1494"/>
      <c r="DI56" s="1494"/>
      <c r="DJ56" s="1494"/>
      <c r="DK56" s="1389"/>
      <c r="DL56" s="1419">
        <f t="shared" si="34"/>
        <v>0</v>
      </c>
      <c r="DM56" s="1419">
        <f t="shared" si="35"/>
        <v>0</v>
      </c>
      <c r="DN56" s="1419">
        <f t="shared" si="36"/>
        <v>0</v>
      </c>
      <c r="DO56" s="819"/>
      <c r="DP56" s="1315"/>
      <c r="DQ56" s="1315"/>
      <c r="DR56" s="1315"/>
      <c r="DS56" s="1315"/>
      <c r="DT56" s="1315"/>
      <c r="DU56" s="1315"/>
      <c r="DV56" s="1315"/>
      <c r="DW56" s="1315"/>
      <c r="DX56" s="1315"/>
      <c r="DY56" s="1315"/>
      <c r="DZ56" s="1315"/>
      <c r="EA56" s="1315"/>
      <c r="EB56" s="1315"/>
      <c r="EC56" s="1315"/>
      <c r="ED56" s="1315"/>
      <c r="EE56" s="1315"/>
      <c r="EF56" s="1315"/>
      <c r="EG56" s="1315"/>
      <c r="EH56" s="1315"/>
      <c r="EI56" s="1315"/>
      <c r="EJ56" s="1315"/>
      <c r="EK56" s="1315"/>
      <c r="EL56" s="1315"/>
    </row>
    <row r="57" spans="1:142" s="50" customFormat="1" ht="69" hidden="1" customHeight="1">
      <c r="A57" s="6">
        <f t="shared" si="53"/>
        <v>44</v>
      </c>
      <c r="B57" s="1330" t="s">
        <v>18</v>
      </c>
      <c r="C57" s="1330" t="s">
        <v>183</v>
      </c>
      <c r="D57" s="1650" t="s">
        <v>96</v>
      </c>
      <c r="E57" s="1330">
        <v>4611013586</v>
      </c>
      <c r="F57" s="1330" t="s">
        <v>8</v>
      </c>
      <c r="G57" s="1332" t="s">
        <v>1001</v>
      </c>
      <c r="H57" s="1693">
        <v>4183.0030781451369</v>
      </c>
      <c r="I57" s="1694">
        <v>0</v>
      </c>
      <c r="J57" s="1335">
        <v>2677.8195000000001</v>
      </c>
      <c r="K57" s="1335">
        <v>2677.8195000000001</v>
      </c>
      <c r="L57" s="1335">
        <v>0</v>
      </c>
      <c r="M57" s="1390">
        <v>0</v>
      </c>
      <c r="N57" s="1371">
        <v>5288.62</v>
      </c>
      <c r="O57" s="1335">
        <v>0</v>
      </c>
      <c r="P57" s="1335">
        <v>3052.71</v>
      </c>
      <c r="Q57" s="1335">
        <v>3052.71</v>
      </c>
      <c r="R57" s="1335">
        <v>0</v>
      </c>
      <c r="S57" s="1390">
        <v>0</v>
      </c>
      <c r="T57" s="1333">
        <v>0</v>
      </c>
      <c r="U57" s="1338">
        <v>268.60000000000002</v>
      </c>
      <c r="V57" s="1338">
        <v>97.13</v>
      </c>
      <c r="W57" s="1334">
        <v>0</v>
      </c>
      <c r="X57" s="1334">
        <v>0</v>
      </c>
      <c r="Y57" s="1389">
        <v>0</v>
      </c>
      <c r="Z57" s="1393">
        <f>SUM(T57:W57)</f>
        <v>365.73</v>
      </c>
      <c r="AA57" s="1418">
        <v>0</v>
      </c>
      <c r="AB57" s="1338">
        <v>192.89</v>
      </c>
      <c r="AC57" s="1338">
        <v>74.430000000000007</v>
      </c>
      <c r="AD57" s="1334">
        <v>0</v>
      </c>
      <c r="AE57" s="1334">
        <v>0</v>
      </c>
      <c r="AF57" s="1334">
        <v>0</v>
      </c>
      <c r="AG57" s="1395">
        <f>SUM(AA57:AD57)</f>
        <v>267.32</v>
      </c>
      <c r="AH57" s="1391">
        <f>Z57+AG57</f>
        <v>633.04999999999995</v>
      </c>
      <c r="AI57" s="1334">
        <f t="shared" si="82"/>
        <v>0</v>
      </c>
      <c r="AJ57" s="1334">
        <f t="shared" si="82"/>
        <v>461.49</v>
      </c>
      <c r="AK57" s="1338">
        <f t="shared" si="82"/>
        <v>171.56</v>
      </c>
      <c r="AL57" s="1334">
        <f t="shared" si="82"/>
        <v>0</v>
      </c>
      <c r="AM57" s="1334">
        <f t="shared" si="82"/>
        <v>0</v>
      </c>
      <c r="AN57" s="1334"/>
      <c r="AO57" s="1334">
        <f>SUM(AI57:AN57)</f>
        <v>633.04999999999995</v>
      </c>
      <c r="AP57" s="1334">
        <f>SUM(AI57:AM57)</f>
        <v>633.04999999999995</v>
      </c>
      <c r="AQ57" s="1396">
        <f>SUM(AI57:AL57)</f>
        <v>633.04999999999995</v>
      </c>
      <c r="AR57" s="1417">
        <f t="shared" si="41"/>
        <v>0</v>
      </c>
      <c r="AS57" s="1333">
        <f t="shared" ref="AS57:AW86" si="124">I57*AI57</f>
        <v>0</v>
      </c>
      <c r="AT57" s="1334">
        <f t="shared" si="124"/>
        <v>1235786.921055</v>
      </c>
      <c r="AU57" s="1334">
        <f t="shared" si="124"/>
        <v>459406.71342000004</v>
      </c>
      <c r="AV57" s="1334">
        <f t="shared" si="124"/>
        <v>0</v>
      </c>
      <c r="AW57" s="1334">
        <f t="shared" si="124"/>
        <v>0</v>
      </c>
      <c r="AX57" s="1334">
        <f t="shared" si="54"/>
        <v>1695193.6344750002</v>
      </c>
      <c r="AY57" s="1334">
        <f t="shared" si="55"/>
        <v>1695193.6344750002</v>
      </c>
      <c r="AZ57" s="1334">
        <f t="shared" ref="AZ57:BD86" si="125">O57*AI57</f>
        <v>0</v>
      </c>
      <c r="BA57" s="1334">
        <f t="shared" si="125"/>
        <v>1408795.1379</v>
      </c>
      <c r="BB57" s="1334">
        <f t="shared" si="125"/>
        <v>523722.9276</v>
      </c>
      <c r="BC57" s="1334">
        <f t="shared" si="125"/>
        <v>0</v>
      </c>
      <c r="BD57" s="1334">
        <f t="shared" si="125"/>
        <v>0</v>
      </c>
      <c r="BE57" s="1334">
        <f t="shared" si="56"/>
        <v>1932518.0655</v>
      </c>
      <c r="BF57" s="1396">
        <f t="shared" si="60"/>
        <v>1932518.0655</v>
      </c>
      <c r="BG57" s="1418">
        <v>550.49199999999996</v>
      </c>
      <c r="BH57" s="1334">
        <v>597.70799999999997</v>
      </c>
      <c r="BI57" s="1392">
        <v>1148.2</v>
      </c>
      <c r="BJ57" s="1338">
        <v>2986.58</v>
      </c>
      <c r="BK57" s="1644">
        <v>4746.8999999999996</v>
      </c>
      <c r="BL57" s="1341">
        <f t="shared" si="104"/>
        <v>0</v>
      </c>
      <c r="BM57" s="1341">
        <f>J57*U57</f>
        <v>719262.31770000013</v>
      </c>
      <c r="BN57" s="1341">
        <f>K57*V57</f>
        <v>260096.60803499998</v>
      </c>
      <c r="BO57" s="1341">
        <f t="shared" si="104"/>
        <v>0</v>
      </c>
      <c r="BP57" s="1341">
        <f t="shared" si="104"/>
        <v>0</v>
      </c>
      <c r="BQ57" s="1341">
        <f>BL57+BM57+BN57+BO57+BP57</f>
        <v>979358.92573500006</v>
      </c>
      <c r="BR57" s="1341">
        <f>BQ57-BP57</f>
        <v>979358.92573500006</v>
      </c>
      <c r="BS57" s="1341">
        <f t="shared" si="105"/>
        <v>0</v>
      </c>
      <c r="BT57" s="1341">
        <f>P57*AB57</f>
        <v>588837.23190000001</v>
      </c>
      <c r="BU57" s="1341">
        <f>Q57*AC57</f>
        <v>227213.20530000003</v>
      </c>
      <c r="BV57" s="1341">
        <f t="shared" si="65"/>
        <v>0</v>
      </c>
      <c r="BW57" s="1341">
        <f t="shared" si="19"/>
        <v>0</v>
      </c>
      <c r="BX57" s="1341">
        <f>BS57+BT57+BU57+BV57+BW57</f>
        <v>816050.43720000004</v>
      </c>
      <c r="BY57" s="1341">
        <f>BX57-BW57</f>
        <v>816050.43720000004</v>
      </c>
      <c r="BZ57" s="1349">
        <f t="shared" si="68"/>
        <v>1308099.5496</v>
      </c>
      <c r="CA57" s="1349">
        <f t="shared" si="68"/>
        <v>487309.81333500001</v>
      </c>
      <c r="CB57" s="1349">
        <f t="shared" si="69"/>
        <v>1795409.3629350001</v>
      </c>
      <c r="CC57" s="1351">
        <f t="shared" si="70"/>
        <v>2834.5133146980434</v>
      </c>
      <c r="CD57" s="1351">
        <f t="shared" si="70"/>
        <v>2840.4628895721612</v>
      </c>
      <c r="CE57" s="1351">
        <f t="shared" si="44"/>
        <v>2836.1256819129612</v>
      </c>
      <c r="CF57" s="1351">
        <f t="shared" si="20"/>
        <v>2836.1256819129612</v>
      </c>
      <c r="CG57" s="1367">
        <f t="shared" si="21"/>
        <v>0</v>
      </c>
      <c r="CH57" s="1367">
        <f t="shared" si="45"/>
        <v>0</v>
      </c>
      <c r="CI57" s="1423"/>
      <c r="CJ57" s="1341">
        <f t="shared" si="71"/>
        <v>1934.2069925999999</v>
      </c>
      <c r="CK57" s="1341">
        <f t="shared" si="22"/>
        <v>1413.7538983999998</v>
      </c>
      <c r="CL57" s="1341">
        <f t="shared" si="47"/>
        <v>3347.9608909999997</v>
      </c>
      <c r="CM57" s="1341">
        <f t="shared" si="48"/>
        <v>3347.9608909999997</v>
      </c>
      <c r="CN57" s="1341">
        <f t="shared" si="49"/>
        <v>0</v>
      </c>
      <c r="CO57" s="1341">
        <f t="shared" si="23"/>
        <v>2943603.6141700209</v>
      </c>
      <c r="CP57" s="1341">
        <f t="shared" si="24"/>
        <v>1695193.6344750002</v>
      </c>
      <c r="CQ57" s="1341">
        <f t="shared" si="25"/>
        <v>1695193.634475</v>
      </c>
      <c r="CR57" s="1341">
        <f t="shared" si="26"/>
        <v>979358.92573500006</v>
      </c>
      <c r="CS57" s="1341">
        <f t="shared" si="27"/>
        <v>1932518.0655</v>
      </c>
      <c r="CT57" s="1341">
        <f t="shared" si="28"/>
        <v>1932518.0654999998</v>
      </c>
      <c r="CU57" s="1341">
        <f t="shared" si="29"/>
        <v>816050.43720000004</v>
      </c>
      <c r="CV57" s="1341">
        <f t="shared" si="50"/>
        <v>3627711.6999750002</v>
      </c>
      <c r="CW57" s="1350">
        <f t="shared" si="51"/>
        <v>5730.5295000000006</v>
      </c>
      <c r="CX57" s="1341">
        <f t="shared" si="30"/>
        <v>1695193.6344750002</v>
      </c>
      <c r="CY57" s="1341">
        <f t="shared" si="31"/>
        <v>1932518.0655</v>
      </c>
      <c r="CZ57" s="1341"/>
      <c r="DA57" s="1341">
        <f t="shared" si="32"/>
        <v>2648050.0986197791</v>
      </c>
      <c r="DB57" s="1341">
        <f t="shared" si="33"/>
        <v>3347960.8909999998</v>
      </c>
      <c r="DC57" s="1575"/>
      <c r="DD57" s="40">
        <f t="shared" si="52"/>
        <v>197.49725476269032</v>
      </c>
      <c r="DE57" s="1575"/>
      <c r="DF57" s="1575"/>
      <c r="DG57" s="1575"/>
      <c r="DH57" s="1487">
        <v>633.04999999999995</v>
      </c>
      <c r="DI57" s="1487">
        <v>633.04999999999995</v>
      </c>
      <c r="DJ57" s="1487">
        <v>0</v>
      </c>
      <c r="DK57" s="1423"/>
      <c r="DL57" s="1352">
        <f t="shared" si="34"/>
        <v>0</v>
      </c>
      <c r="DM57" s="1352">
        <f t="shared" si="35"/>
        <v>0</v>
      </c>
      <c r="DN57" s="1352">
        <f t="shared" si="36"/>
        <v>0</v>
      </c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/>
      <c r="EG57" s="81"/>
      <c r="EH57" s="81"/>
      <c r="EI57" s="81"/>
      <c r="EJ57" s="81"/>
      <c r="EK57" s="81"/>
      <c r="EL57" s="81"/>
    </row>
    <row r="58" spans="1:142" s="1313" customFormat="1" ht="76.5" customHeight="1">
      <c r="A58" s="6">
        <f t="shared" si="53"/>
        <v>45</v>
      </c>
      <c r="B58" s="1843" t="s">
        <v>19</v>
      </c>
      <c r="C58" s="1843" t="s">
        <v>62</v>
      </c>
      <c r="D58" s="1706" t="s">
        <v>141</v>
      </c>
      <c r="E58" s="1331">
        <v>4632024035</v>
      </c>
      <c r="F58" s="1330" t="s">
        <v>8</v>
      </c>
      <c r="G58" s="1682" t="s">
        <v>1034</v>
      </c>
      <c r="H58" s="1712">
        <f>1882.72*1.2</f>
        <v>2259.2640000000001</v>
      </c>
      <c r="I58" s="1713">
        <f>H58</f>
        <v>2259.2640000000001</v>
      </c>
      <c r="J58" s="1714">
        <v>771.73</v>
      </c>
      <c r="K58" s="1714"/>
      <c r="L58" s="1714">
        <f>H58</f>
        <v>2259.2640000000001</v>
      </c>
      <c r="M58" s="1715"/>
      <c r="N58" s="1709">
        <f>2259.08*1.2</f>
        <v>2710.8959999999997</v>
      </c>
      <c r="O58" s="1710">
        <f>N58</f>
        <v>2710.8959999999997</v>
      </c>
      <c r="P58" s="1710">
        <v>882.78</v>
      </c>
      <c r="Q58" s="1710"/>
      <c r="R58" s="1335">
        <f>O58</f>
        <v>2710.8959999999997</v>
      </c>
      <c r="S58" s="1711"/>
      <c r="T58" s="1814">
        <v>12206.83</v>
      </c>
      <c r="U58" s="1810">
        <v>2152.96</v>
      </c>
      <c r="V58" s="1810"/>
      <c r="W58" s="1334"/>
      <c r="X58" s="1334"/>
      <c r="Y58" s="1334"/>
      <c r="Z58" s="1842">
        <f t="shared" si="8"/>
        <v>14359.79</v>
      </c>
      <c r="AA58" s="1815">
        <v>8719.17</v>
      </c>
      <c r="AB58" s="1810">
        <v>1614.72</v>
      </c>
      <c r="AC58" s="1810"/>
      <c r="AD58" s="1334"/>
      <c r="AE58" s="1334"/>
      <c r="AF58" s="1334"/>
      <c r="AG58" s="1395">
        <f t="shared" si="58"/>
        <v>10333.89</v>
      </c>
      <c r="AH58" s="1391">
        <f t="shared" si="59"/>
        <v>24693.68</v>
      </c>
      <c r="AI58" s="1334">
        <f t="shared" si="82"/>
        <v>20926</v>
      </c>
      <c r="AJ58" s="1334">
        <f t="shared" si="82"/>
        <v>3767.6800000000003</v>
      </c>
      <c r="AK58" s="1334">
        <f t="shared" si="82"/>
        <v>0</v>
      </c>
      <c r="AL58" s="1334">
        <f t="shared" si="82"/>
        <v>0</v>
      </c>
      <c r="AM58" s="1334">
        <f t="shared" si="82"/>
        <v>0</v>
      </c>
      <c r="AN58" s="1334"/>
      <c r="AO58" s="1334">
        <f t="shared" si="79"/>
        <v>24693.68</v>
      </c>
      <c r="AP58" s="1334">
        <f t="shared" si="80"/>
        <v>24693.68</v>
      </c>
      <c r="AQ58" s="1396">
        <f t="shared" si="81"/>
        <v>24693.68</v>
      </c>
      <c r="AR58" s="1417">
        <f t="shared" si="41"/>
        <v>0</v>
      </c>
      <c r="AS58" s="1333">
        <f t="shared" si="124"/>
        <v>47277358.464000002</v>
      </c>
      <c r="AT58" s="1334">
        <f t="shared" si="124"/>
        <v>2907631.6864000005</v>
      </c>
      <c r="AU58" s="1334">
        <f t="shared" si="124"/>
        <v>0</v>
      </c>
      <c r="AV58" s="1334">
        <f t="shared" si="124"/>
        <v>0</v>
      </c>
      <c r="AW58" s="1334">
        <f t="shared" si="124"/>
        <v>0</v>
      </c>
      <c r="AX58" s="1334">
        <f t="shared" si="54"/>
        <v>50184990.150400005</v>
      </c>
      <c r="AY58" s="1334">
        <f t="shared" si="55"/>
        <v>50184990.150400005</v>
      </c>
      <c r="AZ58" s="1334">
        <f t="shared" si="125"/>
        <v>56728209.695999995</v>
      </c>
      <c r="BA58" s="1334">
        <f t="shared" si="125"/>
        <v>3326032.5504000001</v>
      </c>
      <c r="BB58" s="1334">
        <f t="shared" si="125"/>
        <v>0</v>
      </c>
      <c r="BC58" s="1334">
        <f t="shared" si="125"/>
        <v>0</v>
      </c>
      <c r="BD58" s="1334">
        <f t="shared" si="125"/>
        <v>0</v>
      </c>
      <c r="BE58" s="1334">
        <f t="shared" si="56"/>
        <v>60054242.246399999</v>
      </c>
      <c r="BF58" s="1396">
        <f t="shared" si="60"/>
        <v>60054242.246399999</v>
      </c>
      <c r="BG58" s="1397">
        <f t="shared" ref="BG58:BG66" si="126">(H58-J58)/1.2*U58/1000+(H58-K58)/1.2*V58/1000</f>
        <v>2668.8343338666668</v>
      </c>
      <c r="BH58" s="1398">
        <f t="shared" ref="BH58:BH66" si="127">(O58-P58)*AB58/1000/1.2+(O58-Q58)/1.2*AC58/1000</f>
        <v>2459.9128895999997</v>
      </c>
      <c r="BI58" s="1399">
        <f t="shared" ref="BI58:BI66" si="128">BG58+BH58</f>
        <v>5128.7472234666666</v>
      </c>
      <c r="BJ58" s="1419"/>
      <c r="BK58" s="1642"/>
      <c r="BL58" s="1334">
        <f t="shared" si="104"/>
        <v>27578451.573120002</v>
      </c>
      <c r="BM58" s="1334">
        <f t="shared" si="104"/>
        <v>1661503.8208000001</v>
      </c>
      <c r="BN58" s="1334">
        <f t="shared" si="104"/>
        <v>0</v>
      </c>
      <c r="BO58" s="1334">
        <f t="shared" si="104"/>
        <v>0</v>
      </c>
      <c r="BP58" s="1334">
        <f t="shared" si="104"/>
        <v>0</v>
      </c>
      <c r="BQ58" s="1334">
        <f t="shared" si="62"/>
        <v>29239955.393920001</v>
      </c>
      <c r="BR58" s="1334">
        <f t="shared" si="63"/>
        <v>29239955.393920001</v>
      </c>
      <c r="BS58" s="1334">
        <f t="shared" si="105"/>
        <v>23636763.076319996</v>
      </c>
      <c r="BT58" s="1334">
        <f t="shared" si="105"/>
        <v>1425442.5216000001</v>
      </c>
      <c r="BU58" s="1334">
        <f t="shared" si="105"/>
        <v>0</v>
      </c>
      <c r="BV58" s="1334">
        <f t="shared" si="65"/>
        <v>0</v>
      </c>
      <c r="BW58" s="1334">
        <f t="shared" si="19"/>
        <v>0</v>
      </c>
      <c r="BX58" s="1334">
        <f t="shared" si="66"/>
        <v>25062205.597919997</v>
      </c>
      <c r="BY58" s="1334">
        <f t="shared" si="67"/>
        <v>25062205.597919997</v>
      </c>
      <c r="BZ58" s="1389">
        <f t="shared" si="68"/>
        <v>3086946.3424000004</v>
      </c>
      <c r="CA58" s="1389">
        <f t="shared" si="68"/>
        <v>0</v>
      </c>
      <c r="CB58" s="1389">
        <f t="shared" si="69"/>
        <v>3086946.3424000004</v>
      </c>
      <c r="CC58" s="1420">
        <f t="shared" si="70"/>
        <v>819.32285714285717</v>
      </c>
      <c r="CD58" s="1420" t="e">
        <f t="shared" si="70"/>
        <v>#DIV/0!</v>
      </c>
      <c r="CE58" s="1420">
        <f t="shared" si="44"/>
        <v>819.32285714285717</v>
      </c>
      <c r="CF58" s="1420">
        <f t="shared" si="20"/>
        <v>819.32285714285717</v>
      </c>
      <c r="CG58" s="1421">
        <f t="shared" si="21"/>
        <v>9241443.0105600003</v>
      </c>
      <c r="CH58" s="1421">
        <f t="shared" si="45"/>
        <v>2452.8205714285714</v>
      </c>
      <c r="CI58" s="1389"/>
      <c r="CJ58" s="1756">
        <f t="shared" ref="CJ58:CJ66" si="129">H58*Z58/1000</f>
        <v>32442.556594560006</v>
      </c>
      <c r="CK58" s="1756">
        <f t="shared" si="22"/>
        <v>28014.101065439994</v>
      </c>
      <c r="CL58" s="1756">
        <f t="shared" si="47"/>
        <v>60456.657659999997</v>
      </c>
      <c r="CM58" s="1334">
        <f t="shared" si="48"/>
        <v>66941.998337279991</v>
      </c>
      <c r="CN58" s="1718">
        <f t="shared" si="49"/>
        <v>6485.3406772799935</v>
      </c>
      <c r="CO58" s="1334">
        <f t="shared" si="23"/>
        <v>60456657.659999996</v>
      </c>
      <c r="CP58" s="1334">
        <f t="shared" si="24"/>
        <v>50184990.150400005</v>
      </c>
      <c r="CQ58" s="1334">
        <f t="shared" si="25"/>
        <v>50184990.150400005</v>
      </c>
      <c r="CR58" s="1334">
        <f t="shared" si="26"/>
        <v>29239955.393920001</v>
      </c>
      <c r="CS58" s="1334">
        <f t="shared" si="27"/>
        <v>60054242.246399999</v>
      </c>
      <c r="CT58" s="1334">
        <f t="shared" si="28"/>
        <v>60054242.246399999</v>
      </c>
      <c r="CU58" s="1334">
        <f t="shared" si="29"/>
        <v>25062205.597919997</v>
      </c>
      <c r="CV58" s="1334">
        <f t="shared" si="50"/>
        <v>110239232.39680001</v>
      </c>
      <c r="CW58" s="1422">
        <f t="shared" si="51"/>
        <v>4464.2690922049696</v>
      </c>
      <c r="CX58" s="1334">
        <f t="shared" si="30"/>
        <v>2907631.6864000005</v>
      </c>
      <c r="CY58" s="1334">
        <f t="shared" si="31"/>
        <v>3326032.5504000001</v>
      </c>
      <c r="CZ58" s="1334"/>
      <c r="DA58" s="1334">
        <f t="shared" si="32"/>
        <v>55789542.25152</v>
      </c>
      <c r="DB58" s="1334">
        <f t="shared" si="33"/>
        <v>66941998.33727999</v>
      </c>
      <c r="DC58" s="1576"/>
      <c r="DD58" s="1224">
        <f t="shared" si="52"/>
        <v>351.27518691770433</v>
      </c>
      <c r="DE58" s="1576"/>
      <c r="DF58" s="1576"/>
      <c r="DG58" s="1576"/>
      <c r="DH58" s="1494"/>
      <c r="DI58" s="1494"/>
      <c r="DJ58" s="1494"/>
      <c r="DK58" s="1453"/>
      <c r="DL58" s="1419">
        <f t="shared" si="34"/>
        <v>0</v>
      </c>
      <c r="DM58" s="1419">
        <f t="shared" si="35"/>
        <v>0</v>
      </c>
      <c r="DN58" s="1419">
        <f t="shared" si="36"/>
        <v>0</v>
      </c>
      <c r="DO58" s="1315"/>
      <c r="DP58" s="1315"/>
      <c r="DQ58" s="1315"/>
      <c r="DR58" s="1315"/>
      <c r="DS58" s="1315"/>
      <c r="DT58" s="1315"/>
      <c r="DU58" s="1315"/>
      <c r="DV58" s="1315"/>
      <c r="DW58" s="1315"/>
      <c r="DX58" s="1315"/>
      <c r="DY58" s="1315"/>
      <c r="DZ58" s="1315"/>
      <c r="EA58" s="1315"/>
      <c r="EB58" s="1315"/>
      <c r="EC58" s="1315"/>
      <c r="ED58" s="1315"/>
      <c r="EE58" s="1315"/>
      <c r="EF58" s="1315"/>
      <c r="EG58" s="1315"/>
      <c r="EH58" s="1315"/>
      <c r="EI58" s="1315"/>
      <c r="EJ58" s="1315"/>
      <c r="EK58" s="1315"/>
      <c r="EL58" s="1315"/>
    </row>
    <row r="59" spans="1:142" s="1313" customFormat="1" ht="73.5" hidden="1" customHeight="1">
      <c r="A59" s="6">
        <f t="shared" si="53"/>
        <v>46</v>
      </c>
      <c r="B59" s="1843" t="s">
        <v>19</v>
      </c>
      <c r="C59" s="1843" t="s">
        <v>280</v>
      </c>
      <c r="D59" s="1706" t="s">
        <v>141</v>
      </c>
      <c r="E59" s="1331">
        <v>4632024035</v>
      </c>
      <c r="F59" s="1330" t="s">
        <v>8</v>
      </c>
      <c r="G59" s="1682" t="s">
        <v>1034</v>
      </c>
      <c r="H59" s="1712">
        <f>1882.72*1.2</f>
        <v>2259.2640000000001</v>
      </c>
      <c r="I59" s="1713">
        <f>H59</f>
        <v>2259.2640000000001</v>
      </c>
      <c r="J59" s="1714">
        <v>780.3</v>
      </c>
      <c r="K59" s="1714"/>
      <c r="L59" s="1714">
        <f>H59</f>
        <v>2259.2640000000001</v>
      </c>
      <c r="M59" s="1715"/>
      <c r="N59" s="1709">
        <f>2259.08*1.2</f>
        <v>2710.8959999999997</v>
      </c>
      <c r="O59" s="1717">
        <f>N59</f>
        <v>2710.8959999999997</v>
      </c>
      <c r="P59" s="1717">
        <v>882.78</v>
      </c>
      <c r="Q59" s="1716"/>
      <c r="R59" s="1335">
        <f>O59</f>
        <v>2710.8959999999997</v>
      </c>
      <c r="S59" s="1396"/>
      <c r="T59" s="1814">
        <v>1099.02</v>
      </c>
      <c r="U59" s="1810">
        <v>2970.0699999999997</v>
      </c>
      <c r="V59" s="1810"/>
      <c r="W59" s="1719"/>
      <c r="X59" s="1719"/>
      <c r="Y59" s="1719"/>
      <c r="Z59" s="1842">
        <f t="shared" si="8"/>
        <v>4069.0899999999997</v>
      </c>
      <c r="AA59" s="1815">
        <v>785.01</v>
      </c>
      <c r="AB59" s="1810">
        <v>2227.5500000000002</v>
      </c>
      <c r="AC59" s="1810"/>
      <c r="AD59" s="1719"/>
      <c r="AE59" s="1719"/>
      <c r="AF59" s="1719"/>
      <c r="AG59" s="1755">
        <f t="shared" si="58"/>
        <v>3012.5600000000004</v>
      </c>
      <c r="AH59" s="1391">
        <f t="shared" si="59"/>
        <v>7081.65</v>
      </c>
      <c r="AI59" s="1334">
        <f t="shared" si="82"/>
        <v>1884.03</v>
      </c>
      <c r="AJ59" s="1334">
        <f t="shared" si="82"/>
        <v>5197.62</v>
      </c>
      <c r="AK59" s="1334">
        <f t="shared" si="82"/>
        <v>0</v>
      </c>
      <c r="AL59" s="1334">
        <f t="shared" si="82"/>
        <v>0</v>
      </c>
      <c r="AM59" s="1334">
        <f t="shared" si="82"/>
        <v>0</v>
      </c>
      <c r="AN59" s="1334"/>
      <c r="AO59" s="1334">
        <f t="shared" si="79"/>
        <v>7081.65</v>
      </c>
      <c r="AP59" s="1334">
        <f t="shared" si="80"/>
        <v>7081.65</v>
      </c>
      <c r="AQ59" s="1396">
        <f t="shared" si="81"/>
        <v>7081.65</v>
      </c>
      <c r="AR59" s="1417">
        <f t="shared" si="41"/>
        <v>0</v>
      </c>
      <c r="AS59" s="1333">
        <f t="shared" si="124"/>
        <v>4256521.1539200004</v>
      </c>
      <c r="AT59" s="1334">
        <f t="shared" si="124"/>
        <v>4055702.8859999995</v>
      </c>
      <c r="AU59" s="1334">
        <f t="shared" si="124"/>
        <v>0</v>
      </c>
      <c r="AV59" s="1334">
        <f t="shared" si="124"/>
        <v>0</v>
      </c>
      <c r="AW59" s="1334">
        <f t="shared" si="124"/>
        <v>0</v>
      </c>
      <c r="AX59" s="1334">
        <f t="shared" ref="AX59" si="130">SUM(AS59:AW59)</f>
        <v>8312224.0399200004</v>
      </c>
      <c r="AY59" s="1334">
        <f t="shared" ref="AY59" si="131">SUM(AS59:AV59)</f>
        <v>8312224.0399200004</v>
      </c>
      <c r="AZ59" s="1334">
        <f t="shared" si="125"/>
        <v>5107409.3908799998</v>
      </c>
      <c r="BA59" s="1334">
        <f t="shared" si="125"/>
        <v>4588354.9835999999</v>
      </c>
      <c r="BB59" s="1334">
        <f t="shared" si="125"/>
        <v>0</v>
      </c>
      <c r="BC59" s="1334">
        <f t="shared" si="125"/>
        <v>0</v>
      </c>
      <c r="BD59" s="1334">
        <f t="shared" si="125"/>
        <v>0</v>
      </c>
      <c r="BE59" s="1334">
        <f t="shared" ref="BE59" si="132">SUM(AZ59:BD59)</f>
        <v>9695764.3744799998</v>
      </c>
      <c r="BF59" s="1396">
        <f t="shared" si="60"/>
        <v>9695764.3744799998</v>
      </c>
      <c r="BG59" s="1397">
        <f t="shared" si="126"/>
        <v>3660.5221729000004</v>
      </c>
      <c r="BH59" s="1398">
        <f t="shared" si="127"/>
        <v>3393.5164965000004</v>
      </c>
      <c r="BI59" s="1399">
        <f t="shared" si="128"/>
        <v>7054.0386694000008</v>
      </c>
      <c r="BJ59" s="1334"/>
      <c r="BK59" s="1643"/>
      <c r="BL59" s="1334"/>
      <c r="BM59" s="1334"/>
      <c r="BN59" s="1334"/>
      <c r="BO59" s="1334"/>
      <c r="BP59" s="1334"/>
      <c r="BQ59" s="1334"/>
      <c r="BR59" s="1334"/>
      <c r="BS59" s="1334"/>
      <c r="BT59" s="1334"/>
      <c r="BU59" s="1334"/>
      <c r="BV59" s="1334"/>
      <c r="BW59" s="1334"/>
      <c r="BX59" s="1334"/>
      <c r="BY59" s="1334"/>
      <c r="BZ59" s="1389"/>
      <c r="CA59" s="1389"/>
      <c r="CB59" s="1389"/>
      <c r="CC59" s="1420"/>
      <c r="CD59" s="1420"/>
      <c r="CE59" s="1420"/>
      <c r="CF59" s="1420"/>
      <c r="CG59" s="1421"/>
      <c r="CH59" s="1421"/>
      <c r="CI59" s="1389"/>
      <c r="CJ59" s="1756">
        <f t="shared" si="129"/>
        <v>9193.1485497599988</v>
      </c>
      <c r="CK59" s="1756">
        <f t="shared" si="22"/>
        <v>8166.7368537600005</v>
      </c>
      <c r="CL59" s="1756">
        <f t="shared" si="47"/>
        <v>17359.885403519998</v>
      </c>
      <c r="CM59" s="1334"/>
      <c r="CN59" s="1334"/>
      <c r="CO59" s="1334"/>
      <c r="CP59" s="1334"/>
      <c r="CQ59" s="1334"/>
      <c r="CR59" s="1334"/>
      <c r="CS59" s="1334"/>
      <c r="CT59" s="1334"/>
      <c r="CU59" s="1334"/>
      <c r="CV59" s="1334"/>
      <c r="CW59" s="1422"/>
      <c r="CX59" s="1334"/>
      <c r="CY59" s="1334"/>
      <c r="CZ59" s="1334"/>
      <c r="DA59" s="1334"/>
      <c r="DB59" s="1334"/>
      <c r="DC59" s="1223"/>
      <c r="DD59" s="1224"/>
      <c r="DE59" s="1223"/>
      <c r="DF59" s="1223"/>
      <c r="DG59" s="1223"/>
      <c r="DH59" s="1494"/>
      <c r="DI59" s="1494"/>
      <c r="DJ59" s="1494"/>
      <c r="DK59" s="1389"/>
      <c r="DL59" s="1419"/>
      <c r="DM59" s="1419"/>
      <c r="DN59" s="1419"/>
      <c r="DO59" s="819"/>
      <c r="DP59" s="1315"/>
      <c r="DQ59" s="1315"/>
      <c r="DR59" s="1315"/>
      <c r="DS59" s="1315"/>
      <c r="DT59" s="1315"/>
      <c r="DU59" s="1315"/>
      <c r="DV59" s="1315"/>
      <c r="DW59" s="1315"/>
      <c r="DX59" s="1315"/>
      <c r="DY59" s="1315"/>
      <c r="DZ59" s="1315"/>
      <c r="EA59" s="1315"/>
      <c r="EB59" s="1315"/>
      <c r="EC59" s="1315"/>
      <c r="ED59" s="1315"/>
      <c r="EE59" s="1315"/>
      <c r="EF59" s="1315"/>
      <c r="EG59" s="1315"/>
      <c r="EH59" s="1315"/>
      <c r="EI59" s="1315"/>
      <c r="EJ59" s="1315"/>
      <c r="EK59" s="1315"/>
      <c r="EL59" s="1315"/>
    </row>
    <row r="60" spans="1:142" s="1313" customFormat="1" ht="65.25" hidden="1" customHeight="1">
      <c r="A60" s="6">
        <f t="shared" si="53"/>
        <v>47</v>
      </c>
      <c r="B60" s="1843" t="s">
        <v>19</v>
      </c>
      <c r="C60" s="1839" t="s">
        <v>99</v>
      </c>
      <c r="D60" s="1706" t="s">
        <v>141</v>
      </c>
      <c r="E60" s="1331">
        <v>4632024035</v>
      </c>
      <c r="F60" s="1407" t="s">
        <v>8</v>
      </c>
      <c r="G60" s="1682" t="s">
        <v>1034</v>
      </c>
      <c r="H60" s="1700">
        <v>3314.9639999999995</v>
      </c>
      <c r="I60" s="1701">
        <f t="shared" ref="I60:I66" si="133">H60</f>
        <v>3314.9639999999995</v>
      </c>
      <c r="J60" s="1707">
        <v>2950.21</v>
      </c>
      <c r="K60" s="1335"/>
      <c r="L60" s="1700">
        <v>3314.9639999999995</v>
      </c>
      <c r="M60" s="1435"/>
      <c r="N60" s="1703">
        <f t="shared" ref="N60:N66" si="134">3132.14*1.2</f>
        <v>3758.5679999999998</v>
      </c>
      <c r="O60" s="1704">
        <f t="shared" ref="O60:O66" si="135">N60</f>
        <v>3758.5679999999998</v>
      </c>
      <c r="P60" s="1708">
        <v>2979.71</v>
      </c>
      <c r="Q60" s="1335"/>
      <c r="R60" s="1335">
        <f>O60</f>
        <v>3758.5679999999998</v>
      </c>
      <c r="S60" s="1435"/>
      <c r="T60" s="1811">
        <v>2513.2975000000001</v>
      </c>
      <c r="U60" s="1812">
        <v>5513.6409999999996</v>
      </c>
      <c r="V60" s="1812"/>
      <c r="W60" s="1436"/>
      <c r="X60" s="1436"/>
      <c r="Y60" s="1436"/>
      <c r="Z60" s="1841">
        <f t="shared" si="8"/>
        <v>8026.9385000000002</v>
      </c>
      <c r="AA60" s="1813">
        <v>1599.6389999999999</v>
      </c>
      <c r="AB60" s="1812">
        <v>6349.6470000000008</v>
      </c>
      <c r="AC60" s="1812"/>
      <c r="AD60" s="1436"/>
      <c r="AE60" s="1436"/>
      <c r="AF60" s="1436"/>
      <c r="AG60" s="1395">
        <f t="shared" si="58"/>
        <v>7949.286000000001</v>
      </c>
      <c r="AH60" s="1391">
        <f t="shared" si="59"/>
        <v>15976.2245</v>
      </c>
      <c r="AI60" s="1334">
        <f t="shared" si="82"/>
        <v>4112.9364999999998</v>
      </c>
      <c r="AJ60" s="1334">
        <f t="shared" si="82"/>
        <v>11863.288</v>
      </c>
      <c r="AK60" s="1334">
        <f t="shared" si="82"/>
        <v>0</v>
      </c>
      <c r="AL60" s="1334">
        <f t="shared" si="82"/>
        <v>0</v>
      </c>
      <c r="AM60" s="1334">
        <f t="shared" si="82"/>
        <v>0</v>
      </c>
      <c r="AN60" s="1334"/>
      <c r="AO60" s="1334">
        <f t="shared" si="79"/>
        <v>15976.2245</v>
      </c>
      <c r="AP60" s="1334">
        <f t="shared" si="80"/>
        <v>15976.2245</v>
      </c>
      <c r="AQ60" s="1396">
        <f t="shared" si="81"/>
        <v>15976.2245</v>
      </c>
      <c r="AR60" s="1417">
        <f t="shared" si="41"/>
        <v>0</v>
      </c>
      <c r="AS60" s="1333">
        <f t="shared" si="124"/>
        <v>13634236.431785997</v>
      </c>
      <c r="AT60" s="1334">
        <f t="shared" si="124"/>
        <v>34999190.890480004</v>
      </c>
      <c r="AU60" s="1334">
        <f t="shared" si="124"/>
        <v>0</v>
      </c>
      <c r="AV60" s="1334">
        <f t="shared" si="124"/>
        <v>0</v>
      </c>
      <c r="AW60" s="1334">
        <f t="shared" si="124"/>
        <v>0</v>
      </c>
      <c r="AX60" s="1334">
        <f t="shared" si="54"/>
        <v>48633427.322265998</v>
      </c>
      <c r="AY60" s="1334">
        <f t="shared" si="55"/>
        <v>48633427.322265998</v>
      </c>
      <c r="AZ60" s="1334">
        <f t="shared" si="125"/>
        <v>15458751.514931999</v>
      </c>
      <c r="BA60" s="1334">
        <f t="shared" si="125"/>
        <v>35349157.886480004</v>
      </c>
      <c r="BB60" s="1334">
        <f t="shared" si="125"/>
        <v>0</v>
      </c>
      <c r="BC60" s="1334">
        <f t="shared" si="125"/>
        <v>0</v>
      </c>
      <c r="BD60" s="1334">
        <f t="shared" si="125"/>
        <v>0</v>
      </c>
      <c r="BE60" s="1334">
        <f t="shared" si="56"/>
        <v>50807909.401412003</v>
      </c>
      <c r="BF60" s="1396">
        <f t="shared" si="60"/>
        <v>50807909.401412003</v>
      </c>
      <c r="BG60" s="1397">
        <f t="shared" si="126"/>
        <v>1675.9355077616642</v>
      </c>
      <c r="BH60" s="1398">
        <f t="shared" si="127"/>
        <v>4121.2278026049989</v>
      </c>
      <c r="BI60" s="1399">
        <f t="shared" si="128"/>
        <v>5797.1633103666627</v>
      </c>
      <c r="BJ60" s="1399"/>
      <c r="BK60" s="1641"/>
      <c r="BL60" s="1334">
        <f t="shared" si="104"/>
        <v>8331490.733789999</v>
      </c>
      <c r="BM60" s="1334">
        <f t="shared" si="104"/>
        <v>16266398.814609999</v>
      </c>
      <c r="BN60" s="1334">
        <f t="shared" si="104"/>
        <v>0</v>
      </c>
      <c r="BO60" s="1334">
        <f t="shared" si="104"/>
        <v>0</v>
      </c>
      <c r="BP60" s="1334">
        <f t="shared" si="104"/>
        <v>0</v>
      </c>
      <c r="BQ60" s="1334">
        <f t="shared" si="62"/>
        <v>24597889.5484</v>
      </c>
      <c r="BR60" s="1334">
        <f t="shared" si="63"/>
        <v>24597889.5484</v>
      </c>
      <c r="BS60" s="1334">
        <f t="shared" si="105"/>
        <v>6012351.9569519991</v>
      </c>
      <c r="BT60" s="1334">
        <f t="shared" si="105"/>
        <v>18920106.662370004</v>
      </c>
      <c r="BU60" s="1334">
        <f t="shared" si="105"/>
        <v>0</v>
      </c>
      <c r="BV60" s="1334">
        <f t="shared" si="65"/>
        <v>0</v>
      </c>
      <c r="BW60" s="1334">
        <f t="shared" si="19"/>
        <v>0</v>
      </c>
      <c r="BX60" s="1334">
        <f t="shared" si="66"/>
        <v>24932458.619322002</v>
      </c>
      <c r="BY60" s="1334">
        <f t="shared" si="67"/>
        <v>24932458.619322002</v>
      </c>
      <c r="BZ60" s="1389">
        <f t="shared" si="68"/>
        <v>35186505.476980001</v>
      </c>
      <c r="CA60" s="1389">
        <f t="shared" si="68"/>
        <v>0</v>
      </c>
      <c r="CB60" s="1389">
        <f t="shared" si="69"/>
        <v>35186505.476980001</v>
      </c>
      <c r="CC60" s="1420">
        <f t="shared" si="70"/>
        <v>2965.9994326176688</v>
      </c>
      <c r="CD60" s="1420" t="e">
        <f t="shared" si="70"/>
        <v>#DIV/0!</v>
      </c>
      <c r="CE60" s="1420">
        <f t="shared" si="44"/>
        <v>2965.9994326176688</v>
      </c>
      <c r="CF60" s="1420">
        <f t="shared" si="20"/>
        <v>2965.9994326176688</v>
      </c>
      <c r="CG60" s="1421">
        <f t="shared" si="21"/>
        <v>42143101.449419998</v>
      </c>
      <c r="CH60" s="1421">
        <f t="shared" si="45"/>
        <v>3552.3963887094369</v>
      </c>
      <c r="CI60" s="1733"/>
      <c r="CJ60" s="1756">
        <f t="shared" si="129"/>
        <v>26609.012157713998</v>
      </c>
      <c r="CK60" s="1756">
        <f t="shared" si="22"/>
        <v>29877.931982448001</v>
      </c>
      <c r="CL60" s="1756">
        <f t="shared" si="47"/>
        <v>56486.944140161999</v>
      </c>
      <c r="CM60" s="1334">
        <f t="shared" si="48"/>
        <v>60047.726166515997</v>
      </c>
      <c r="CN60" s="1334">
        <f t="shared" si="49"/>
        <v>3560.7820263539979</v>
      </c>
      <c r="CO60" s="1334">
        <f t="shared" si="23"/>
        <v>56486944.140161999</v>
      </c>
      <c r="CP60" s="1334">
        <f t="shared" si="24"/>
        <v>48633427.322265998</v>
      </c>
      <c r="CQ60" s="1334">
        <f t="shared" si="25"/>
        <v>48633427.322265998</v>
      </c>
      <c r="CR60" s="1334">
        <f t="shared" si="26"/>
        <v>24597889.5484</v>
      </c>
      <c r="CS60" s="1334">
        <f t="shared" si="27"/>
        <v>50807909.401412003</v>
      </c>
      <c r="CT60" s="1334">
        <f t="shared" si="28"/>
        <v>50807909.401412003</v>
      </c>
      <c r="CU60" s="1334">
        <f t="shared" si="29"/>
        <v>24932458.619322002</v>
      </c>
      <c r="CV60" s="1334">
        <f t="shared" si="50"/>
        <v>99441336.723677993</v>
      </c>
      <c r="CW60" s="1422">
        <f t="shared" si="51"/>
        <v>6224.3327091252377</v>
      </c>
      <c r="CX60" s="1334">
        <f t="shared" si="30"/>
        <v>34999190.890480004</v>
      </c>
      <c r="CY60" s="1334">
        <f t="shared" si="31"/>
        <v>35349157.886480004</v>
      </c>
      <c r="CZ60" s="1334"/>
      <c r="DA60" s="1334">
        <f t="shared" si="32"/>
        <v>52960609.073417991</v>
      </c>
      <c r="DB60" s="1334">
        <f t="shared" si="33"/>
        <v>60047726.166515999</v>
      </c>
      <c r="DC60" s="1734"/>
      <c r="DD60" s="1224">
        <f t="shared" si="52"/>
        <v>127.40001559211038</v>
      </c>
      <c r="DE60" s="1734"/>
      <c r="DF60" s="1734"/>
      <c r="DG60" s="1734"/>
      <c r="DH60" s="1494"/>
      <c r="DI60" s="1494"/>
      <c r="DJ60" s="1494"/>
      <c r="DK60" s="1733"/>
      <c r="DL60" s="1419">
        <f t="shared" si="34"/>
        <v>0</v>
      </c>
      <c r="DM60" s="1419">
        <f t="shared" si="35"/>
        <v>0</v>
      </c>
      <c r="DN60" s="1419">
        <f t="shared" si="36"/>
        <v>0</v>
      </c>
      <c r="DO60" s="1735"/>
      <c r="DP60" s="1315"/>
      <c r="DQ60" s="1315"/>
      <c r="DR60" s="1315"/>
      <c r="DS60" s="1315"/>
      <c r="DT60" s="1315"/>
      <c r="DU60" s="1315"/>
      <c r="DV60" s="1315"/>
      <c r="DW60" s="1315"/>
      <c r="DX60" s="1315"/>
      <c r="DY60" s="1315"/>
      <c r="DZ60" s="1315"/>
      <c r="EA60" s="1315"/>
      <c r="EB60" s="1315"/>
      <c r="EC60" s="1315"/>
      <c r="ED60" s="1315"/>
      <c r="EE60" s="1315"/>
      <c r="EF60" s="1315"/>
      <c r="EG60" s="1315"/>
      <c r="EH60" s="1315"/>
      <c r="EI60" s="1315"/>
      <c r="EJ60" s="1315"/>
      <c r="EK60" s="1315"/>
      <c r="EL60" s="1315"/>
    </row>
    <row r="61" spans="1:142" s="1313" customFormat="1" ht="72" customHeight="1">
      <c r="A61" s="6">
        <f t="shared" si="53"/>
        <v>48</v>
      </c>
      <c r="B61" s="1330" t="s">
        <v>21</v>
      </c>
      <c r="C61" s="1839" t="s">
        <v>67</v>
      </c>
      <c r="D61" s="1706" t="s">
        <v>141</v>
      </c>
      <c r="E61" s="1331">
        <v>4632024035</v>
      </c>
      <c r="F61" s="1330" t="s">
        <v>8</v>
      </c>
      <c r="G61" s="1682" t="s">
        <v>1034</v>
      </c>
      <c r="H61" s="1700">
        <v>3314.9639999999995</v>
      </c>
      <c r="I61" s="1701">
        <f t="shared" si="133"/>
        <v>3314.9639999999995</v>
      </c>
      <c r="J61" s="1707">
        <v>2484</v>
      </c>
      <c r="K61" s="1335"/>
      <c r="L61" s="1700">
        <v>3314.9639999999995</v>
      </c>
      <c r="M61" s="1435"/>
      <c r="N61" s="1703">
        <f t="shared" si="134"/>
        <v>3758.5679999999998</v>
      </c>
      <c r="O61" s="1704">
        <f t="shared" si="135"/>
        <v>3758.5679999999998</v>
      </c>
      <c r="P61" s="1708">
        <v>2719.98</v>
      </c>
      <c r="Q61" s="1335"/>
      <c r="R61" s="1335">
        <f t="shared" ref="R61:R66" si="136">O61</f>
        <v>3758.5679999999998</v>
      </c>
      <c r="S61" s="1435"/>
      <c r="T61" s="1816">
        <v>7450.7249999999995</v>
      </c>
      <c r="U61" s="1817">
        <v>8014.1269999999986</v>
      </c>
      <c r="V61" s="1818">
        <v>0</v>
      </c>
      <c r="W61" s="1419"/>
      <c r="X61" s="1419"/>
      <c r="Y61" s="1419"/>
      <c r="Z61" s="1841">
        <f t="shared" si="8"/>
        <v>15464.851999999999</v>
      </c>
      <c r="AA61" s="1813">
        <v>4760.5019999999977</v>
      </c>
      <c r="AB61" s="1818">
        <v>7076.48</v>
      </c>
      <c r="AC61" s="1818">
        <v>0</v>
      </c>
      <c r="AD61" s="1419"/>
      <c r="AE61" s="1419"/>
      <c r="AF61" s="1419"/>
      <c r="AG61" s="1395">
        <f t="shared" si="58"/>
        <v>11836.981999999996</v>
      </c>
      <c r="AH61" s="1391">
        <f t="shared" si="59"/>
        <v>27301.833999999995</v>
      </c>
      <c r="AI61" s="1334">
        <f t="shared" si="82"/>
        <v>12211.226999999997</v>
      </c>
      <c r="AJ61" s="1334">
        <f t="shared" si="82"/>
        <v>15090.606999999998</v>
      </c>
      <c r="AK61" s="1334">
        <f t="shared" si="82"/>
        <v>0</v>
      </c>
      <c r="AL61" s="1334">
        <f t="shared" si="82"/>
        <v>0</v>
      </c>
      <c r="AM61" s="1334">
        <f t="shared" si="82"/>
        <v>0</v>
      </c>
      <c r="AN61" s="1334"/>
      <c r="AO61" s="1334">
        <f t="shared" si="79"/>
        <v>27301.833999999995</v>
      </c>
      <c r="AP61" s="1334">
        <f t="shared" si="80"/>
        <v>27301.833999999995</v>
      </c>
      <c r="AQ61" s="1396">
        <f t="shared" si="81"/>
        <v>27301.833999999995</v>
      </c>
      <c r="AR61" s="1417">
        <f t="shared" si="41"/>
        <v>0</v>
      </c>
      <c r="AS61" s="1333">
        <f t="shared" si="124"/>
        <v>40479777.900827982</v>
      </c>
      <c r="AT61" s="1334">
        <f t="shared" si="124"/>
        <v>37485067.787999995</v>
      </c>
      <c r="AU61" s="1334">
        <f t="shared" si="124"/>
        <v>0</v>
      </c>
      <c r="AV61" s="1334">
        <f t="shared" si="124"/>
        <v>0</v>
      </c>
      <c r="AW61" s="1334">
        <f t="shared" si="124"/>
        <v>0</v>
      </c>
      <c r="AX61" s="1334">
        <f t="shared" si="54"/>
        <v>77964845.688827977</v>
      </c>
      <c r="AY61" s="1334">
        <f t="shared" si="55"/>
        <v>77964845.688827977</v>
      </c>
      <c r="AZ61" s="1334">
        <f t="shared" si="125"/>
        <v>45896727.04293599</v>
      </c>
      <c r="BA61" s="1334">
        <f t="shared" si="125"/>
        <v>41046149.227859996</v>
      </c>
      <c r="BB61" s="1334">
        <f t="shared" si="125"/>
        <v>0</v>
      </c>
      <c r="BC61" s="1334">
        <f t="shared" si="125"/>
        <v>0</v>
      </c>
      <c r="BD61" s="1334">
        <f t="shared" si="125"/>
        <v>0</v>
      </c>
      <c r="BE61" s="1334">
        <f t="shared" si="56"/>
        <v>86942876.270795986</v>
      </c>
      <c r="BF61" s="1396">
        <f t="shared" si="60"/>
        <v>86942876.270795986</v>
      </c>
      <c r="BG61" s="1397">
        <f t="shared" si="126"/>
        <v>5549.5425236899955</v>
      </c>
      <c r="BH61" s="1398">
        <f t="shared" si="127"/>
        <v>6124.6226751999984</v>
      </c>
      <c r="BI61" s="1399">
        <f t="shared" si="128"/>
        <v>11674.165198889994</v>
      </c>
      <c r="BJ61" s="1399"/>
      <c r="BK61" s="1641"/>
      <c r="BL61" s="1334">
        <f t="shared" si="104"/>
        <v>24698885.148899995</v>
      </c>
      <c r="BM61" s="1334">
        <f t="shared" si="104"/>
        <v>19907091.467999995</v>
      </c>
      <c r="BN61" s="1334">
        <f t="shared" si="104"/>
        <v>0</v>
      </c>
      <c r="BO61" s="1334">
        <f t="shared" si="104"/>
        <v>0</v>
      </c>
      <c r="BP61" s="1334">
        <f t="shared" si="104"/>
        <v>0</v>
      </c>
      <c r="BQ61" s="1334">
        <f t="shared" si="62"/>
        <v>44605976.61689999</v>
      </c>
      <c r="BR61" s="1334">
        <f t="shared" si="63"/>
        <v>44605976.61689999</v>
      </c>
      <c r="BS61" s="1334">
        <f t="shared" si="105"/>
        <v>17892670.48113599</v>
      </c>
      <c r="BT61" s="1334">
        <f t="shared" si="105"/>
        <v>19247884.0704</v>
      </c>
      <c r="BU61" s="1334">
        <f t="shared" si="105"/>
        <v>0</v>
      </c>
      <c r="BV61" s="1334">
        <f t="shared" si="65"/>
        <v>0</v>
      </c>
      <c r="BW61" s="1334">
        <f t="shared" si="19"/>
        <v>0</v>
      </c>
      <c r="BX61" s="1334">
        <f t="shared" si="66"/>
        <v>37140554.551535994</v>
      </c>
      <c r="BY61" s="1334">
        <f t="shared" si="67"/>
        <v>37140554.551535994</v>
      </c>
      <c r="BZ61" s="1389">
        <f t="shared" si="68"/>
        <v>39154975.538399994</v>
      </c>
      <c r="CA61" s="1389">
        <f t="shared" si="68"/>
        <v>0</v>
      </c>
      <c r="CB61" s="1389">
        <f t="shared" si="69"/>
        <v>39154975.538399994</v>
      </c>
      <c r="CC61" s="1420">
        <f t="shared" si="70"/>
        <v>2594.6587528520222</v>
      </c>
      <c r="CD61" s="1420" t="e">
        <f t="shared" si="70"/>
        <v>#DIV/0!</v>
      </c>
      <c r="CE61" s="1420">
        <f t="shared" si="44"/>
        <v>2594.6587528520222</v>
      </c>
      <c r="CF61" s="1420">
        <f t="shared" si="20"/>
        <v>2594.6587528520222</v>
      </c>
      <c r="CG61" s="1421">
        <f t="shared" si="21"/>
        <v>53163973.777067989</v>
      </c>
      <c r="CH61" s="1421">
        <f t="shared" si="45"/>
        <v>3522.9844483437942</v>
      </c>
      <c r="CI61" s="1389"/>
      <c r="CJ61" s="1756">
        <f t="shared" si="129"/>
        <v>51265.427645327982</v>
      </c>
      <c r="CK61" s="1756">
        <f t="shared" si="22"/>
        <v>44490.101761775986</v>
      </c>
      <c r="CL61" s="1756">
        <f t="shared" si="47"/>
        <v>95755.529407103968</v>
      </c>
      <c r="CM61" s="1334">
        <f t="shared" si="48"/>
        <v>102615.79961371198</v>
      </c>
      <c r="CN61" s="1334">
        <f t="shared" si="49"/>
        <v>6860.2702066080092</v>
      </c>
      <c r="CO61" s="1334">
        <f t="shared" si="23"/>
        <v>95755529.407103971</v>
      </c>
      <c r="CP61" s="1334">
        <f t="shared" si="24"/>
        <v>77964845.688827977</v>
      </c>
      <c r="CQ61" s="1334">
        <f t="shared" si="25"/>
        <v>77964845.688827977</v>
      </c>
      <c r="CR61" s="1334">
        <f t="shared" si="26"/>
        <v>44605976.61689999</v>
      </c>
      <c r="CS61" s="1334">
        <f t="shared" si="27"/>
        <v>86942876.270795986</v>
      </c>
      <c r="CT61" s="1334">
        <f t="shared" si="28"/>
        <v>86942876.270795986</v>
      </c>
      <c r="CU61" s="1334">
        <f t="shared" si="29"/>
        <v>37140554.551535994</v>
      </c>
      <c r="CV61" s="1334">
        <f t="shared" si="50"/>
        <v>164907721.95962396</v>
      </c>
      <c r="CW61" s="1422">
        <f t="shared" si="51"/>
        <v>6040.1701204257561</v>
      </c>
      <c r="CX61" s="1334">
        <f t="shared" si="30"/>
        <v>37485067.787999995</v>
      </c>
      <c r="CY61" s="1334">
        <f t="shared" si="31"/>
        <v>41046149.227859996</v>
      </c>
      <c r="CZ61" s="1334"/>
      <c r="DA61" s="1334">
        <f t="shared" si="32"/>
        <v>90504596.843975961</v>
      </c>
      <c r="DB61" s="1334">
        <f t="shared" si="33"/>
        <v>102615799.61371198</v>
      </c>
      <c r="DC61" s="1223"/>
      <c r="DD61" s="1224">
        <f t="shared" si="52"/>
        <v>151.3111111111111</v>
      </c>
      <c r="DE61" s="1223"/>
      <c r="DF61" s="1223"/>
      <c r="DG61" s="1223"/>
      <c r="DH61" s="1494"/>
      <c r="DI61" s="1494"/>
      <c r="DJ61" s="1494"/>
      <c r="DK61" s="1389"/>
      <c r="DL61" s="1419">
        <f t="shared" si="34"/>
        <v>0</v>
      </c>
      <c r="DM61" s="1419">
        <f t="shared" si="35"/>
        <v>0</v>
      </c>
      <c r="DN61" s="1419">
        <f t="shared" si="36"/>
        <v>0</v>
      </c>
      <c r="DO61" s="819"/>
      <c r="DP61" s="1315"/>
      <c r="DQ61" s="1315"/>
      <c r="DR61" s="1315"/>
      <c r="DS61" s="1315"/>
      <c r="DT61" s="1315"/>
      <c r="DU61" s="1315"/>
      <c r="DV61" s="1315"/>
      <c r="DW61" s="1315"/>
      <c r="DX61" s="1315"/>
      <c r="DY61" s="1315"/>
      <c r="DZ61" s="1315"/>
      <c r="EA61" s="1315"/>
      <c r="EB61" s="1315"/>
      <c r="EC61" s="1315"/>
      <c r="ED61" s="1315"/>
      <c r="EE61" s="1315"/>
      <c r="EF61" s="1315"/>
      <c r="EG61" s="1315"/>
      <c r="EH61" s="1315"/>
      <c r="EI61" s="1315"/>
      <c r="EJ61" s="1315"/>
      <c r="EK61" s="1315"/>
      <c r="EL61" s="1315"/>
    </row>
    <row r="62" spans="1:142" s="1313" customFormat="1" ht="78.75" hidden="1" customHeight="1">
      <c r="A62" s="6">
        <f t="shared" si="53"/>
        <v>49</v>
      </c>
      <c r="B62" s="1330"/>
      <c r="C62" s="1839" t="s">
        <v>100</v>
      </c>
      <c r="D62" s="1706" t="s">
        <v>141</v>
      </c>
      <c r="E62" s="1331">
        <v>4632024035</v>
      </c>
      <c r="F62" s="1330" t="s">
        <v>8</v>
      </c>
      <c r="G62" s="1682" t="s">
        <v>1034</v>
      </c>
      <c r="H62" s="1700">
        <v>3314.9639999999995</v>
      </c>
      <c r="I62" s="1701">
        <f t="shared" si="133"/>
        <v>3314.9639999999995</v>
      </c>
      <c r="J62" s="1707">
        <v>2950.21</v>
      </c>
      <c r="K62" s="1335"/>
      <c r="L62" s="1700">
        <v>3314.9639999999995</v>
      </c>
      <c r="M62" s="1438"/>
      <c r="N62" s="1703">
        <f t="shared" si="134"/>
        <v>3758.5679999999998</v>
      </c>
      <c r="O62" s="1704">
        <f t="shared" si="135"/>
        <v>3758.5679999999998</v>
      </c>
      <c r="P62" s="1708">
        <v>2979.71</v>
      </c>
      <c r="Q62" s="1335"/>
      <c r="R62" s="1335">
        <f t="shared" si="136"/>
        <v>3758.5679999999998</v>
      </c>
      <c r="S62" s="1438"/>
      <c r="T62" s="1819">
        <v>503.40500000000003</v>
      </c>
      <c r="U62" s="1820">
        <v>1309.6500000000001</v>
      </c>
      <c r="V62" s="1820">
        <v>0</v>
      </c>
      <c r="W62" s="1439"/>
      <c r="X62" s="1439"/>
      <c r="Y62" s="1439"/>
      <c r="Z62" s="1844">
        <f t="shared" si="8"/>
        <v>1813.0550000000001</v>
      </c>
      <c r="AA62" s="1821">
        <v>292.32</v>
      </c>
      <c r="AB62" s="1820">
        <v>1018.4</v>
      </c>
      <c r="AC62" s="1820">
        <v>0</v>
      </c>
      <c r="AD62" s="1439"/>
      <c r="AE62" s="1439"/>
      <c r="AF62" s="1439"/>
      <c r="AG62" s="1440">
        <f t="shared" si="58"/>
        <v>1310.72</v>
      </c>
      <c r="AH62" s="1441">
        <f t="shared" si="59"/>
        <v>3123.7750000000001</v>
      </c>
      <c r="AI62" s="1375">
        <f t="shared" si="82"/>
        <v>795.72500000000002</v>
      </c>
      <c r="AJ62" s="1375">
        <f t="shared" si="82"/>
        <v>2328.0500000000002</v>
      </c>
      <c r="AK62" s="1375">
        <f t="shared" si="82"/>
        <v>0</v>
      </c>
      <c r="AL62" s="1375">
        <f t="shared" si="82"/>
        <v>0</v>
      </c>
      <c r="AM62" s="1375">
        <f t="shared" si="82"/>
        <v>0</v>
      </c>
      <c r="AN62" s="1375"/>
      <c r="AO62" s="1375">
        <f t="shared" si="79"/>
        <v>3123.7750000000001</v>
      </c>
      <c r="AP62" s="1375">
        <f t="shared" si="80"/>
        <v>3123.7750000000001</v>
      </c>
      <c r="AQ62" s="1382">
        <f t="shared" si="81"/>
        <v>3123.7750000000001</v>
      </c>
      <c r="AR62" s="1417">
        <f t="shared" si="41"/>
        <v>0</v>
      </c>
      <c r="AS62" s="1333">
        <f t="shared" si="124"/>
        <v>2637799.7288999995</v>
      </c>
      <c r="AT62" s="1334">
        <f t="shared" si="124"/>
        <v>6868236.3905000007</v>
      </c>
      <c r="AU62" s="1334">
        <f t="shared" si="124"/>
        <v>0</v>
      </c>
      <c r="AV62" s="1334">
        <f t="shared" si="124"/>
        <v>0</v>
      </c>
      <c r="AW62" s="1334">
        <f t="shared" si="124"/>
        <v>0</v>
      </c>
      <c r="AX62" s="1334">
        <f t="shared" si="54"/>
        <v>9506036.1194000002</v>
      </c>
      <c r="AY62" s="1334">
        <f t="shared" si="55"/>
        <v>9506036.1194000002</v>
      </c>
      <c r="AZ62" s="1334">
        <f t="shared" si="125"/>
        <v>2990786.5217999998</v>
      </c>
      <c r="BA62" s="1334">
        <f t="shared" si="125"/>
        <v>6936913.8655000003</v>
      </c>
      <c r="BB62" s="1334">
        <f t="shared" si="125"/>
        <v>0</v>
      </c>
      <c r="BC62" s="1334">
        <f t="shared" si="125"/>
        <v>0</v>
      </c>
      <c r="BD62" s="1334">
        <f t="shared" si="125"/>
        <v>0</v>
      </c>
      <c r="BE62" s="1334">
        <f t="shared" si="56"/>
        <v>9927700.3872999996</v>
      </c>
      <c r="BF62" s="1396">
        <f t="shared" si="60"/>
        <v>9927700.3872999996</v>
      </c>
      <c r="BG62" s="1397">
        <f t="shared" si="126"/>
        <v>398.08339674999951</v>
      </c>
      <c r="BH62" s="1398">
        <f t="shared" si="127"/>
        <v>660.99082266666642</v>
      </c>
      <c r="BI62" s="1399">
        <f t="shared" si="128"/>
        <v>1059.074219416666</v>
      </c>
      <c r="BJ62" s="1399"/>
      <c r="BK62" s="1641"/>
      <c r="BL62" s="1334">
        <f t="shared" si="104"/>
        <v>1668769.4524199998</v>
      </c>
      <c r="BM62" s="1334">
        <f t="shared" si="104"/>
        <v>3863742.5265000002</v>
      </c>
      <c r="BN62" s="1334">
        <f t="shared" si="104"/>
        <v>0</v>
      </c>
      <c r="BO62" s="1334">
        <f t="shared" si="104"/>
        <v>0</v>
      </c>
      <c r="BP62" s="1334">
        <f t="shared" si="104"/>
        <v>0</v>
      </c>
      <c r="BQ62" s="1334">
        <f t="shared" si="62"/>
        <v>5532511.9789199997</v>
      </c>
      <c r="BR62" s="1334">
        <f t="shared" si="63"/>
        <v>5532511.9789199997</v>
      </c>
      <c r="BS62" s="1334">
        <f t="shared" si="105"/>
        <v>1098704.5977599998</v>
      </c>
      <c r="BT62" s="1334">
        <f t="shared" si="105"/>
        <v>3034536.6639999999</v>
      </c>
      <c r="BU62" s="1334">
        <f t="shared" si="105"/>
        <v>0</v>
      </c>
      <c r="BV62" s="1334">
        <f t="shared" si="65"/>
        <v>0</v>
      </c>
      <c r="BW62" s="1334">
        <f t="shared" si="19"/>
        <v>0</v>
      </c>
      <c r="BX62" s="1334">
        <f t="shared" si="66"/>
        <v>4133241.2617599997</v>
      </c>
      <c r="BY62" s="1334">
        <f t="shared" si="67"/>
        <v>4133241.2617599997</v>
      </c>
      <c r="BZ62" s="1389">
        <f t="shared" si="68"/>
        <v>6898279.1905000005</v>
      </c>
      <c r="CA62" s="1389">
        <f t="shared" si="68"/>
        <v>0</v>
      </c>
      <c r="CB62" s="1389">
        <f t="shared" si="69"/>
        <v>6898279.1905000005</v>
      </c>
      <c r="CC62" s="1420">
        <f t="shared" si="70"/>
        <v>2963.1147056549471</v>
      </c>
      <c r="CD62" s="1420" t="e">
        <f t="shared" si="70"/>
        <v>#DIV/0!</v>
      </c>
      <c r="CE62" s="1420">
        <f t="shared" si="44"/>
        <v>2963.1147056549471</v>
      </c>
      <c r="CF62" s="1420">
        <f t="shared" si="20"/>
        <v>2963.1147056549471</v>
      </c>
      <c r="CG62" s="1421">
        <f t="shared" si="21"/>
        <v>8169168.2537999991</v>
      </c>
      <c r="CH62" s="1421">
        <f t="shared" si="45"/>
        <v>3509.0175270290579</v>
      </c>
      <c r="CI62" s="1389"/>
      <c r="CJ62" s="1756">
        <f t="shared" si="129"/>
        <v>6010.2120550199988</v>
      </c>
      <c r="CK62" s="1756">
        <f t="shared" si="22"/>
        <v>4926.4302489599995</v>
      </c>
      <c r="CL62" s="1756">
        <f t="shared" si="47"/>
        <v>10936.642303979999</v>
      </c>
      <c r="CM62" s="1334">
        <f t="shared" si="48"/>
        <v>11740.9207542</v>
      </c>
      <c r="CN62" s="1334">
        <f t="shared" si="49"/>
        <v>804.2784502200011</v>
      </c>
      <c r="CO62" s="1334">
        <f t="shared" si="23"/>
        <v>10936642.303979998</v>
      </c>
      <c r="CP62" s="1334">
        <f t="shared" si="24"/>
        <v>9506036.1194000002</v>
      </c>
      <c r="CQ62" s="1334">
        <f t="shared" si="25"/>
        <v>9506036.1194000002</v>
      </c>
      <c r="CR62" s="1334">
        <f t="shared" si="26"/>
        <v>5532511.9789199997</v>
      </c>
      <c r="CS62" s="1334">
        <f t="shared" si="27"/>
        <v>9927700.3872999996</v>
      </c>
      <c r="CT62" s="1334">
        <f t="shared" si="28"/>
        <v>9927700.3872999996</v>
      </c>
      <c r="CU62" s="1334">
        <f t="shared" si="29"/>
        <v>4133241.2617599997</v>
      </c>
      <c r="CV62" s="1334">
        <f t="shared" si="50"/>
        <v>19433736.506700002</v>
      </c>
      <c r="CW62" s="1422">
        <f t="shared" si="51"/>
        <v>6221.2344060311643</v>
      </c>
      <c r="CX62" s="1334">
        <f t="shared" si="30"/>
        <v>6868236.3905000007</v>
      </c>
      <c r="CY62" s="1334">
        <f t="shared" si="31"/>
        <v>6936913.8655000003</v>
      </c>
      <c r="CZ62" s="1334"/>
      <c r="DA62" s="1334">
        <f t="shared" si="32"/>
        <v>10355201.669099998</v>
      </c>
      <c r="DB62" s="1334">
        <f t="shared" si="33"/>
        <v>11740920.7542</v>
      </c>
      <c r="DC62" s="1223"/>
      <c r="DD62" s="1224">
        <f t="shared" si="52"/>
        <v>127.40001559211038</v>
      </c>
      <c r="DE62" s="1223"/>
      <c r="DF62" s="1223"/>
      <c r="DG62" s="1223"/>
      <c r="DH62" s="1494"/>
      <c r="DI62" s="1494"/>
      <c r="DJ62" s="1494"/>
      <c r="DK62" s="1389"/>
      <c r="DL62" s="1419">
        <f t="shared" si="34"/>
        <v>0</v>
      </c>
      <c r="DM62" s="1419">
        <f t="shared" si="35"/>
        <v>0</v>
      </c>
      <c r="DN62" s="1419">
        <f t="shared" si="36"/>
        <v>0</v>
      </c>
      <c r="DO62" s="819"/>
      <c r="DP62" s="1315"/>
      <c r="DQ62" s="1315"/>
      <c r="DR62" s="1315"/>
      <c r="DS62" s="1315"/>
      <c r="DT62" s="1315"/>
      <c r="DU62" s="1315"/>
      <c r="DV62" s="1315"/>
      <c r="DW62" s="1315"/>
      <c r="DX62" s="1315"/>
      <c r="DY62" s="1315"/>
      <c r="DZ62" s="1315"/>
      <c r="EA62" s="1315"/>
      <c r="EB62" s="1315"/>
      <c r="EC62" s="1315"/>
      <c r="ED62" s="1315"/>
      <c r="EE62" s="1315"/>
      <c r="EF62" s="1315"/>
      <c r="EG62" s="1315"/>
      <c r="EH62" s="1315"/>
      <c r="EI62" s="1315"/>
      <c r="EJ62" s="1315"/>
      <c r="EK62" s="1315"/>
      <c r="EL62" s="1315"/>
    </row>
    <row r="63" spans="1:142" s="1313" customFormat="1" ht="73.5" hidden="1" customHeight="1">
      <c r="A63" s="6">
        <f t="shared" si="53"/>
        <v>50</v>
      </c>
      <c r="B63" s="1330"/>
      <c r="C63" s="1839" t="s">
        <v>101</v>
      </c>
      <c r="D63" s="1706" t="s">
        <v>141</v>
      </c>
      <c r="E63" s="1331">
        <v>4632024035</v>
      </c>
      <c r="F63" s="1330" t="s">
        <v>8</v>
      </c>
      <c r="G63" s="1682" t="s">
        <v>1034</v>
      </c>
      <c r="H63" s="1700">
        <v>3314.9639999999995</v>
      </c>
      <c r="I63" s="1701">
        <f t="shared" si="133"/>
        <v>3314.9639999999995</v>
      </c>
      <c r="J63" s="1707">
        <v>2950.21</v>
      </c>
      <c r="K63" s="1335"/>
      <c r="L63" s="1700">
        <v>3314.9639999999995</v>
      </c>
      <c r="M63" s="1435"/>
      <c r="N63" s="1703">
        <f t="shared" si="134"/>
        <v>3758.5679999999998</v>
      </c>
      <c r="O63" s="1704">
        <f t="shared" si="135"/>
        <v>3758.5679999999998</v>
      </c>
      <c r="P63" s="1708">
        <v>2979.71</v>
      </c>
      <c r="Q63" s="1335"/>
      <c r="R63" s="1335">
        <f t="shared" si="136"/>
        <v>3758.5679999999998</v>
      </c>
      <c r="S63" s="1435"/>
      <c r="T63" s="1811">
        <v>215.74499999999998</v>
      </c>
      <c r="U63" s="1818">
        <v>65.263000000000005</v>
      </c>
      <c r="V63" s="1818">
        <v>0</v>
      </c>
      <c r="W63" s="1419"/>
      <c r="X63" s="1419"/>
      <c r="Y63" s="1419"/>
      <c r="Z63" s="1841">
        <f t="shared" si="8"/>
        <v>281.00799999999998</v>
      </c>
      <c r="AA63" s="1813">
        <v>125.28</v>
      </c>
      <c r="AB63" s="1818">
        <v>48.298000000000002</v>
      </c>
      <c r="AC63" s="1818">
        <v>0</v>
      </c>
      <c r="AD63" s="1419"/>
      <c r="AE63" s="1419"/>
      <c r="AF63" s="1419"/>
      <c r="AG63" s="1395">
        <f t="shared" si="58"/>
        <v>173.578</v>
      </c>
      <c r="AH63" s="1391">
        <f t="shared" si="59"/>
        <v>454.58600000000001</v>
      </c>
      <c r="AI63" s="1334">
        <f t="shared" si="82"/>
        <v>341.02499999999998</v>
      </c>
      <c r="AJ63" s="1334">
        <f t="shared" si="82"/>
        <v>113.56100000000001</v>
      </c>
      <c r="AK63" s="1334">
        <f t="shared" si="82"/>
        <v>0</v>
      </c>
      <c r="AL63" s="1334">
        <f t="shared" si="82"/>
        <v>0</v>
      </c>
      <c r="AM63" s="1334">
        <f t="shared" si="82"/>
        <v>0</v>
      </c>
      <c r="AN63" s="1334"/>
      <c r="AO63" s="1334">
        <f t="shared" si="79"/>
        <v>454.58600000000001</v>
      </c>
      <c r="AP63" s="1334">
        <f t="shared" si="80"/>
        <v>454.58600000000001</v>
      </c>
      <c r="AQ63" s="1396">
        <f t="shared" si="81"/>
        <v>454.58600000000001</v>
      </c>
      <c r="AR63" s="1417">
        <f t="shared" si="41"/>
        <v>0</v>
      </c>
      <c r="AS63" s="1333">
        <f t="shared" si="124"/>
        <v>1130485.5980999998</v>
      </c>
      <c r="AT63" s="1334">
        <f t="shared" si="124"/>
        <v>335028.79781000002</v>
      </c>
      <c r="AU63" s="1334">
        <f t="shared" si="124"/>
        <v>0</v>
      </c>
      <c r="AV63" s="1334">
        <f t="shared" si="124"/>
        <v>0</v>
      </c>
      <c r="AW63" s="1334">
        <f t="shared" si="124"/>
        <v>0</v>
      </c>
      <c r="AX63" s="1334">
        <f t="shared" si="54"/>
        <v>1465514.39591</v>
      </c>
      <c r="AY63" s="1334">
        <f t="shared" si="55"/>
        <v>1465514.39591</v>
      </c>
      <c r="AZ63" s="1334">
        <f t="shared" si="125"/>
        <v>1281765.6521999999</v>
      </c>
      <c r="BA63" s="1334">
        <f t="shared" si="125"/>
        <v>338378.84731000004</v>
      </c>
      <c r="BB63" s="1334">
        <f t="shared" si="125"/>
        <v>0</v>
      </c>
      <c r="BC63" s="1334">
        <f t="shared" si="125"/>
        <v>0</v>
      </c>
      <c r="BD63" s="1334">
        <f t="shared" si="125"/>
        <v>0</v>
      </c>
      <c r="BE63" s="1334">
        <f t="shared" si="56"/>
        <v>1620144.49951</v>
      </c>
      <c r="BF63" s="1396">
        <f t="shared" si="60"/>
        <v>1620144.49951</v>
      </c>
      <c r="BG63" s="1397">
        <f t="shared" si="126"/>
        <v>19.837450251666638</v>
      </c>
      <c r="BH63" s="1398">
        <f t="shared" si="127"/>
        <v>31.347736403333322</v>
      </c>
      <c r="BI63" s="1399">
        <f t="shared" si="128"/>
        <v>51.18518665499996</v>
      </c>
      <c r="BJ63" s="1399"/>
      <c r="BK63" s="1641"/>
      <c r="BL63" s="1334">
        <f t="shared" si="104"/>
        <v>715186.90817999979</v>
      </c>
      <c r="BM63" s="1334">
        <f t="shared" si="104"/>
        <v>192539.55523000003</v>
      </c>
      <c r="BN63" s="1334">
        <f t="shared" si="104"/>
        <v>0</v>
      </c>
      <c r="BO63" s="1334">
        <f t="shared" si="104"/>
        <v>0</v>
      </c>
      <c r="BP63" s="1334">
        <f t="shared" si="104"/>
        <v>0</v>
      </c>
      <c r="BQ63" s="1334">
        <f t="shared" si="62"/>
        <v>907726.46340999985</v>
      </c>
      <c r="BR63" s="1334">
        <f t="shared" si="63"/>
        <v>907726.46340999985</v>
      </c>
      <c r="BS63" s="1334">
        <f t="shared" si="105"/>
        <v>470873.39903999999</v>
      </c>
      <c r="BT63" s="1334">
        <f t="shared" si="105"/>
        <v>143914.03358000002</v>
      </c>
      <c r="BU63" s="1334">
        <f t="shared" si="105"/>
        <v>0</v>
      </c>
      <c r="BV63" s="1334">
        <f t="shared" si="65"/>
        <v>0</v>
      </c>
      <c r="BW63" s="1334">
        <f t="shared" si="19"/>
        <v>0</v>
      </c>
      <c r="BX63" s="1334">
        <f t="shared" si="66"/>
        <v>614787.43261999998</v>
      </c>
      <c r="BY63" s="1334">
        <f t="shared" si="67"/>
        <v>614787.43261999998</v>
      </c>
      <c r="BZ63" s="1389">
        <f t="shared" si="68"/>
        <v>336453.58881000004</v>
      </c>
      <c r="CA63" s="1389">
        <f t="shared" si="68"/>
        <v>0</v>
      </c>
      <c r="CB63" s="1389">
        <f t="shared" si="69"/>
        <v>336453.58881000004</v>
      </c>
      <c r="CC63" s="1420">
        <f t="shared" si="70"/>
        <v>2962.7564816266149</v>
      </c>
      <c r="CD63" s="1420" t="e">
        <f t="shared" si="70"/>
        <v>#DIV/0!</v>
      </c>
      <c r="CE63" s="1420">
        <f t="shared" si="44"/>
        <v>2962.7564816266149</v>
      </c>
      <c r="CF63" s="1420">
        <f t="shared" si="20"/>
        <v>2962.7564816266149</v>
      </c>
      <c r="CG63" s="1421">
        <f t="shared" si="21"/>
        <v>397875.81279599993</v>
      </c>
      <c r="CH63" s="1421">
        <f t="shared" si="45"/>
        <v>3503.6307605251795</v>
      </c>
      <c r="CI63" s="1389"/>
      <c r="CJ63" s="1756">
        <f t="shared" si="129"/>
        <v>931.53140371199981</v>
      </c>
      <c r="CK63" s="1756">
        <f t="shared" si="22"/>
        <v>652.40471630399998</v>
      </c>
      <c r="CL63" s="1756">
        <f t="shared" si="47"/>
        <v>1583.9361200159997</v>
      </c>
      <c r="CM63" s="1334">
        <f t="shared" si="48"/>
        <v>1708.5923928479999</v>
      </c>
      <c r="CN63" s="1334">
        <f t="shared" si="49"/>
        <v>124.65627283200024</v>
      </c>
      <c r="CO63" s="1334">
        <f t="shared" si="23"/>
        <v>1583936.1200159998</v>
      </c>
      <c r="CP63" s="1334">
        <f t="shared" si="24"/>
        <v>1465514.39591</v>
      </c>
      <c r="CQ63" s="1334">
        <f t="shared" si="25"/>
        <v>1465514.39591</v>
      </c>
      <c r="CR63" s="1334">
        <f t="shared" si="26"/>
        <v>907726.46340999985</v>
      </c>
      <c r="CS63" s="1334">
        <f t="shared" si="27"/>
        <v>1620144.49951</v>
      </c>
      <c r="CT63" s="1334">
        <f t="shared" si="28"/>
        <v>1620144.49951</v>
      </c>
      <c r="CU63" s="1334">
        <f t="shared" si="29"/>
        <v>614787.43261999998</v>
      </c>
      <c r="CV63" s="1334">
        <f t="shared" si="50"/>
        <v>3085658.89542</v>
      </c>
      <c r="CW63" s="1422">
        <f t="shared" si="51"/>
        <v>6787.8440942307943</v>
      </c>
      <c r="CX63" s="1334">
        <f t="shared" si="30"/>
        <v>335028.79781000002</v>
      </c>
      <c r="CY63" s="1334">
        <f t="shared" si="31"/>
        <v>338378.84731000004</v>
      </c>
      <c r="CZ63" s="1334"/>
      <c r="DA63" s="1334">
        <f t="shared" si="32"/>
        <v>1506936.2249039998</v>
      </c>
      <c r="DB63" s="1334">
        <f t="shared" si="33"/>
        <v>1708592.3928479999</v>
      </c>
      <c r="DC63" s="1223"/>
      <c r="DD63" s="1224">
        <f t="shared" si="52"/>
        <v>127.40001559211038</v>
      </c>
      <c r="DE63" s="1223"/>
      <c r="DF63" s="1223"/>
      <c r="DG63" s="1223"/>
      <c r="DH63" s="1494"/>
      <c r="DI63" s="1494"/>
      <c r="DJ63" s="1494"/>
      <c r="DK63" s="1389"/>
      <c r="DL63" s="1419">
        <f t="shared" si="34"/>
        <v>0</v>
      </c>
      <c r="DM63" s="1419">
        <f t="shared" si="35"/>
        <v>0</v>
      </c>
      <c r="DN63" s="1419">
        <f t="shared" si="36"/>
        <v>0</v>
      </c>
      <c r="DO63" s="819"/>
      <c r="DP63" s="1315"/>
      <c r="DQ63" s="1315"/>
      <c r="DR63" s="1315"/>
      <c r="DS63" s="1315"/>
      <c r="DT63" s="1315"/>
      <c r="DU63" s="1315"/>
      <c r="DV63" s="1315"/>
      <c r="DW63" s="1315"/>
      <c r="DX63" s="1315"/>
      <c r="DY63" s="1315"/>
      <c r="DZ63" s="1315"/>
      <c r="EA63" s="1315"/>
      <c r="EB63" s="1315"/>
      <c r="EC63" s="1315"/>
      <c r="ED63" s="1315"/>
      <c r="EE63" s="1315"/>
      <c r="EF63" s="1315"/>
      <c r="EG63" s="1315"/>
      <c r="EH63" s="1315"/>
      <c r="EI63" s="1315"/>
      <c r="EJ63" s="1315"/>
      <c r="EK63" s="1315"/>
      <c r="EL63" s="1315"/>
    </row>
    <row r="64" spans="1:142" s="1313" customFormat="1" ht="75" hidden="1" customHeight="1">
      <c r="A64" s="6">
        <f t="shared" si="53"/>
        <v>51</v>
      </c>
      <c r="B64" s="1330"/>
      <c r="C64" s="1839" t="s">
        <v>102</v>
      </c>
      <c r="D64" s="1706" t="s">
        <v>141</v>
      </c>
      <c r="E64" s="1331">
        <v>4632024035</v>
      </c>
      <c r="F64" s="1330" t="s">
        <v>8</v>
      </c>
      <c r="G64" s="1682" t="s">
        <v>1034</v>
      </c>
      <c r="H64" s="1700">
        <v>3314.9639999999995</v>
      </c>
      <c r="I64" s="1701">
        <f t="shared" si="133"/>
        <v>3314.9639999999995</v>
      </c>
      <c r="J64" s="1335"/>
      <c r="K64" s="1335"/>
      <c r="L64" s="1700">
        <v>3314.9639999999995</v>
      </c>
      <c r="M64" s="1435"/>
      <c r="N64" s="1703">
        <f t="shared" si="134"/>
        <v>3758.5679999999998</v>
      </c>
      <c r="O64" s="1704">
        <f t="shared" si="135"/>
        <v>3758.5679999999998</v>
      </c>
      <c r="P64" s="1335"/>
      <c r="Q64" s="1335"/>
      <c r="R64" s="1335">
        <f t="shared" si="136"/>
        <v>3758.5679999999998</v>
      </c>
      <c r="S64" s="1435"/>
      <c r="T64" s="1819">
        <v>132.41700000000003</v>
      </c>
      <c r="U64" s="1820"/>
      <c r="V64" s="1820"/>
      <c r="W64" s="1439"/>
      <c r="X64" s="1439"/>
      <c r="Y64" s="1439"/>
      <c r="Z64" s="1841">
        <f t="shared" si="8"/>
        <v>132.41700000000003</v>
      </c>
      <c r="AA64" s="1821">
        <v>75.58</v>
      </c>
      <c r="AB64" s="1820"/>
      <c r="AC64" s="1820"/>
      <c r="AD64" s="1439"/>
      <c r="AE64" s="1439"/>
      <c r="AF64" s="1439"/>
      <c r="AG64" s="1395">
        <f t="shared" si="58"/>
        <v>75.58</v>
      </c>
      <c r="AH64" s="1391">
        <f t="shared" si="59"/>
        <v>207.99700000000001</v>
      </c>
      <c r="AI64" s="1334">
        <f t="shared" si="82"/>
        <v>207.99700000000001</v>
      </c>
      <c r="AJ64" s="1334">
        <f t="shared" si="82"/>
        <v>0</v>
      </c>
      <c r="AK64" s="1334">
        <f t="shared" si="82"/>
        <v>0</v>
      </c>
      <c r="AL64" s="1334">
        <f t="shared" si="82"/>
        <v>0</v>
      </c>
      <c r="AM64" s="1334">
        <f t="shared" si="82"/>
        <v>0</v>
      </c>
      <c r="AN64" s="1334"/>
      <c r="AO64" s="1334">
        <f t="shared" si="79"/>
        <v>207.99700000000001</v>
      </c>
      <c r="AP64" s="1334">
        <f t="shared" si="80"/>
        <v>207.99700000000001</v>
      </c>
      <c r="AQ64" s="1396">
        <f t="shared" si="81"/>
        <v>207.99700000000001</v>
      </c>
      <c r="AR64" s="1417">
        <f t="shared" si="41"/>
        <v>0</v>
      </c>
      <c r="AS64" s="1333">
        <f t="shared" si="124"/>
        <v>689502.56710799993</v>
      </c>
      <c r="AT64" s="1334">
        <f t="shared" si="124"/>
        <v>0</v>
      </c>
      <c r="AU64" s="1334">
        <f t="shared" si="124"/>
        <v>0</v>
      </c>
      <c r="AV64" s="1334">
        <f t="shared" si="124"/>
        <v>0</v>
      </c>
      <c r="AW64" s="1334">
        <f t="shared" si="124"/>
        <v>0</v>
      </c>
      <c r="AX64" s="1334">
        <f t="shared" si="54"/>
        <v>689502.56710799993</v>
      </c>
      <c r="AY64" s="1334">
        <f t="shared" si="55"/>
        <v>689502.56710799993</v>
      </c>
      <c r="AZ64" s="1334">
        <f t="shared" si="125"/>
        <v>781770.86829600006</v>
      </c>
      <c r="BA64" s="1334">
        <f t="shared" si="125"/>
        <v>0</v>
      </c>
      <c r="BB64" s="1334">
        <f t="shared" si="125"/>
        <v>0</v>
      </c>
      <c r="BC64" s="1334">
        <f t="shared" si="125"/>
        <v>0</v>
      </c>
      <c r="BD64" s="1334">
        <f t="shared" si="125"/>
        <v>0</v>
      </c>
      <c r="BE64" s="1334">
        <f t="shared" si="56"/>
        <v>781770.86829600006</v>
      </c>
      <c r="BF64" s="1396">
        <f t="shared" si="60"/>
        <v>781770.86829600006</v>
      </c>
      <c r="BG64" s="1397">
        <f t="shared" si="126"/>
        <v>0</v>
      </c>
      <c r="BH64" s="1398">
        <f t="shared" si="127"/>
        <v>0</v>
      </c>
      <c r="BI64" s="1399">
        <f t="shared" si="128"/>
        <v>0</v>
      </c>
      <c r="BJ64" s="1419"/>
      <c r="BK64" s="1642"/>
      <c r="BL64" s="1334">
        <f t="shared" si="104"/>
        <v>438957.58798800001</v>
      </c>
      <c r="BM64" s="1334">
        <f t="shared" si="104"/>
        <v>0</v>
      </c>
      <c r="BN64" s="1334">
        <f t="shared" si="104"/>
        <v>0</v>
      </c>
      <c r="BO64" s="1334">
        <f t="shared" si="104"/>
        <v>0</v>
      </c>
      <c r="BP64" s="1334">
        <f t="shared" si="104"/>
        <v>0</v>
      </c>
      <c r="BQ64" s="1334">
        <f t="shared" si="62"/>
        <v>438957.58798800001</v>
      </c>
      <c r="BR64" s="1334">
        <f t="shared" si="63"/>
        <v>438957.58798800001</v>
      </c>
      <c r="BS64" s="1334">
        <f t="shared" si="105"/>
        <v>284072.56943999999</v>
      </c>
      <c r="BT64" s="1334">
        <f t="shared" si="105"/>
        <v>0</v>
      </c>
      <c r="BU64" s="1334">
        <f t="shared" si="105"/>
        <v>0</v>
      </c>
      <c r="BV64" s="1334">
        <f t="shared" si="65"/>
        <v>0</v>
      </c>
      <c r="BW64" s="1334">
        <f t="shared" si="19"/>
        <v>0</v>
      </c>
      <c r="BX64" s="1334">
        <f t="shared" si="66"/>
        <v>284072.56943999999</v>
      </c>
      <c r="BY64" s="1334">
        <f t="shared" si="67"/>
        <v>284072.56943999999</v>
      </c>
      <c r="BZ64" s="1389">
        <f t="shared" si="68"/>
        <v>0</v>
      </c>
      <c r="CA64" s="1389">
        <f t="shared" si="68"/>
        <v>0</v>
      </c>
      <c r="CB64" s="1389">
        <f t="shared" si="69"/>
        <v>0</v>
      </c>
      <c r="CC64" s="1420" t="e">
        <f t="shared" si="70"/>
        <v>#DIV/0!</v>
      </c>
      <c r="CD64" s="1420" t="e">
        <f t="shared" si="70"/>
        <v>#DIV/0!</v>
      </c>
      <c r="CE64" s="1420" t="e">
        <f t="shared" si="44"/>
        <v>#DIV/0!</v>
      </c>
      <c r="CF64" s="1389" t="e">
        <f t="shared" si="20"/>
        <v>#DIV/0!</v>
      </c>
      <c r="CG64" s="1421">
        <f t="shared" si="21"/>
        <v>0</v>
      </c>
      <c r="CH64" s="1421" t="e">
        <f t="shared" si="45"/>
        <v>#DIV/0!</v>
      </c>
      <c r="CI64" s="1385"/>
      <c r="CJ64" s="1756">
        <f t="shared" si="129"/>
        <v>438.957587988</v>
      </c>
      <c r="CK64" s="1756">
        <f t="shared" si="22"/>
        <v>284.07256944</v>
      </c>
      <c r="CL64" s="1756">
        <f t="shared" si="47"/>
        <v>723.03015742799994</v>
      </c>
      <c r="CM64" s="1334">
        <f t="shared" si="48"/>
        <v>781.770868296</v>
      </c>
      <c r="CN64" s="1334">
        <f t="shared" si="49"/>
        <v>58.740710868000065</v>
      </c>
      <c r="CO64" s="1334">
        <f t="shared" si="23"/>
        <v>723030.15742800001</v>
      </c>
      <c r="CP64" s="1334">
        <f t="shared" si="24"/>
        <v>689502.56710799993</v>
      </c>
      <c r="CQ64" s="1334">
        <f t="shared" si="25"/>
        <v>689502.56710799993</v>
      </c>
      <c r="CR64" s="1334">
        <f t="shared" si="26"/>
        <v>438957.58798800001</v>
      </c>
      <c r="CS64" s="1334">
        <f t="shared" si="27"/>
        <v>781770.86829600006</v>
      </c>
      <c r="CT64" s="1334">
        <f t="shared" si="28"/>
        <v>781770.86829600006</v>
      </c>
      <c r="CU64" s="1334">
        <f t="shared" si="29"/>
        <v>284072.56943999999</v>
      </c>
      <c r="CV64" s="1334">
        <f t="shared" si="50"/>
        <v>1471273.4354039999</v>
      </c>
      <c r="CW64" s="1422">
        <f t="shared" si="51"/>
        <v>7073.5319999999992</v>
      </c>
      <c r="CX64" s="1334">
        <f t="shared" si="30"/>
        <v>0</v>
      </c>
      <c r="CY64" s="1334">
        <f t="shared" si="31"/>
        <v>0</v>
      </c>
      <c r="CZ64" s="1334"/>
      <c r="DA64" s="1334">
        <f t="shared" si="32"/>
        <v>689502.56710799993</v>
      </c>
      <c r="DB64" s="1334">
        <f t="shared" si="33"/>
        <v>781770.86829600006</v>
      </c>
      <c r="DC64" s="1314"/>
      <c r="DD64" s="1224" t="e">
        <f t="shared" si="52"/>
        <v>#DIV/0!</v>
      </c>
      <c r="DE64" s="1314"/>
      <c r="DF64" s="1314"/>
      <c r="DG64" s="1314"/>
      <c r="DH64" s="1494"/>
      <c r="DI64" s="1494"/>
      <c r="DJ64" s="1494"/>
      <c r="DK64" s="1385"/>
      <c r="DL64" s="1419">
        <f t="shared" si="34"/>
        <v>0</v>
      </c>
      <c r="DM64" s="1419">
        <f t="shared" si="35"/>
        <v>0</v>
      </c>
      <c r="DN64" s="1419">
        <f t="shared" si="36"/>
        <v>0</v>
      </c>
      <c r="DO64" s="802"/>
      <c r="DP64" s="1315"/>
      <c r="DQ64" s="1315"/>
      <c r="DR64" s="1315"/>
      <c r="DS64" s="1315"/>
      <c r="DT64" s="1315"/>
      <c r="DU64" s="1315"/>
      <c r="DV64" s="1315"/>
      <c r="DW64" s="1315"/>
      <c r="DX64" s="1315"/>
      <c r="DY64" s="1315"/>
      <c r="DZ64" s="1315"/>
      <c r="EA64" s="1315"/>
      <c r="EB64" s="1315"/>
      <c r="EC64" s="1315"/>
      <c r="ED64" s="1315"/>
      <c r="EE64" s="1315"/>
      <c r="EF64" s="1315"/>
      <c r="EG64" s="1315"/>
      <c r="EH64" s="1315"/>
      <c r="EI64" s="1315"/>
      <c r="EJ64" s="1315"/>
      <c r="EK64" s="1315"/>
      <c r="EL64" s="1315"/>
    </row>
    <row r="65" spans="1:142" s="1313" customFormat="1" ht="84.75" hidden="1" customHeight="1">
      <c r="A65" s="6">
        <f t="shared" si="53"/>
        <v>52</v>
      </c>
      <c r="B65" s="1330" t="s">
        <v>22</v>
      </c>
      <c r="C65" s="1839" t="s">
        <v>103</v>
      </c>
      <c r="D65" s="1706" t="s">
        <v>142</v>
      </c>
      <c r="E65" s="1331">
        <v>4632024035</v>
      </c>
      <c r="F65" s="1330" t="s">
        <v>8</v>
      </c>
      <c r="G65" s="1682" t="s">
        <v>1034</v>
      </c>
      <c r="H65" s="1700">
        <v>3314.9639999999995</v>
      </c>
      <c r="I65" s="1701">
        <f t="shared" si="133"/>
        <v>3314.9639999999995</v>
      </c>
      <c r="J65" s="1707">
        <v>2484</v>
      </c>
      <c r="K65" s="1335"/>
      <c r="L65" s="1700">
        <v>3314.9639999999995</v>
      </c>
      <c r="M65" s="1390"/>
      <c r="N65" s="1703">
        <f t="shared" si="134"/>
        <v>3758.5679999999998</v>
      </c>
      <c r="O65" s="1704">
        <f t="shared" si="135"/>
        <v>3758.5679999999998</v>
      </c>
      <c r="P65" s="1708">
        <v>2719.98</v>
      </c>
      <c r="Q65" s="1335"/>
      <c r="R65" s="1335">
        <f t="shared" si="136"/>
        <v>3758.5679999999998</v>
      </c>
      <c r="S65" s="1390"/>
      <c r="T65" s="1822">
        <v>2440.1130000000003</v>
      </c>
      <c r="U65" s="1823">
        <v>60.106000000000016</v>
      </c>
      <c r="V65" s="1824"/>
      <c r="W65" s="1375"/>
      <c r="X65" s="1375"/>
      <c r="Y65" s="1375"/>
      <c r="Z65" s="1841">
        <f t="shared" si="8"/>
        <v>2500.2190000000005</v>
      </c>
      <c r="AA65" s="1825">
        <v>1992.963</v>
      </c>
      <c r="AB65" s="1826">
        <v>134</v>
      </c>
      <c r="AC65" s="1824"/>
      <c r="AD65" s="1375"/>
      <c r="AE65" s="1375"/>
      <c r="AF65" s="1375"/>
      <c r="AG65" s="1395">
        <f t="shared" si="58"/>
        <v>2126.9629999999997</v>
      </c>
      <c r="AH65" s="1391">
        <f t="shared" si="59"/>
        <v>4627.1820000000007</v>
      </c>
      <c r="AI65" s="1334">
        <f t="shared" si="82"/>
        <v>4433.076</v>
      </c>
      <c r="AJ65" s="1334">
        <f t="shared" si="82"/>
        <v>194.10600000000002</v>
      </c>
      <c r="AK65" s="1334">
        <f t="shared" si="82"/>
        <v>0</v>
      </c>
      <c r="AL65" s="1334">
        <f t="shared" si="82"/>
        <v>0</v>
      </c>
      <c r="AM65" s="1334">
        <f t="shared" si="82"/>
        <v>0</v>
      </c>
      <c r="AN65" s="1334"/>
      <c r="AO65" s="1334">
        <f t="shared" si="79"/>
        <v>4627.1819999999998</v>
      </c>
      <c r="AP65" s="1334">
        <f t="shared" si="80"/>
        <v>4627.1819999999998</v>
      </c>
      <c r="AQ65" s="1396">
        <f t="shared" si="81"/>
        <v>4627.1819999999998</v>
      </c>
      <c r="AR65" s="1417">
        <f t="shared" si="41"/>
        <v>0</v>
      </c>
      <c r="AS65" s="1333">
        <f t="shared" si="124"/>
        <v>14695487.349263998</v>
      </c>
      <c r="AT65" s="1334">
        <f t="shared" si="124"/>
        <v>482159.30400000006</v>
      </c>
      <c r="AU65" s="1334">
        <f t="shared" si="124"/>
        <v>0</v>
      </c>
      <c r="AV65" s="1334">
        <f t="shared" si="124"/>
        <v>0</v>
      </c>
      <c r="AW65" s="1334">
        <f t="shared" si="124"/>
        <v>0</v>
      </c>
      <c r="AX65" s="1334">
        <f t="shared" si="54"/>
        <v>15177646.653263997</v>
      </c>
      <c r="AY65" s="1334">
        <f t="shared" si="55"/>
        <v>15177646.653263997</v>
      </c>
      <c r="AZ65" s="1334">
        <f t="shared" si="125"/>
        <v>16662017.595167998</v>
      </c>
      <c r="BA65" s="1334">
        <f t="shared" si="125"/>
        <v>527964.4378800001</v>
      </c>
      <c r="BB65" s="1334">
        <f t="shared" si="125"/>
        <v>0</v>
      </c>
      <c r="BC65" s="1334">
        <f t="shared" si="125"/>
        <v>0</v>
      </c>
      <c r="BD65" s="1334">
        <f t="shared" si="125"/>
        <v>0</v>
      </c>
      <c r="BE65" s="1334">
        <f t="shared" si="56"/>
        <v>17189982.033047996</v>
      </c>
      <c r="BF65" s="1396">
        <f t="shared" si="60"/>
        <v>17189982.033047996</v>
      </c>
      <c r="BG65" s="1397">
        <f t="shared" si="126"/>
        <v>41.621601819999981</v>
      </c>
      <c r="BH65" s="1398">
        <f t="shared" si="127"/>
        <v>115.97565999999996</v>
      </c>
      <c r="BI65" s="1399">
        <f t="shared" si="128"/>
        <v>157.59726181999994</v>
      </c>
      <c r="BJ65" s="1399"/>
      <c r="BK65" s="1641"/>
      <c r="BL65" s="1334">
        <f t="shared" si="104"/>
        <v>8088886.7509319996</v>
      </c>
      <c r="BM65" s="1334">
        <f t="shared" si="104"/>
        <v>149303.30400000003</v>
      </c>
      <c r="BN65" s="1334">
        <f t="shared" si="104"/>
        <v>0</v>
      </c>
      <c r="BO65" s="1334">
        <f t="shared" si="104"/>
        <v>0</v>
      </c>
      <c r="BP65" s="1334">
        <f t="shared" si="104"/>
        <v>0</v>
      </c>
      <c r="BQ65" s="1334">
        <f t="shared" si="62"/>
        <v>8238190.0549320001</v>
      </c>
      <c r="BR65" s="1334">
        <f t="shared" si="63"/>
        <v>8238190.0549320001</v>
      </c>
      <c r="BS65" s="1334">
        <f t="shared" si="105"/>
        <v>7490686.9569839993</v>
      </c>
      <c r="BT65" s="1334">
        <f t="shared" si="105"/>
        <v>364477.32</v>
      </c>
      <c r="BU65" s="1334">
        <f t="shared" si="105"/>
        <v>0</v>
      </c>
      <c r="BV65" s="1334">
        <f t="shared" si="65"/>
        <v>0</v>
      </c>
      <c r="BW65" s="1334">
        <f t="shared" si="19"/>
        <v>0</v>
      </c>
      <c r="BX65" s="1334">
        <f t="shared" si="66"/>
        <v>7855164.2769839996</v>
      </c>
      <c r="BY65" s="1334">
        <f t="shared" si="67"/>
        <v>7855164.2769839996</v>
      </c>
      <c r="BZ65" s="1389">
        <f t="shared" si="68"/>
        <v>513780.62400000007</v>
      </c>
      <c r="CA65" s="1389">
        <f t="shared" si="68"/>
        <v>0</v>
      </c>
      <c r="CB65" s="1389">
        <f t="shared" si="69"/>
        <v>513780.62400000007</v>
      </c>
      <c r="CC65" s="1420">
        <f t="shared" si="70"/>
        <v>2646.9074835399215</v>
      </c>
      <c r="CD65" s="1420" t="e">
        <f t="shared" si="70"/>
        <v>#DIV/0!</v>
      </c>
      <c r="CE65" s="1420">
        <f t="shared" si="44"/>
        <v>2646.9074835399215</v>
      </c>
      <c r="CF65" s="1420">
        <f t="shared" si="20"/>
        <v>2646.9074835399215</v>
      </c>
      <c r="CG65" s="1421">
        <f t="shared" si="21"/>
        <v>702897.33818399999</v>
      </c>
      <c r="CH65" s="1421">
        <f t="shared" si="45"/>
        <v>3621.2035598281345</v>
      </c>
      <c r="CI65" s="1385"/>
      <c r="CJ65" s="1756">
        <f t="shared" si="129"/>
        <v>8288.1359771160005</v>
      </c>
      <c r="CK65" s="1756">
        <f t="shared" si="22"/>
        <v>7994.3350689839981</v>
      </c>
      <c r="CL65" s="1756">
        <f t="shared" si="47"/>
        <v>16282.4710461</v>
      </c>
      <c r="CM65" s="1334">
        <f t="shared" si="48"/>
        <v>17391.578195376002</v>
      </c>
      <c r="CN65" s="1334">
        <f t="shared" si="49"/>
        <v>1109.107149276002</v>
      </c>
      <c r="CO65" s="1334">
        <f t="shared" si="23"/>
        <v>16282471.046099998</v>
      </c>
      <c r="CP65" s="1334">
        <f t="shared" si="24"/>
        <v>15177646.653263997</v>
      </c>
      <c r="CQ65" s="1334">
        <f t="shared" si="25"/>
        <v>15177646.653263997</v>
      </c>
      <c r="CR65" s="1334">
        <f t="shared" si="26"/>
        <v>8238190.0549320001</v>
      </c>
      <c r="CS65" s="1334">
        <f t="shared" si="27"/>
        <v>17189982.033047996</v>
      </c>
      <c r="CT65" s="1334">
        <f t="shared" si="28"/>
        <v>17189982.033047996</v>
      </c>
      <c r="CU65" s="1334">
        <f t="shared" si="29"/>
        <v>7855164.2769839996</v>
      </c>
      <c r="CV65" s="1334">
        <f t="shared" si="50"/>
        <v>32367628.686311994</v>
      </c>
      <c r="CW65" s="1422">
        <f t="shared" si="51"/>
        <v>6995.1060248574595</v>
      </c>
      <c r="CX65" s="1334">
        <f t="shared" si="30"/>
        <v>482159.30400000006</v>
      </c>
      <c r="CY65" s="1334">
        <f t="shared" si="31"/>
        <v>527964.4378800001</v>
      </c>
      <c r="CZ65" s="1334"/>
      <c r="DA65" s="1334">
        <f t="shared" si="32"/>
        <v>15338941.751447998</v>
      </c>
      <c r="DB65" s="1334">
        <f t="shared" si="33"/>
        <v>17391578.195375998</v>
      </c>
      <c r="DC65" s="1314"/>
      <c r="DD65" s="1224">
        <f t="shared" si="52"/>
        <v>151.3111111111111</v>
      </c>
      <c r="DE65" s="1314"/>
      <c r="DF65" s="1314"/>
      <c r="DG65" s="1314"/>
      <c r="DH65" s="1494"/>
      <c r="DI65" s="1494"/>
      <c r="DJ65" s="1494"/>
      <c r="DK65" s="1385"/>
      <c r="DL65" s="1419">
        <f t="shared" si="34"/>
        <v>0</v>
      </c>
      <c r="DM65" s="1419">
        <f t="shared" si="35"/>
        <v>0</v>
      </c>
      <c r="DN65" s="1419">
        <f t="shared" si="36"/>
        <v>0</v>
      </c>
      <c r="DO65" s="802"/>
      <c r="DP65" s="1315"/>
      <c r="DQ65" s="1315"/>
      <c r="DR65" s="1315"/>
      <c r="DS65" s="1315"/>
      <c r="DT65" s="1315"/>
      <c r="DU65" s="1315"/>
      <c r="DV65" s="1315"/>
      <c r="DW65" s="1315"/>
      <c r="DX65" s="1315"/>
      <c r="DY65" s="1315"/>
      <c r="DZ65" s="1315"/>
      <c r="EA65" s="1315"/>
      <c r="EB65" s="1315"/>
      <c r="EC65" s="1315"/>
      <c r="ED65" s="1315"/>
      <c r="EE65" s="1315"/>
      <c r="EF65" s="1315"/>
      <c r="EG65" s="1315"/>
      <c r="EH65" s="1315"/>
      <c r="EI65" s="1315"/>
      <c r="EJ65" s="1315"/>
      <c r="EK65" s="1315"/>
      <c r="EL65" s="1315"/>
    </row>
    <row r="66" spans="1:142" s="1313" customFormat="1" ht="76.5" hidden="1" customHeight="1">
      <c r="A66" s="6">
        <f t="shared" si="53"/>
        <v>53</v>
      </c>
      <c r="B66" s="1330" t="s">
        <v>22</v>
      </c>
      <c r="C66" s="1839" t="s">
        <v>104</v>
      </c>
      <c r="D66" s="1706" t="s">
        <v>141</v>
      </c>
      <c r="E66" s="1331">
        <v>4632024035</v>
      </c>
      <c r="F66" s="1330" t="s">
        <v>8</v>
      </c>
      <c r="G66" s="1682" t="s">
        <v>1034</v>
      </c>
      <c r="H66" s="1700">
        <v>3314.9639999999995</v>
      </c>
      <c r="I66" s="1701">
        <f t="shared" si="133"/>
        <v>3314.9639999999995</v>
      </c>
      <c r="J66" s="1335"/>
      <c r="K66" s="1335"/>
      <c r="L66" s="1700">
        <v>3314.9639999999995</v>
      </c>
      <c r="M66" s="1390"/>
      <c r="N66" s="1703">
        <f t="shared" si="134"/>
        <v>3758.5679999999998</v>
      </c>
      <c r="O66" s="1704">
        <f t="shared" si="135"/>
        <v>3758.5679999999998</v>
      </c>
      <c r="P66" s="1335"/>
      <c r="Q66" s="1335"/>
      <c r="R66" s="1335">
        <f t="shared" si="136"/>
        <v>3758.5679999999998</v>
      </c>
      <c r="S66" s="1390"/>
      <c r="T66" s="1751">
        <v>118.66</v>
      </c>
      <c r="U66" s="1810"/>
      <c r="V66" s="1810"/>
      <c r="W66" s="1334"/>
      <c r="X66" s="1334"/>
      <c r="Y66" s="1334"/>
      <c r="Z66" s="1841">
        <f t="shared" si="8"/>
        <v>118.66</v>
      </c>
      <c r="AA66" s="1752">
        <v>68.903999999999996</v>
      </c>
      <c r="AB66" s="1810"/>
      <c r="AC66" s="1810"/>
      <c r="AD66" s="1334"/>
      <c r="AE66" s="1334"/>
      <c r="AF66" s="1334"/>
      <c r="AG66" s="1395">
        <f t="shared" si="58"/>
        <v>68.903999999999996</v>
      </c>
      <c r="AH66" s="1391">
        <f t="shared" si="59"/>
        <v>187.56399999999999</v>
      </c>
      <c r="AI66" s="1334">
        <f t="shared" si="82"/>
        <v>187.56399999999999</v>
      </c>
      <c r="AJ66" s="1334">
        <f t="shared" si="82"/>
        <v>0</v>
      </c>
      <c r="AK66" s="1334">
        <f t="shared" si="82"/>
        <v>0</v>
      </c>
      <c r="AL66" s="1334">
        <f t="shared" si="82"/>
        <v>0</v>
      </c>
      <c r="AM66" s="1334">
        <f t="shared" si="82"/>
        <v>0</v>
      </c>
      <c r="AN66" s="1334"/>
      <c r="AO66" s="1334">
        <f t="shared" si="79"/>
        <v>187.56399999999999</v>
      </c>
      <c r="AP66" s="1334">
        <f t="shared" si="80"/>
        <v>187.56399999999999</v>
      </c>
      <c r="AQ66" s="1396">
        <f t="shared" si="81"/>
        <v>187.56399999999999</v>
      </c>
      <c r="AR66" s="1417">
        <f t="shared" si="41"/>
        <v>0</v>
      </c>
      <c r="AS66" s="1333">
        <f t="shared" si="124"/>
        <v>621767.90769599983</v>
      </c>
      <c r="AT66" s="1334">
        <f t="shared" si="124"/>
        <v>0</v>
      </c>
      <c r="AU66" s="1334">
        <f t="shared" si="124"/>
        <v>0</v>
      </c>
      <c r="AV66" s="1334">
        <f t="shared" si="124"/>
        <v>0</v>
      </c>
      <c r="AW66" s="1334">
        <f t="shared" si="124"/>
        <v>0</v>
      </c>
      <c r="AX66" s="1334">
        <f t="shared" si="54"/>
        <v>621767.90769599983</v>
      </c>
      <c r="AY66" s="1334">
        <f t="shared" si="55"/>
        <v>621767.90769599983</v>
      </c>
      <c r="AZ66" s="1334">
        <f t="shared" si="125"/>
        <v>704972.04835199995</v>
      </c>
      <c r="BA66" s="1334">
        <f t="shared" si="125"/>
        <v>0</v>
      </c>
      <c r="BB66" s="1334">
        <f t="shared" si="125"/>
        <v>0</v>
      </c>
      <c r="BC66" s="1334">
        <f t="shared" si="125"/>
        <v>0</v>
      </c>
      <c r="BD66" s="1334">
        <f t="shared" si="125"/>
        <v>0</v>
      </c>
      <c r="BE66" s="1334">
        <f t="shared" si="56"/>
        <v>704972.04835199995</v>
      </c>
      <c r="BF66" s="1396">
        <f t="shared" si="60"/>
        <v>704972.04835199995</v>
      </c>
      <c r="BG66" s="1397">
        <f t="shared" si="126"/>
        <v>0</v>
      </c>
      <c r="BH66" s="1398">
        <f t="shared" si="127"/>
        <v>0</v>
      </c>
      <c r="BI66" s="1399">
        <f t="shared" si="128"/>
        <v>0</v>
      </c>
      <c r="BJ66" s="1334"/>
      <c r="BK66" s="1643"/>
      <c r="BL66" s="1334">
        <f t="shared" si="104"/>
        <v>393353.62823999993</v>
      </c>
      <c r="BM66" s="1334">
        <f t="shared" si="104"/>
        <v>0</v>
      </c>
      <c r="BN66" s="1334">
        <f t="shared" si="104"/>
        <v>0</v>
      </c>
      <c r="BO66" s="1334">
        <f t="shared" si="104"/>
        <v>0</v>
      </c>
      <c r="BP66" s="1334">
        <f t="shared" si="104"/>
        <v>0</v>
      </c>
      <c r="BQ66" s="1334">
        <f t="shared" si="62"/>
        <v>393353.62823999993</v>
      </c>
      <c r="BR66" s="1334">
        <f t="shared" si="63"/>
        <v>393353.62823999993</v>
      </c>
      <c r="BS66" s="1334">
        <f t="shared" si="105"/>
        <v>258980.36947199996</v>
      </c>
      <c r="BT66" s="1334">
        <f t="shared" si="105"/>
        <v>0</v>
      </c>
      <c r="BU66" s="1334">
        <f t="shared" si="105"/>
        <v>0</v>
      </c>
      <c r="BV66" s="1334">
        <f t="shared" si="65"/>
        <v>0</v>
      </c>
      <c r="BW66" s="1334">
        <f t="shared" si="19"/>
        <v>0</v>
      </c>
      <c r="BX66" s="1334">
        <f t="shared" si="66"/>
        <v>258980.36947199996</v>
      </c>
      <c r="BY66" s="1334">
        <f t="shared" si="67"/>
        <v>258980.36947199996</v>
      </c>
      <c r="BZ66" s="1389">
        <f t="shared" si="68"/>
        <v>0</v>
      </c>
      <c r="CA66" s="1389">
        <f t="shared" si="68"/>
        <v>0</v>
      </c>
      <c r="CB66" s="1389">
        <f t="shared" si="69"/>
        <v>0</v>
      </c>
      <c r="CC66" s="1420" t="e">
        <f t="shared" si="70"/>
        <v>#DIV/0!</v>
      </c>
      <c r="CD66" s="1420" t="e">
        <f t="shared" si="70"/>
        <v>#DIV/0!</v>
      </c>
      <c r="CE66" s="1420" t="e">
        <f t="shared" si="44"/>
        <v>#DIV/0!</v>
      </c>
      <c r="CF66" s="1389" t="e">
        <f t="shared" si="20"/>
        <v>#DIV/0!</v>
      </c>
      <c r="CG66" s="1421">
        <f t="shared" si="21"/>
        <v>0</v>
      </c>
      <c r="CH66" s="1421" t="e">
        <f t="shared" si="45"/>
        <v>#DIV/0!</v>
      </c>
      <c r="CI66" s="1389"/>
      <c r="CJ66" s="1756">
        <f t="shared" si="129"/>
        <v>393.35362823999992</v>
      </c>
      <c r="CK66" s="1756">
        <f t="shared" si="22"/>
        <v>258.98036947199995</v>
      </c>
      <c r="CL66" s="1756">
        <f t="shared" si="47"/>
        <v>652.33399771199993</v>
      </c>
      <c r="CM66" s="1334">
        <f t="shared" si="48"/>
        <v>704.972048352</v>
      </c>
      <c r="CN66" s="1334">
        <f t="shared" si="49"/>
        <v>52.638050640000074</v>
      </c>
      <c r="CO66" s="1334">
        <f t="shared" si="23"/>
        <v>652333.99771199992</v>
      </c>
      <c r="CP66" s="1334">
        <f t="shared" si="24"/>
        <v>621767.90769599983</v>
      </c>
      <c r="CQ66" s="1334">
        <f t="shared" si="25"/>
        <v>621767.90769599983</v>
      </c>
      <c r="CR66" s="1334">
        <f t="shared" si="26"/>
        <v>393353.62823999993</v>
      </c>
      <c r="CS66" s="1334">
        <f t="shared" si="27"/>
        <v>704972.04835199995</v>
      </c>
      <c r="CT66" s="1334">
        <f t="shared" si="28"/>
        <v>704972.04835199995</v>
      </c>
      <c r="CU66" s="1334">
        <f t="shared" si="29"/>
        <v>258980.36947199996</v>
      </c>
      <c r="CV66" s="1334">
        <f t="shared" si="50"/>
        <v>1326739.9560479997</v>
      </c>
      <c r="CW66" s="1422">
        <f t="shared" si="51"/>
        <v>7073.5319999999983</v>
      </c>
      <c r="CX66" s="1334">
        <f t="shared" si="30"/>
        <v>0</v>
      </c>
      <c r="CY66" s="1334">
        <f t="shared" si="31"/>
        <v>0</v>
      </c>
      <c r="CZ66" s="1334"/>
      <c r="DA66" s="1334">
        <f t="shared" si="32"/>
        <v>621767.90769599983</v>
      </c>
      <c r="DB66" s="1334">
        <f t="shared" si="33"/>
        <v>704972.04835199995</v>
      </c>
      <c r="DC66" s="1223"/>
      <c r="DD66" s="1224" t="e">
        <f t="shared" si="52"/>
        <v>#DIV/0!</v>
      </c>
      <c r="DE66" s="1223"/>
      <c r="DF66" s="1223"/>
      <c r="DG66" s="1223"/>
      <c r="DH66" s="1494"/>
      <c r="DI66" s="1494"/>
      <c r="DJ66" s="1494"/>
      <c r="DK66" s="1389"/>
      <c r="DL66" s="1419">
        <f t="shared" si="34"/>
        <v>0</v>
      </c>
      <c r="DM66" s="1419">
        <f t="shared" si="35"/>
        <v>0</v>
      </c>
      <c r="DN66" s="1419">
        <f t="shared" si="36"/>
        <v>0</v>
      </c>
      <c r="DO66" s="819"/>
      <c r="DP66" s="1315"/>
      <c r="DQ66" s="1315"/>
      <c r="DR66" s="1315"/>
      <c r="DS66" s="1315"/>
      <c r="DT66" s="1315"/>
      <c r="DU66" s="1315"/>
      <c r="DV66" s="1315"/>
      <c r="DW66" s="1315"/>
      <c r="DX66" s="1315"/>
      <c r="DY66" s="1315"/>
      <c r="DZ66" s="1315"/>
      <c r="EA66" s="1315"/>
      <c r="EB66" s="1315"/>
      <c r="EC66" s="1315"/>
      <c r="ED66" s="1315"/>
      <c r="EE66" s="1315"/>
      <c r="EF66" s="1315"/>
      <c r="EG66" s="1315"/>
      <c r="EH66" s="1315"/>
      <c r="EI66" s="1315"/>
      <c r="EJ66" s="1315"/>
      <c r="EK66" s="1315"/>
      <c r="EL66" s="1315"/>
    </row>
    <row r="67" spans="1:142" s="50" customFormat="1" ht="75" hidden="1" customHeight="1">
      <c r="A67" s="6">
        <f t="shared" si="53"/>
        <v>54</v>
      </c>
      <c r="B67" s="1330" t="s">
        <v>23</v>
      </c>
      <c r="C67" s="1400" t="s">
        <v>68</v>
      </c>
      <c r="D67" s="1330" t="s">
        <v>24</v>
      </c>
      <c r="E67" s="1331">
        <v>4616008283</v>
      </c>
      <c r="F67" s="1330" t="s">
        <v>8</v>
      </c>
      <c r="G67" s="1332" t="s">
        <v>1021</v>
      </c>
      <c r="H67" s="1695">
        <v>3478.3346220056919</v>
      </c>
      <c r="I67" s="1696">
        <v>3478.3346220056919</v>
      </c>
      <c r="J67" s="1335">
        <v>3122.7852000000003</v>
      </c>
      <c r="K67" s="1335">
        <v>3122.7852000000003</v>
      </c>
      <c r="L67" s="1335">
        <v>3478.3346220056919</v>
      </c>
      <c r="M67" s="1390"/>
      <c r="N67" s="1371">
        <v>3853.91</v>
      </c>
      <c r="O67" s="1372">
        <v>3853.91</v>
      </c>
      <c r="P67" s="1372">
        <v>3572.47</v>
      </c>
      <c r="Q67" s="1372">
        <v>3572.47</v>
      </c>
      <c r="R67" s="1335">
        <v>3853.91</v>
      </c>
      <c r="S67" s="1370"/>
      <c r="T67" s="1432">
        <v>4222.33</v>
      </c>
      <c r="U67" s="1431">
        <v>1260.886</v>
      </c>
      <c r="V67" s="1341">
        <v>39.804000000000002</v>
      </c>
      <c r="W67" s="1341">
        <v>375.74</v>
      </c>
      <c r="X67" s="1341">
        <v>0</v>
      </c>
      <c r="Y67" s="1341">
        <v>0</v>
      </c>
      <c r="Z67" s="1364">
        <f>SUM(T67:W67)</f>
        <v>5898.76</v>
      </c>
      <c r="AA67" s="1433">
        <v>2490.3200000000002</v>
      </c>
      <c r="AB67" s="1431">
        <v>901.81399999999996</v>
      </c>
      <c r="AC67" s="1341">
        <v>26.536000000000001</v>
      </c>
      <c r="AD67" s="1341">
        <v>112.84</v>
      </c>
      <c r="AE67" s="1341">
        <v>0</v>
      </c>
      <c r="AF67" s="1341">
        <v>0</v>
      </c>
      <c r="AG67" s="1344">
        <f>SUM(AA67:AD67)</f>
        <v>3531.51</v>
      </c>
      <c r="AH67" s="1340">
        <f>Z67+AG67</f>
        <v>9430.27</v>
      </c>
      <c r="AI67" s="1431">
        <f>T67+AA67</f>
        <v>6712.65</v>
      </c>
      <c r="AJ67" s="1431">
        <f>U67+AB67</f>
        <v>2162.6999999999998</v>
      </c>
      <c r="AK67" s="1341">
        <f>V67+AC67</f>
        <v>66.34</v>
      </c>
      <c r="AL67" s="1341">
        <f>W67+AD67</f>
        <v>488.58000000000004</v>
      </c>
      <c r="AM67" s="1341">
        <f t="shared" si="82"/>
        <v>0</v>
      </c>
      <c r="AN67" s="1341"/>
      <c r="AO67" s="1431">
        <f>SUM(AI67:AN67)</f>
        <v>9430.2699999999986</v>
      </c>
      <c r="AP67" s="1431">
        <f>SUM(AI67:AM67)</f>
        <v>9430.2699999999986</v>
      </c>
      <c r="AQ67" s="1442">
        <f>SUM(AI67:AL67)</f>
        <v>9430.2699999999986</v>
      </c>
      <c r="AR67" s="1346">
        <f t="shared" si="41"/>
        <v>0</v>
      </c>
      <c r="AS67" s="1347">
        <f t="shared" si="124"/>
        <v>23348842.900406506</v>
      </c>
      <c r="AT67" s="1341">
        <f t="shared" si="124"/>
        <v>6753647.5520400004</v>
      </c>
      <c r="AU67" s="1341">
        <f t="shared" si="124"/>
        <v>207165.57016800003</v>
      </c>
      <c r="AV67" s="1341">
        <f t="shared" si="124"/>
        <v>1699444.7296195412</v>
      </c>
      <c r="AW67" s="1341">
        <f t="shared" si="124"/>
        <v>0</v>
      </c>
      <c r="AX67" s="1341">
        <f t="shared" si="54"/>
        <v>32009100.752234045</v>
      </c>
      <c r="AY67" s="1341">
        <f t="shared" si="55"/>
        <v>32009100.752234045</v>
      </c>
      <c r="AZ67" s="1341">
        <f t="shared" si="125"/>
        <v>25869948.961499996</v>
      </c>
      <c r="BA67" s="1341">
        <f t="shared" si="125"/>
        <v>7726180.868999999</v>
      </c>
      <c r="BB67" s="1341">
        <f t="shared" si="125"/>
        <v>236997.65979999999</v>
      </c>
      <c r="BC67" s="1341">
        <f t="shared" si="125"/>
        <v>1882943.3478000001</v>
      </c>
      <c r="BD67" s="1341">
        <f t="shared" si="125"/>
        <v>0</v>
      </c>
      <c r="BE67" s="1341">
        <f t="shared" si="56"/>
        <v>35716070.838099994</v>
      </c>
      <c r="BF67" s="1345">
        <f t="shared" si="60"/>
        <v>35716070.838099994</v>
      </c>
      <c r="BG67" s="1348">
        <v>462.45</v>
      </c>
      <c r="BH67" s="1341">
        <v>261.27999999999997</v>
      </c>
      <c r="BI67" s="1341">
        <f>BG67+BH67</f>
        <v>723.73</v>
      </c>
      <c r="BJ67" s="1384">
        <v>34127.947036475904</v>
      </c>
      <c r="BK67" s="1671">
        <v>34440.639999999999</v>
      </c>
      <c r="BL67" s="1341">
        <f>I67*T67</f>
        <v>14686676.624533294</v>
      </c>
      <c r="BM67" s="1341">
        <f>J67*U67</f>
        <v>3937476.1396872001</v>
      </c>
      <c r="BN67" s="1341">
        <f>K67*V67</f>
        <v>124299.34210080002</v>
      </c>
      <c r="BO67" s="1341">
        <f>L67*W67</f>
        <v>1306949.4508724187</v>
      </c>
      <c r="BP67" s="1341">
        <f t="shared" si="104"/>
        <v>0</v>
      </c>
      <c r="BQ67" s="1341">
        <f>BL67+BM67+BN67+BO67+BP67</f>
        <v>20055401.557193711</v>
      </c>
      <c r="BR67" s="1341">
        <f>BQ67-BP67</f>
        <v>20055401.557193711</v>
      </c>
      <c r="BS67" s="1341">
        <f>O67*AA67</f>
        <v>9597469.1512000002</v>
      </c>
      <c r="BT67" s="1341">
        <f>P67*AB67</f>
        <v>3221703.4605799997</v>
      </c>
      <c r="BU67" s="1341">
        <f>Q67*AC67</f>
        <v>94799.063920000001</v>
      </c>
      <c r="BV67" s="1341">
        <f>R67*W67</f>
        <v>1448068.1433999999</v>
      </c>
      <c r="BW67" s="1341">
        <f t="shared" si="19"/>
        <v>0</v>
      </c>
      <c r="BX67" s="1341">
        <f>BS67+BT67+BU67+BV67+BW67</f>
        <v>14362039.8191</v>
      </c>
      <c r="BY67" s="1341">
        <f>BX67-BW67</f>
        <v>14362039.8191</v>
      </c>
      <c r="BZ67" s="1349">
        <f>BM67+BT67</f>
        <v>7159179.6002671998</v>
      </c>
      <c r="CA67" s="1349">
        <f>BN67+BU67</f>
        <v>219098.4060208</v>
      </c>
      <c r="CB67" s="1349">
        <f>BZ67+CA67</f>
        <v>7378278.0062879995</v>
      </c>
      <c r="CC67" s="1351">
        <f t="shared" si="70"/>
        <v>3310.297128712813</v>
      </c>
      <c r="CD67" s="1351">
        <f t="shared" si="70"/>
        <v>3302.6591199999998</v>
      </c>
      <c r="CE67" s="1351">
        <f t="shared" si="44"/>
        <v>3310.0698086566413</v>
      </c>
      <c r="CF67" s="1351">
        <f t="shared" si="20"/>
        <v>3310.0698086566413</v>
      </c>
      <c r="CG67" s="1367">
        <f t="shared" si="21"/>
        <v>8102012.4079965828</v>
      </c>
      <c r="CH67" s="1367">
        <f t="shared" si="45"/>
        <v>3634.7541578422024</v>
      </c>
      <c r="CI67" s="1423"/>
      <c r="CJ67" s="1341">
        <f t="shared" si="71"/>
        <v>22733.290151599998</v>
      </c>
      <c r="CK67" s="1341">
        <f t="shared" si="22"/>
        <v>13610.1217041</v>
      </c>
      <c r="CL67" s="1366">
        <f t="shared" si="47"/>
        <v>36343.411855699997</v>
      </c>
      <c r="CM67" s="1341">
        <f t="shared" si="48"/>
        <v>36343.411855700004</v>
      </c>
      <c r="CN67" s="1341">
        <f t="shared" si="49"/>
        <v>0</v>
      </c>
      <c r="CO67" s="1341">
        <f t="shared" si="23"/>
        <v>34127982.839002296</v>
      </c>
      <c r="CP67" s="1341">
        <f t="shared" si="24"/>
        <v>32009100.752234045</v>
      </c>
      <c r="CQ67" s="1341">
        <f t="shared" si="25"/>
        <v>32009100.752234045</v>
      </c>
      <c r="CR67" s="1341">
        <f t="shared" si="26"/>
        <v>20055401.557193711</v>
      </c>
      <c r="CS67" s="1341">
        <f t="shared" si="27"/>
        <v>35716070.838099994</v>
      </c>
      <c r="CT67" s="1341">
        <f t="shared" si="28"/>
        <v>35716070.838100001</v>
      </c>
      <c r="CU67" s="1341">
        <f t="shared" si="29"/>
        <v>13348846.880099999</v>
      </c>
      <c r="CV67" s="1341">
        <f t="shared" si="50"/>
        <v>67725171.590334043</v>
      </c>
      <c r="CW67" s="1350">
        <f t="shared" si="51"/>
        <v>7181.6789540844575</v>
      </c>
      <c r="CX67" s="1341">
        <f t="shared" si="30"/>
        <v>6960813.1222080002</v>
      </c>
      <c r="CY67" s="1341">
        <f t="shared" si="31"/>
        <v>7963178.5287999986</v>
      </c>
      <c r="CZ67" s="1341"/>
      <c r="DA67" s="1341">
        <f t="shared" si="32"/>
        <v>32801634.635861613</v>
      </c>
      <c r="DB67" s="1341">
        <f t="shared" si="33"/>
        <v>36343411.855699994</v>
      </c>
      <c r="DC67" s="1575"/>
      <c r="DD67" s="40">
        <f t="shared" si="52"/>
        <v>123.41258694321976</v>
      </c>
      <c r="DE67" s="1575"/>
      <c r="DF67" s="1575"/>
      <c r="DG67" s="1575"/>
      <c r="DH67" s="1670">
        <v>9430.27</v>
      </c>
      <c r="DI67" s="1670">
        <v>2229.04</v>
      </c>
      <c r="DJ67" s="1487">
        <f t="shared" si="57"/>
        <v>7201.2300000000005</v>
      </c>
      <c r="DK67" s="1423"/>
      <c r="DL67" s="1352">
        <f t="shared" si="34"/>
        <v>0</v>
      </c>
      <c r="DM67" s="1352">
        <f t="shared" si="35"/>
        <v>0</v>
      </c>
      <c r="DN67" s="1352">
        <f t="shared" si="36"/>
        <v>0</v>
      </c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</row>
    <row r="68" spans="1:142" s="1313" customFormat="1" ht="72.75" hidden="1" customHeight="1">
      <c r="A68" s="6">
        <f t="shared" si="53"/>
        <v>55</v>
      </c>
      <c r="B68" s="1330"/>
      <c r="C68" s="1753" t="s">
        <v>106</v>
      </c>
      <c r="D68" s="1706" t="s">
        <v>141</v>
      </c>
      <c r="E68" s="1331">
        <v>4632024035</v>
      </c>
      <c r="F68" s="1330" t="s">
        <v>8</v>
      </c>
      <c r="G68" s="1682" t="s">
        <v>1034</v>
      </c>
      <c r="H68" s="1700">
        <v>3314.9639999999995</v>
      </c>
      <c r="I68" s="1701">
        <f t="shared" ref="I68:I69" si="137">H68</f>
        <v>3314.9639999999995</v>
      </c>
      <c r="J68" s="1335"/>
      <c r="K68" s="1335"/>
      <c r="L68" s="1700">
        <v>3314.9639999999995</v>
      </c>
      <c r="M68" s="1390"/>
      <c r="N68" s="1703">
        <f t="shared" ref="N68:N69" si="138">3132.14*1.2</f>
        <v>3758.5679999999998</v>
      </c>
      <c r="O68" s="1704">
        <f t="shared" ref="O68:O69" si="139">N68</f>
        <v>3758.5679999999998</v>
      </c>
      <c r="P68" s="1335"/>
      <c r="Q68" s="1335"/>
      <c r="R68" s="1335">
        <f t="shared" ref="R68:R69" si="140">O68</f>
        <v>3758.5679999999998</v>
      </c>
      <c r="S68" s="1390"/>
      <c r="T68" s="1751">
        <v>425.62399999999997</v>
      </c>
      <c r="U68" s="1810"/>
      <c r="V68" s="1810"/>
      <c r="W68" s="1334"/>
      <c r="X68" s="1334"/>
      <c r="Y68" s="1334"/>
      <c r="Z68" s="1393">
        <f t="shared" si="8"/>
        <v>425.62399999999997</v>
      </c>
      <c r="AA68" s="1752">
        <v>277.774</v>
      </c>
      <c r="AB68" s="1810"/>
      <c r="AC68" s="1810"/>
      <c r="AD68" s="1334"/>
      <c r="AE68" s="1334"/>
      <c r="AF68" s="1334"/>
      <c r="AG68" s="1395">
        <f t="shared" si="58"/>
        <v>277.774</v>
      </c>
      <c r="AH68" s="1391">
        <f t="shared" si="59"/>
        <v>703.39799999999991</v>
      </c>
      <c r="AI68" s="1334">
        <f t="shared" si="82"/>
        <v>703.39799999999991</v>
      </c>
      <c r="AJ68" s="1334">
        <f t="shared" si="82"/>
        <v>0</v>
      </c>
      <c r="AK68" s="1334">
        <f t="shared" si="82"/>
        <v>0</v>
      </c>
      <c r="AL68" s="1334">
        <f t="shared" si="82"/>
        <v>0</v>
      </c>
      <c r="AM68" s="1334">
        <f t="shared" si="82"/>
        <v>0</v>
      </c>
      <c r="AN68" s="1334"/>
      <c r="AO68" s="1334">
        <f t="shared" si="79"/>
        <v>703.39799999999991</v>
      </c>
      <c r="AP68" s="1334">
        <f t="shared" si="80"/>
        <v>703.39799999999991</v>
      </c>
      <c r="AQ68" s="1396">
        <f t="shared" si="81"/>
        <v>703.39799999999991</v>
      </c>
      <c r="AR68" s="1417">
        <f t="shared" si="41"/>
        <v>0</v>
      </c>
      <c r="AS68" s="1333">
        <f t="shared" si="124"/>
        <v>2331739.0476719993</v>
      </c>
      <c r="AT68" s="1334">
        <f t="shared" si="124"/>
        <v>0</v>
      </c>
      <c r="AU68" s="1334">
        <f t="shared" si="124"/>
        <v>0</v>
      </c>
      <c r="AV68" s="1334">
        <f t="shared" si="124"/>
        <v>0</v>
      </c>
      <c r="AW68" s="1334">
        <f t="shared" si="124"/>
        <v>0</v>
      </c>
      <c r="AX68" s="1334">
        <f t="shared" si="54"/>
        <v>2331739.0476719993</v>
      </c>
      <c r="AY68" s="1334">
        <f t="shared" si="55"/>
        <v>2331739.0476719993</v>
      </c>
      <c r="AZ68" s="1334">
        <f t="shared" si="125"/>
        <v>2643769.2140639997</v>
      </c>
      <c r="BA68" s="1334">
        <f t="shared" si="125"/>
        <v>0</v>
      </c>
      <c r="BB68" s="1334">
        <f t="shared" si="125"/>
        <v>0</v>
      </c>
      <c r="BC68" s="1334">
        <f t="shared" si="125"/>
        <v>0</v>
      </c>
      <c r="BD68" s="1334">
        <f t="shared" si="125"/>
        <v>0</v>
      </c>
      <c r="BE68" s="1334">
        <f t="shared" si="56"/>
        <v>2643769.2140639997</v>
      </c>
      <c r="BF68" s="1396">
        <f t="shared" si="60"/>
        <v>2643769.2140639997</v>
      </c>
      <c r="BG68" s="1397">
        <f t="shared" ref="BG68:BG69" si="141">(H68-J68)/1.2*U68/1000+(H68-K68)/1.2*V68/1000</f>
        <v>0</v>
      </c>
      <c r="BH68" s="1398">
        <f t="shared" ref="BH68:BH69" si="142">(O68-P68)*AB68/1000/1.2+(O68-Q68)/1.2*AC68/1000</f>
        <v>0</v>
      </c>
      <c r="BI68" s="1399">
        <f t="shared" ref="BI68:BI128" si="143">BG68+BH68</f>
        <v>0</v>
      </c>
      <c r="BJ68" s="1334"/>
      <c r="BK68" s="1643"/>
      <c r="BL68" s="1334">
        <f t="shared" si="104"/>
        <v>1410928.2375359996</v>
      </c>
      <c r="BM68" s="1334">
        <f t="shared" si="104"/>
        <v>0</v>
      </c>
      <c r="BN68" s="1334">
        <f t="shared" si="104"/>
        <v>0</v>
      </c>
      <c r="BO68" s="1334">
        <f t="shared" si="104"/>
        <v>0</v>
      </c>
      <c r="BP68" s="1334">
        <f t="shared" si="104"/>
        <v>0</v>
      </c>
      <c r="BQ68" s="1334">
        <f t="shared" si="62"/>
        <v>1410928.2375359996</v>
      </c>
      <c r="BR68" s="1334">
        <f t="shared" si="63"/>
        <v>1410928.2375359996</v>
      </c>
      <c r="BS68" s="1334">
        <f t="shared" si="105"/>
        <v>1044032.467632</v>
      </c>
      <c r="BT68" s="1334">
        <f t="shared" si="105"/>
        <v>0</v>
      </c>
      <c r="BU68" s="1334">
        <f t="shared" si="105"/>
        <v>0</v>
      </c>
      <c r="BV68" s="1334">
        <f t="shared" si="65"/>
        <v>0</v>
      </c>
      <c r="BW68" s="1334">
        <f t="shared" si="19"/>
        <v>0</v>
      </c>
      <c r="BX68" s="1334">
        <f t="shared" si="66"/>
        <v>1044032.467632</v>
      </c>
      <c r="BY68" s="1334">
        <f t="shared" si="67"/>
        <v>1044032.467632</v>
      </c>
      <c r="BZ68" s="1389">
        <f t="shared" si="68"/>
        <v>0</v>
      </c>
      <c r="CA68" s="1389">
        <f t="shared" si="68"/>
        <v>0</v>
      </c>
      <c r="CB68" s="1389">
        <f t="shared" si="69"/>
        <v>0</v>
      </c>
      <c r="CC68" s="1420" t="e">
        <f t="shared" si="70"/>
        <v>#DIV/0!</v>
      </c>
      <c r="CD68" s="1420" t="e">
        <f t="shared" si="70"/>
        <v>#DIV/0!</v>
      </c>
      <c r="CE68" s="1420" t="e">
        <f t="shared" si="44"/>
        <v>#DIV/0!</v>
      </c>
      <c r="CF68" s="1389" t="e">
        <f t="shared" si="20"/>
        <v>#DIV/0!</v>
      </c>
      <c r="CG68" s="1421">
        <f t="shared" si="21"/>
        <v>0</v>
      </c>
      <c r="CH68" s="1421" t="e">
        <f t="shared" si="45"/>
        <v>#DIV/0!</v>
      </c>
      <c r="CI68" s="1389"/>
      <c r="CJ68" s="1756">
        <f t="shared" ref="CJ68:CJ69" si="144">H68*Z68/1000</f>
        <v>1410.9282375359996</v>
      </c>
      <c r="CK68" s="1756">
        <f t="shared" si="22"/>
        <v>1044.0324676319999</v>
      </c>
      <c r="CL68" s="1756">
        <f t="shared" si="47"/>
        <v>2454.9607051679995</v>
      </c>
      <c r="CM68" s="1334">
        <f t="shared" si="48"/>
        <v>2643.7692140639997</v>
      </c>
      <c r="CN68" s="1334">
        <f t="shared" si="49"/>
        <v>188.80850889600015</v>
      </c>
      <c r="CO68" s="1334">
        <f t="shared" si="23"/>
        <v>2454960.7051679995</v>
      </c>
      <c r="CP68" s="1334">
        <f t="shared" si="24"/>
        <v>2331739.0476719993</v>
      </c>
      <c r="CQ68" s="1334">
        <f t="shared" si="25"/>
        <v>2331739.0476719993</v>
      </c>
      <c r="CR68" s="1334">
        <f t="shared" si="26"/>
        <v>1410928.2375359996</v>
      </c>
      <c r="CS68" s="1334">
        <f t="shared" si="27"/>
        <v>2643769.2140639997</v>
      </c>
      <c r="CT68" s="1334">
        <f t="shared" si="28"/>
        <v>2643769.2140639997</v>
      </c>
      <c r="CU68" s="1334">
        <f t="shared" si="29"/>
        <v>1044032.467632</v>
      </c>
      <c r="CV68" s="1334">
        <f t="shared" si="50"/>
        <v>4975508.261735999</v>
      </c>
      <c r="CW68" s="1422">
        <f t="shared" si="51"/>
        <v>7073.5319999999992</v>
      </c>
      <c r="CX68" s="1334">
        <f t="shared" si="30"/>
        <v>0</v>
      </c>
      <c r="CY68" s="1334">
        <f t="shared" si="31"/>
        <v>0</v>
      </c>
      <c r="CZ68" s="1334"/>
      <c r="DA68" s="1334">
        <f t="shared" si="32"/>
        <v>2331739.0476719993</v>
      </c>
      <c r="DB68" s="1334">
        <f t="shared" si="33"/>
        <v>2643769.2140639997</v>
      </c>
      <c r="DC68" s="1223"/>
      <c r="DD68" s="1224" t="e">
        <f t="shared" si="52"/>
        <v>#DIV/0!</v>
      </c>
      <c r="DE68" s="1223"/>
      <c r="DF68" s="1223"/>
      <c r="DG68" s="1223"/>
      <c r="DH68" s="1494"/>
      <c r="DI68" s="1494"/>
      <c r="DJ68" s="1494"/>
      <c r="DK68" s="1389"/>
      <c r="DL68" s="1419">
        <f t="shared" si="34"/>
        <v>0</v>
      </c>
      <c r="DM68" s="1419">
        <f t="shared" si="35"/>
        <v>0</v>
      </c>
      <c r="DN68" s="1419">
        <f t="shared" si="36"/>
        <v>0</v>
      </c>
      <c r="DO68" s="819"/>
      <c r="DP68" s="1315"/>
      <c r="DQ68" s="1315"/>
      <c r="DR68" s="1315"/>
      <c r="DS68" s="1315"/>
      <c r="DT68" s="1315"/>
      <c r="DU68" s="1315"/>
      <c r="DV68" s="1315"/>
      <c r="DW68" s="1315"/>
      <c r="DX68" s="1315"/>
      <c r="DY68" s="1315"/>
      <c r="DZ68" s="1315"/>
      <c r="EA68" s="1315"/>
      <c r="EB68" s="1315"/>
      <c r="EC68" s="1315"/>
      <c r="ED68" s="1315"/>
      <c r="EE68" s="1315"/>
      <c r="EF68" s="1315"/>
      <c r="EG68" s="1315"/>
      <c r="EH68" s="1315"/>
      <c r="EI68" s="1315"/>
      <c r="EJ68" s="1315"/>
      <c r="EK68" s="1315"/>
      <c r="EL68" s="1315"/>
    </row>
    <row r="69" spans="1:142" s="1313" customFormat="1" ht="77.25" hidden="1" customHeight="1">
      <c r="A69" s="6">
        <f t="shared" si="53"/>
        <v>56</v>
      </c>
      <c r="B69" s="1330"/>
      <c r="C69" s="1753" t="s">
        <v>107</v>
      </c>
      <c r="D69" s="1706" t="s">
        <v>141</v>
      </c>
      <c r="E69" s="1331">
        <v>4632024035</v>
      </c>
      <c r="F69" s="1330" t="s">
        <v>8</v>
      </c>
      <c r="G69" s="1682" t="s">
        <v>1034</v>
      </c>
      <c r="H69" s="1700">
        <v>3314.9639999999995</v>
      </c>
      <c r="I69" s="1701">
        <f t="shared" si="137"/>
        <v>3314.9639999999995</v>
      </c>
      <c r="J69" s="1335"/>
      <c r="K69" s="1335"/>
      <c r="L69" s="1700">
        <v>3314.9639999999995</v>
      </c>
      <c r="M69" s="1390"/>
      <c r="N69" s="1703">
        <f t="shared" si="138"/>
        <v>3758.5679999999998</v>
      </c>
      <c r="O69" s="1704">
        <f t="shared" si="139"/>
        <v>3758.5679999999998</v>
      </c>
      <c r="P69" s="1335"/>
      <c r="Q69" s="1335"/>
      <c r="R69" s="1335">
        <f t="shared" si="140"/>
        <v>3758.5679999999998</v>
      </c>
      <c r="S69" s="1390"/>
      <c r="T69" s="1751">
        <v>111.73699999999999</v>
      </c>
      <c r="U69" s="1827"/>
      <c r="V69" s="1828"/>
      <c r="W69" s="1338"/>
      <c r="X69" s="1338"/>
      <c r="Y69" s="1338"/>
      <c r="Z69" s="1393">
        <f t="shared" si="8"/>
        <v>111.73699999999999</v>
      </c>
      <c r="AA69" s="1752">
        <v>97.44</v>
      </c>
      <c r="AB69" s="1810"/>
      <c r="AC69" s="1810"/>
      <c r="AD69" s="1334"/>
      <c r="AE69" s="1334"/>
      <c r="AF69" s="1334"/>
      <c r="AG69" s="1395">
        <f t="shared" si="58"/>
        <v>97.44</v>
      </c>
      <c r="AH69" s="1391">
        <f t="shared" si="59"/>
        <v>209.17699999999999</v>
      </c>
      <c r="AI69" s="1334">
        <f t="shared" si="82"/>
        <v>209.17699999999999</v>
      </c>
      <c r="AJ69" s="1334">
        <f t="shared" si="82"/>
        <v>0</v>
      </c>
      <c r="AK69" s="1334">
        <f t="shared" si="82"/>
        <v>0</v>
      </c>
      <c r="AL69" s="1334">
        <f t="shared" si="82"/>
        <v>0</v>
      </c>
      <c r="AM69" s="1334">
        <f t="shared" si="82"/>
        <v>0</v>
      </c>
      <c r="AN69" s="1334"/>
      <c r="AO69" s="1334">
        <f t="shared" si="79"/>
        <v>209.17699999999999</v>
      </c>
      <c r="AP69" s="1334">
        <f t="shared" si="80"/>
        <v>209.17699999999999</v>
      </c>
      <c r="AQ69" s="1396">
        <f t="shared" si="81"/>
        <v>209.17699999999999</v>
      </c>
      <c r="AR69" s="1417">
        <f t="shared" si="41"/>
        <v>0</v>
      </c>
      <c r="AS69" s="1333">
        <f t="shared" si="124"/>
        <v>693414.22462799982</v>
      </c>
      <c r="AT69" s="1334">
        <f t="shared" si="124"/>
        <v>0</v>
      </c>
      <c r="AU69" s="1334">
        <f t="shared" si="124"/>
        <v>0</v>
      </c>
      <c r="AV69" s="1334">
        <f t="shared" si="124"/>
        <v>0</v>
      </c>
      <c r="AW69" s="1334">
        <f t="shared" si="124"/>
        <v>0</v>
      </c>
      <c r="AX69" s="1334">
        <f t="shared" si="54"/>
        <v>693414.22462799982</v>
      </c>
      <c r="AY69" s="1334">
        <f t="shared" si="55"/>
        <v>693414.22462799982</v>
      </c>
      <c r="AZ69" s="1334">
        <f t="shared" si="125"/>
        <v>786205.97853599989</v>
      </c>
      <c r="BA69" s="1334">
        <f t="shared" si="125"/>
        <v>0</v>
      </c>
      <c r="BB69" s="1334">
        <f t="shared" si="125"/>
        <v>0</v>
      </c>
      <c r="BC69" s="1334">
        <f t="shared" si="125"/>
        <v>0</v>
      </c>
      <c r="BD69" s="1334">
        <f t="shared" si="125"/>
        <v>0</v>
      </c>
      <c r="BE69" s="1334">
        <f t="shared" si="56"/>
        <v>786205.97853599989</v>
      </c>
      <c r="BF69" s="1396">
        <f t="shared" si="60"/>
        <v>786205.97853599989</v>
      </c>
      <c r="BG69" s="1397">
        <f t="shared" si="141"/>
        <v>0</v>
      </c>
      <c r="BH69" s="1398">
        <f t="shared" si="142"/>
        <v>0</v>
      </c>
      <c r="BI69" s="1399">
        <f t="shared" si="143"/>
        <v>0</v>
      </c>
      <c r="BJ69" s="1334"/>
      <c r="BK69" s="1643"/>
      <c r="BL69" s="1334">
        <f t="shared" si="104"/>
        <v>370404.13246799994</v>
      </c>
      <c r="BM69" s="1334">
        <f t="shared" si="104"/>
        <v>0</v>
      </c>
      <c r="BN69" s="1334">
        <f t="shared" si="104"/>
        <v>0</v>
      </c>
      <c r="BO69" s="1334">
        <f t="shared" si="104"/>
        <v>0</v>
      </c>
      <c r="BP69" s="1334">
        <f t="shared" si="104"/>
        <v>0</v>
      </c>
      <c r="BQ69" s="1334">
        <f t="shared" si="62"/>
        <v>370404.13246799994</v>
      </c>
      <c r="BR69" s="1334">
        <f t="shared" si="63"/>
        <v>370404.13246799994</v>
      </c>
      <c r="BS69" s="1334">
        <f t="shared" si="105"/>
        <v>366234.86591999995</v>
      </c>
      <c r="BT69" s="1334">
        <f t="shared" si="105"/>
        <v>0</v>
      </c>
      <c r="BU69" s="1334">
        <f t="shared" si="105"/>
        <v>0</v>
      </c>
      <c r="BV69" s="1334">
        <f t="shared" si="65"/>
        <v>0</v>
      </c>
      <c r="BW69" s="1334">
        <f t="shared" si="19"/>
        <v>0</v>
      </c>
      <c r="BX69" s="1334">
        <f t="shared" si="66"/>
        <v>366234.86591999995</v>
      </c>
      <c r="BY69" s="1334">
        <f t="shared" si="67"/>
        <v>366234.86591999995</v>
      </c>
      <c r="BZ69" s="1389">
        <f t="shared" si="68"/>
        <v>0</v>
      </c>
      <c r="CA69" s="1389">
        <f t="shared" si="68"/>
        <v>0</v>
      </c>
      <c r="CB69" s="1389">
        <f t="shared" si="69"/>
        <v>0</v>
      </c>
      <c r="CC69" s="1420" t="e">
        <f t="shared" si="70"/>
        <v>#DIV/0!</v>
      </c>
      <c r="CD69" s="1420" t="e">
        <f t="shared" si="70"/>
        <v>#DIV/0!</v>
      </c>
      <c r="CE69" s="1420" t="e">
        <f t="shared" si="44"/>
        <v>#DIV/0!</v>
      </c>
      <c r="CF69" s="1389" t="e">
        <f t="shared" si="20"/>
        <v>#DIV/0!</v>
      </c>
      <c r="CG69" s="1421">
        <f t="shared" si="21"/>
        <v>0</v>
      </c>
      <c r="CH69" s="1421" t="e">
        <f t="shared" si="45"/>
        <v>#DIV/0!</v>
      </c>
      <c r="CI69" s="1389"/>
      <c r="CJ69" s="1756">
        <f t="shared" si="144"/>
        <v>370.40413246799994</v>
      </c>
      <c r="CK69" s="1756">
        <f t="shared" si="22"/>
        <v>366.23486591999995</v>
      </c>
      <c r="CL69" s="1756">
        <f t="shared" si="47"/>
        <v>736.63899838799989</v>
      </c>
      <c r="CM69" s="1334">
        <f t="shared" si="48"/>
        <v>786.20597853599986</v>
      </c>
      <c r="CN69" s="1334">
        <f t="shared" si="49"/>
        <v>49.566980147999971</v>
      </c>
      <c r="CO69" s="1334">
        <f t="shared" si="23"/>
        <v>736638.99838799983</v>
      </c>
      <c r="CP69" s="1334">
        <f t="shared" si="24"/>
        <v>693414.22462799982</v>
      </c>
      <c r="CQ69" s="1334">
        <f t="shared" si="25"/>
        <v>693414.22462799982</v>
      </c>
      <c r="CR69" s="1334">
        <f t="shared" si="26"/>
        <v>370404.13246799994</v>
      </c>
      <c r="CS69" s="1334">
        <f t="shared" si="27"/>
        <v>786205.97853599989</v>
      </c>
      <c r="CT69" s="1334">
        <f t="shared" si="28"/>
        <v>786205.97853599989</v>
      </c>
      <c r="CU69" s="1334">
        <f t="shared" si="29"/>
        <v>366234.86591999995</v>
      </c>
      <c r="CV69" s="1334">
        <f t="shared" si="50"/>
        <v>1479620.2031639996</v>
      </c>
      <c r="CW69" s="1422">
        <f t="shared" si="51"/>
        <v>7073.5319999999983</v>
      </c>
      <c r="CX69" s="1334">
        <f t="shared" si="30"/>
        <v>0</v>
      </c>
      <c r="CY69" s="1334">
        <f t="shared" si="31"/>
        <v>0</v>
      </c>
      <c r="CZ69" s="1334"/>
      <c r="DA69" s="1334">
        <f t="shared" si="32"/>
        <v>693414.22462799982</v>
      </c>
      <c r="DB69" s="1334">
        <f t="shared" si="33"/>
        <v>786205.97853599989</v>
      </c>
      <c r="DC69" s="1223"/>
      <c r="DD69" s="1224" t="e">
        <f t="shared" si="52"/>
        <v>#DIV/0!</v>
      </c>
      <c r="DE69" s="1223"/>
      <c r="DF69" s="1223"/>
      <c r="DG69" s="1223"/>
      <c r="DH69" s="1494"/>
      <c r="DI69" s="1494"/>
      <c r="DJ69" s="1494"/>
      <c r="DK69" s="1389"/>
      <c r="DL69" s="1419">
        <f t="shared" si="34"/>
        <v>0</v>
      </c>
      <c r="DM69" s="1419">
        <f t="shared" si="35"/>
        <v>0</v>
      </c>
      <c r="DN69" s="1419">
        <f t="shared" si="36"/>
        <v>0</v>
      </c>
      <c r="DO69" s="819"/>
      <c r="DP69" s="1315"/>
      <c r="DQ69" s="1315"/>
      <c r="DR69" s="1315"/>
      <c r="DS69" s="1315"/>
      <c r="DT69" s="1315"/>
      <c r="DU69" s="1315"/>
      <c r="DV69" s="1315"/>
      <c r="DW69" s="1315"/>
      <c r="DX69" s="1315"/>
      <c r="DY69" s="1315"/>
      <c r="DZ69" s="1315"/>
      <c r="EA69" s="1315"/>
      <c r="EB69" s="1315"/>
      <c r="EC69" s="1315"/>
      <c r="ED69" s="1315"/>
      <c r="EE69" s="1315"/>
      <c r="EF69" s="1315"/>
      <c r="EG69" s="1315"/>
      <c r="EH69" s="1315"/>
      <c r="EI69" s="1315"/>
      <c r="EJ69" s="1315"/>
      <c r="EK69" s="1315"/>
      <c r="EL69" s="1315"/>
    </row>
    <row r="70" spans="1:142" s="50" customFormat="1" ht="75" hidden="1" customHeight="1">
      <c r="A70" s="6">
        <f t="shared" si="53"/>
        <v>57</v>
      </c>
      <c r="B70" s="1353" t="s">
        <v>25</v>
      </c>
      <c r="C70" s="1330" t="s">
        <v>108</v>
      </c>
      <c r="D70" s="1330" t="s">
        <v>26</v>
      </c>
      <c r="E70" s="1402">
        <v>4617004147</v>
      </c>
      <c r="F70" s="1330" t="s">
        <v>8</v>
      </c>
      <c r="G70" s="1332" t="s">
        <v>1004</v>
      </c>
      <c r="H70" s="1697">
        <v>2706.4706688038673</v>
      </c>
      <c r="I70" s="1696">
        <v>2706.4706688038673</v>
      </c>
      <c r="J70" s="1356">
        <v>2706.4706688038673</v>
      </c>
      <c r="K70" s="1356"/>
      <c r="L70" s="1356"/>
      <c r="M70" s="1357"/>
      <c r="N70" s="1656">
        <v>3095.58</v>
      </c>
      <c r="O70" s="1335">
        <v>3095.58</v>
      </c>
      <c r="P70" s="1356">
        <v>3095.58</v>
      </c>
      <c r="Q70" s="1356"/>
      <c r="R70" s="1335"/>
      <c r="S70" s="1435"/>
      <c r="T70" s="1443">
        <v>1509.53</v>
      </c>
      <c r="U70" s="1361">
        <v>574.79</v>
      </c>
      <c r="V70" s="1361">
        <v>0</v>
      </c>
      <c r="W70" s="1361">
        <v>0</v>
      </c>
      <c r="X70" s="1361">
        <v>0</v>
      </c>
      <c r="Y70" s="1361">
        <v>0</v>
      </c>
      <c r="Z70" s="1342">
        <f t="shared" si="8"/>
        <v>2084.3199999999997</v>
      </c>
      <c r="AA70" s="1444">
        <v>1281.6400000000001</v>
      </c>
      <c r="AB70" s="1361">
        <v>395.71</v>
      </c>
      <c r="AC70" s="1361">
        <v>0</v>
      </c>
      <c r="AD70" s="1361">
        <v>0</v>
      </c>
      <c r="AE70" s="1361">
        <v>0</v>
      </c>
      <c r="AF70" s="1361">
        <v>0</v>
      </c>
      <c r="AG70" s="1344">
        <f t="shared" si="58"/>
        <v>1677.3500000000001</v>
      </c>
      <c r="AH70" s="1340">
        <f t="shared" si="59"/>
        <v>3761.67</v>
      </c>
      <c r="AI70" s="1341">
        <f t="shared" si="82"/>
        <v>2791.17</v>
      </c>
      <c r="AJ70" s="1341">
        <f t="shared" si="82"/>
        <v>970.5</v>
      </c>
      <c r="AK70" s="1341">
        <f t="shared" si="82"/>
        <v>0</v>
      </c>
      <c r="AL70" s="1341">
        <f t="shared" si="82"/>
        <v>0</v>
      </c>
      <c r="AM70" s="1341">
        <f t="shared" si="82"/>
        <v>0</v>
      </c>
      <c r="AN70" s="1341"/>
      <c r="AO70" s="1341">
        <f t="shared" si="79"/>
        <v>3761.67</v>
      </c>
      <c r="AP70" s="1341">
        <f t="shared" si="80"/>
        <v>3761.67</v>
      </c>
      <c r="AQ70" s="1345">
        <f t="shared" si="81"/>
        <v>3761.67</v>
      </c>
      <c r="AR70" s="1346">
        <f t="shared" si="41"/>
        <v>0</v>
      </c>
      <c r="AS70" s="1347">
        <f>I70*AI70</f>
        <v>7554219.7366452906</v>
      </c>
      <c r="AT70" s="1341">
        <f>J70*AJ70</f>
        <v>2626629.7840741533</v>
      </c>
      <c r="AU70" s="1341">
        <f t="shared" si="124"/>
        <v>0</v>
      </c>
      <c r="AV70" s="1341">
        <f t="shared" si="124"/>
        <v>0</v>
      </c>
      <c r="AW70" s="1341">
        <f t="shared" si="124"/>
        <v>0</v>
      </c>
      <c r="AX70" s="1341">
        <f>SUM(AS70:AW70)</f>
        <v>10180849.520719444</v>
      </c>
      <c r="AY70" s="1341">
        <f>SUM(AS70:AV70)</f>
        <v>10180849.520719444</v>
      </c>
      <c r="AZ70" s="1341">
        <f>O70*AI70</f>
        <v>8640290.0285999998</v>
      </c>
      <c r="BA70" s="1341">
        <f t="shared" si="125"/>
        <v>3004260.39</v>
      </c>
      <c r="BB70" s="1341">
        <f t="shared" si="125"/>
        <v>0</v>
      </c>
      <c r="BC70" s="1341">
        <f t="shared" si="125"/>
        <v>0</v>
      </c>
      <c r="BD70" s="1341">
        <f t="shared" si="125"/>
        <v>0</v>
      </c>
      <c r="BE70" s="1341">
        <f t="shared" si="56"/>
        <v>11644550.4186</v>
      </c>
      <c r="BF70" s="1345">
        <f t="shared" si="60"/>
        <v>11644550.4186</v>
      </c>
      <c r="BG70" s="1397"/>
      <c r="BH70" s="1398"/>
      <c r="BI70" s="1399">
        <f t="shared" si="143"/>
        <v>0</v>
      </c>
      <c r="BJ70" s="1399">
        <v>10833.512492239432</v>
      </c>
      <c r="BK70" s="1641">
        <v>12169.495251999999</v>
      </c>
      <c r="BL70" s="1341">
        <f>I70*T70</f>
        <v>4085498.6686795019</v>
      </c>
      <c r="BM70" s="1341">
        <f>J70*U70</f>
        <v>1555652.2757217747</v>
      </c>
      <c r="BN70" s="1341">
        <f t="shared" si="104"/>
        <v>0</v>
      </c>
      <c r="BO70" s="1341">
        <f t="shared" si="104"/>
        <v>0</v>
      </c>
      <c r="BP70" s="1341">
        <f t="shared" si="104"/>
        <v>0</v>
      </c>
      <c r="BQ70" s="1341">
        <f>BL70+BM70+BN70+BO70+BP70</f>
        <v>5641150.9444012763</v>
      </c>
      <c r="BR70" s="1341">
        <f>BQ70-BP70</f>
        <v>5641150.9444012763</v>
      </c>
      <c r="BS70" s="1341">
        <f>O70*AA70</f>
        <v>3967419.1512000002</v>
      </c>
      <c r="BT70" s="1341">
        <f t="shared" si="105"/>
        <v>1224951.9617999999</v>
      </c>
      <c r="BU70" s="1341">
        <f t="shared" si="105"/>
        <v>0</v>
      </c>
      <c r="BV70" s="1341">
        <f t="shared" si="65"/>
        <v>0</v>
      </c>
      <c r="BW70" s="1341">
        <f t="shared" si="19"/>
        <v>0</v>
      </c>
      <c r="BX70" s="1341">
        <f t="shared" si="66"/>
        <v>5192371.1129999999</v>
      </c>
      <c r="BY70" s="1341">
        <f t="shared" si="67"/>
        <v>5192371.1129999999</v>
      </c>
      <c r="BZ70" s="1349">
        <f>BM70+BT70</f>
        <v>2780604.2375217746</v>
      </c>
      <c r="CA70" s="1349">
        <f t="shared" si="68"/>
        <v>0</v>
      </c>
      <c r="CB70" s="1349">
        <f>BZ70+CA70</f>
        <v>2780604.2375217746</v>
      </c>
      <c r="CC70" s="1351">
        <f t="shared" si="70"/>
        <v>2865.1254379410352</v>
      </c>
      <c r="CD70" s="1351" t="e">
        <f t="shared" si="70"/>
        <v>#DIV/0!</v>
      </c>
      <c r="CE70" s="1351">
        <f t="shared" si="44"/>
        <v>2865.1254379410352</v>
      </c>
      <c r="CF70" s="1351">
        <f t="shared" si="20"/>
        <v>2865.1254379410352</v>
      </c>
      <c r="CG70" s="1367">
        <f t="shared" si="21"/>
        <v>2780604.2375217746</v>
      </c>
      <c r="CH70" s="1367">
        <f t="shared" si="45"/>
        <v>2865.1254379410352</v>
      </c>
      <c r="CI70" s="1408"/>
      <c r="CJ70" s="1341">
        <f t="shared" si="71"/>
        <v>6452.1793055999988</v>
      </c>
      <c r="CK70" s="1341">
        <f t="shared" si="22"/>
        <v>5192.3711130000002</v>
      </c>
      <c r="CL70" s="1341">
        <f t="shared" si="47"/>
        <v>11644.5504186</v>
      </c>
      <c r="CM70" s="1341">
        <f t="shared" si="48"/>
        <v>11644.5504186</v>
      </c>
      <c r="CN70" s="1341">
        <f t="shared" si="49"/>
        <v>0</v>
      </c>
      <c r="CO70" s="1341">
        <f t="shared" si="23"/>
        <v>10833522.057401277</v>
      </c>
      <c r="CP70" s="1341">
        <f t="shared" si="24"/>
        <v>10180849.520719444</v>
      </c>
      <c r="CQ70" s="1341">
        <f t="shared" si="25"/>
        <v>10180849.520719444</v>
      </c>
      <c r="CR70" s="1341">
        <f t="shared" si="26"/>
        <v>5641150.9444012763</v>
      </c>
      <c r="CS70" s="1341">
        <f t="shared" si="27"/>
        <v>11644550.4186</v>
      </c>
      <c r="CT70" s="1341">
        <f t="shared" si="28"/>
        <v>11644550.4186</v>
      </c>
      <c r="CU70" s="1341">
        <f t="shared" si="29"/>
        <v>5192371.1129999999</v>
      </c>
      <c r="CV70" s="1341">
        <f t="shared" si="50"/>
        <v>21825399.939319447</v>
      </c>
      <c r="CW70" s="1350">
        <f t="shared" si="51"/>
        <v>5802.0506688038677</v>
      </c>
      <c r="CX70" s="1341">
        <f t="shared" si="30"/>
        <v>2626629.7840741533</v>
      </c>
      <c r="CY70" s="1341">
        <f t="shared" si="31"/>
        <v>3004260.39</v>
      </c>
      <c r="CZ70" s="1341"/>
      <c r="DA70" s="1341">
        <f t="shared" si="32"/>
        <v>10180849.520719444</v>
      </c>
      <c r="DB70" s="1341">
        <f t="shared" si="33"/>
        <v>11644550.4186</v>
      </c>
      <c r="DC70" s="1574"/>
      <c r="DD70" s="40">
        <f t="shared" si="52"/>
        <v>114.3770015940391</v>
      </c>
      <c r="DE70" s="1574"/>
      <c r="DF70" s="1574"/>
      <c r="DG70" s="1574"/>
      <c r="DH70" s="1487">
        <v>3862.054333333333</v>
      </c>
      <c r="DI70" s="1487">
        <v>935.47199999999998</v>
      </c>
      <c r="DJ70" s="1487">
        <f t="shared" si="57"/>
        <v>2926.5823333333328</v>
      </c>
      <c r="DK70" s="1408"/>
      <c r="DL70" s="1352">
        <f t="shared" si="34"/>
        <v>0</v>
      </c>
      <c r="DM70" s="1352">
        <f t="shared" si="35"/>
        <v>0</v>
      </c>
      <c r="DN70" s="1352">
        <f t="shared" si="36"/>
        <v>0</v>
      </c>
      <c r="DO70" s="1312"/>
      <c r="DP70" s="1312"/>
      <c r="DQ70" s="1312"/>
      <c r="DR70" s="81"/>
      <c r="DS70" s="81"/>
      <c r="DT70" s="81"/>
      <c r="DU70" s="81"/>
      <c r="DV70" s="81"/>
      <c r="DW70" s="81"/>
      <c r="DX70" s="81"/>
      <c r="DY70" s="81"/>
      <c r="DZ70" s="81"/>
      <c r="EA70" s="81"/>
      <c r="EB70" s="81"/>
      <c r="EC70" s="81"/>
      <c r="ED70" s="81"/>
      <c r="EE70" s="81"/>
      <c r="EF70" s="81"/>
      <c r="EG70" s="81"/>
      <c r="EH70" s="81"/>
      <c r="EI70" s="81"/>
      <c r="EJ70" s="81"/>
      <c r="EK70" s="81"/>
      <c r="EL70" s="81"/>
    </row>
    <row r="71" spans="1:142" s="1313" customFormat="1" ht="72" hidden="1" customHeight="1">
      <c r="A71" s="6">
        <f t="shared" si="53"/>
        <v>58</v>
      </c>
      <c r="B71" s="1353" t="s">
        <v>25</v>
      </c>
      <c r="C71" s="1753" t="s">
        <v>108</v>
      </c>
      <c r="D71" s="1706" t="s">
        <v>141</v>
      </c>
      <c r="E71" s="1331">
        <v>4632024035</v>
      </c>
      <c r="F71" s="1330" t="s">
        <v>8</v>
      </c>
      <c r="G71" s="1682" t="s">
        <v>1034</v>
      </c>
      <c r="H71" s="1700">
        <v>3314.9639999999995</v>
      </c>
      <c r="I71" s="1701">
        <f>H71</f>
        <v>3314.9639999999995</v>
      </c>
      <c r="J71" s="1707">
        <v>2950.21</v>
      </c>
      <c r="K71" s="1335"/>
      <c r="L71" s="1700">
        <v>3314.9639999999995</v>
      </c>
      <c r="M71" s="1435"/>
      <c r="N71" s="1703">
        <f>3132.14*1.2</f>
        <v>3758.5679999999998</v>
      </c>
      <c r="O71" s="1704">
        <f>N71</f>
        <v>3758.5679999999998</v>
      </c>
      <c r="P71" s="1708">
        <v>2979.71</v>
      </c>
      <c r="Q71" s="1335"/>
      <c r="R71" s="1335">
        <f>O71</f>
        <v>3758.5679999999998</v>
      </c>
      <c r="S71" s="1435"/>
      <c r="T71" s="1811">
        <v>172.791</v>
      </c>
      <c r="U71" s="1812">
        <v>1691.6189999999999</v>
      </c>
      <c r="V71" s="1812"/>
      <c r="W71" s="1436"/>
      <c r="X71" s="1436"/>
      <c r="Y71" s="1436"/>
      <c r="Z71" s="1393">
        <f t="shared" si="8"/>
        <v>1864.4099999999999</v>
      </c>
      <c r="AA71" s="1813">
        <v>94.62</v>
      </c>
      <c r="AB71" s="1812">
        <v>1347.8</v>
      </c>
      <c r="AC71" s="1812">
        <v>0</v>
      </c>
      <c r="AD71" s="1436"/>
      <c r="AE71" s="1436"/>
      <c r="AF71" s="1436"/>
      <c r="AG71" s="1395">
        <f t="shared" si="58"/>
        <v>1442.42</v>
      </c>
      <c r="AH71" s="1391">
        <f>Z71+AG71</f>
        <v>3306.83</v>
      </c>
      <c r="AI71" s="1334">
        <f t="shared" si="82"/>
        <v>267.411</v>
      </c>
      <c r="AJ71" s="1334">
        <f t="shared" si="82"/>
        <v>3039.4189999999999</v>
      </c>
      <c r="AK71" s="1334">
        <f t="shared" si="82"/>
        <v>0</v>
      </c>
      <c r="AL71" s="1334">
        <f t="shared" si="82"/>
        <v>0</v>
      </c>
      <c r="AM71" s="1334">
        <f t="shared" si="82"/>
        <v>0</v>
      </c>
      <c r="AN71" s="1334"/>
      <c r="AO71" s="1334">
        <f t="shared" si="79"/>
        <v>3306.83</v>
      </c>
      <c r="AP71" s="1334">
        <f t="shared" si="80"/>
        <v>3306.83</v>
      </c>
      <c r="AQ71" s="1396">
        <f t="shared" ref="AQ71:AQ133" si="145">SUM(AI71:AL71)</f>
        <v>3306.83</v>
      </c>
      <c r="AR71" s="1417">
        <f t="shared" si="41"/>
        <v>0</v>
      </c>
      <c r="AS71" s="1333">
        <f t="shared" si="124"/>
        <v>886457.83820399991</v>
      </c>
      <c r="AT71" s="1334">
        <f t="shared" si="124"/>
        <v>8966924.3279899992</v>
      </c>
      <c r="AU71" s="1334">
        <f t="shared" si="124"/>
        <v>0</v>
      </c>
      <c r="AV71" s="1334">
        <f t="shared" si="124"/>
        <v>0</v>
      </c>
      <c r="AW71" s="1334">
        <f t="shared" si="124"/>
        <v>0</v>
      </c>
      <c r="AX71" s="1334">
        <f t="shared" ref="AX71:AX134" si="146">SUM(AS71:AW71)</f>
        <v>9853382.1661939994</v>
      </c>
      <c r="AY71" s="1334">
        <f t="shared" ref="AY71:AY134" si="147">SUM(AS71:AV71)</f>
        <v>9853382.1661939994</v>
      </c>
      <c r="AZ71" s="1334">
        <f t="shared" si="125"/>
        <v>1005082.4274479999</v>
      </c>
      <c r="BA71" s="1334">
        <f t="shared" si="125"/>
        <v>9056587.1884899996</v>
      </c>
      <c r="BB71" s="1334">
        <f t="shared" si="125"/>
        <v>0</v>
      </c>
      <c r="BC71" s="1334">
        <f t="shared" si="125"/>
        <v>0</v>
      </c>
      <c r="BD71" s="1334">
        <f t="shared" si="125"/>
        <v>0</v>
      </c>
      <c r="BE71" s="1334">
        <f t="shared" ref="BE71:BE134" si="148">SUM(AZ71:BD71)</f>
        <v>10061669.615938</v>
      </c>
      <c r="BF71" s="1396">
        <f t="shared" ref="BF71:BF134" si="149">SUM(AZ71:BC71)</f>
        <v>10061669.615938</v>
      </c>
      <c r="BG71" s="1397">
        <f>(H71-J71)/1.2*U71/1000+(H71-K71)/1.2*V71/1000</f>
        <v>514.18733060499926</v>
      </c>
      <c r="BH71" s="1398">
        <f>(O71-P71)*AB71/1000/1.2+(O71-Q71)/1.2*AC71/1000</f>
        <v>874.78734366666629</v>
      </c>
      <c r="BI71" s="1399">
        <f>BG71+BH71</f>
        <v>1388.9746742716657</v>
      </c>
      <c r="BJ71" s="1399"/>
      <c r="BK71" s="1641"/>
      <c r="BL71" s="1334">
        <f t="shared" si="104"/>
        <v>572795.94452399993</v>
      </c>
      <c r="BM71" s="1334">
        <f t="shared" si="104"/>
        <v>4990631.2899899995</v>
      </c>
      <c r="BN71" s="1334">
        <f t="shared" si="104"/>
        <v>0</v>
      </c>
      <c r="BO71" s="1334">
        <f t="shared" si="104"/>
        <v>0</v>
      </c>
      <c r="BP71" s="1334">
        <f t="shared" si="104"/>
        <v>0</v>
      </c>
      <c r="BQ71" s="1334">
        <f t="shared" si="62"/>
        <v>5563427.2345139999</v>
      </c>
      <c r="BR71" s="1334">
        <f t="shared" si="63"/>
        <v>5563427.2345139999</v>
      </c>
      <c r="BS71" s="1334">
        <f t="shared" si="105"/>
        <v>355635.70416000002</v>
      </c>
      <c r="BT71" s="1334">
        <f t="shared" si="105"/>
        <v>4016053.1379999998</v>
      </c>
      <c r="BU71" s="1334">
        <f t="shared" si="105"/>
        <v>0</v>
      </c>
      <c r="BV71" s="1334">
        <f t="shared" si="65"/>
        <v>0</v>
      </c>
      <c r="BW71" s="1334">
        <f t="shared" si="19"/>
        <v>0</v>
      </c>
      <c r="BX71" s="1334">
        <f t="shared" si="66"/>
        <v>4371688.8421599995</v>
      </c>
      <c r="BY71" s="1334">
        <f t="shared" si="67"/>
        <v>4371688.8421599995</v>
      </c>
      <c r="BZ71" s="1389">
        <f t="shared" si="68"/>
        <v>9006684.4279899988</v>
      </c>
      <c r="CA71" s="1389">
        <f t="shared" si="68"/>
        <v>0</v>
      </c>
      <c r="CB71" s="1389">
        <f t="shared" si="69"/>
        <v>9006684.4279899988</v>
      </c>
      <c r="CC71" s="1420">
        <f t="shared" si="70"/>
        <v>2963.2914803750318</v>
      </c>
      <c r="CD71" s="1420" t="e">
        <f t="shared" si="70"/>
        <v>#DIV/0!</v>
      </c>
      <c r="CE71" s="1420">
        <f t="shared" si="44"/>
        <v>2963.2914803750318</v>
      </c>
      <c r="CF71" s="1420">
        <f t="shared" si="20"/>
        <v>2963.2914803750318</v>
      </c>
      <c r="CG71" s="1421">
        <f t="shared" si="21"/>
        <v>10673454.037115999</v>
      </c>
      <c r="CH71" s="1421">
        <f t="shared" si="45"/>
        <v>3511.675763399518</v>
      </c>
      <c r="CI71" s="1733"/>
      <c r="CJ71" s="1756">
        <f>H71*Z71/1000</f>
        <v>6180.4520312399982</v>
      </c>
      <c r="CK71" s="1756">
        <f t="shared" si="22"/>
        <v>5421.4336545599999</v>
      </c>
      <c r="CL71" s="1756">
        <f>CJ71+CK71</f>
        <v>11601.885685799998</v>
      </c>
      <c r="CM71" s="1334">
        <f t="shared" si="48"/>
        <v>12428.945419439999</v>
      </c>
      <c r="CN71" s="1334">
        <f t="shared" si="49"/>
        <v>827.05973364000056</v>
      </c>
      <c r="CO71" s="1334">
        <f t="shared" si="23"/>
        <v>11601885.685799997</v>
      </c>
      <c r="CP71" s="1334">
        <f t="shared" si="24"/>
        <v>9853382.1661939994</v>
      </c>
      <c r="CQ71" s="1334">
        <f t="shared" si="25"/>
        <v>9853382.1661939994</v>
      </c>
      <c r="CR71" s="1334">
        <f t="shared" si="26"/>
        <v>5563427.2345139999</v>
      </c>
      <c r="CS71" s="1334">
        <f t="shared" si="27"/>
        <v>10061669.615938</v>
      </c>
      <c r="CT71" s="1334">
        <f t="shared" si="28"/>
        <v>10061669.615938</v>
      </c>
      <c r="CU71" s="1334">
        <f t="shared" si="29"/>
        <v>4371688.8421599995</v>
      </c>
      <c r="CV71" s="1334">
        <f t="shared" si="50"/>
        <v>19915051.782132</v>
      </c>
      <c r="CW71" s="1422">
        <f t="shared" si="51"/>
        <v>6022.3996341305719</v>
      </c>
      <c r="CX71" s="1334">
        <f t="shared" si="30"/>
        <v>8966924.3279899992</v>
      </c>
      <c r="CY71" s="1334">
        <f t="shared" si="31"/>
        <v>9056587.1884899996</v>
      </c>
      <c r="CZ71" s="1334"/>
      <c r="DA71" s="1334">
        <f t="shared" si="32"/>
        <v>10962022.404119998</v>
      </c>
      <c r="DB71" s="1334">
        <f t="shared" si="33"/>
        <v>12428945.419439999</v>
      </c>
      <c r="DC71" s="1734"/>
      <c r="DD71" s="1224">
        <f t="shared" si="52"/>
        <v>127.40001559211038</v>
      </c>
      <c r="DE71" s="1734"/>
      <c r="DF71" s="1734"/>
      <c r="DG71" s="1734"/>
      <c r="DH71" s="1494"/>
      <c r="DI71" s="1494"/>
      <c r="DJ71" s="1494"/>
      <c r="DK71" s="1733"/>
      <c r="DL71" s="1419">
        <f t="shared" si="34"/>
        <v>0</v>
      </c>
      <c r="DM71" s="1419">
        <f t="shared" si="35"/>
        <v>0</v>
      </c>
      <c r="DN71" s="1419">
        <f t="shared" si="36"/>
        <v>0</v>
      </c>
      <c r="DO71" s="1735"/>
      <c r="DP71" s="1315"/>
      <c r="DQ71" s="1315"/>
      <c r="DR71" s="1315"/>
      <c r="DS71" s="1315"/>
      <c r="DT71" s="1315"/>
      <c r="DU71" s="1315"/>
      <c r="DV71" s="1315"/>
      <c r="DW71" s="1315"/>
      <c r="DX71" s="1315"/>
      <c r="DY71" s="1315"/>
      <c r="DZ71" s="1315"/>
      <c r="EA71" s="1315"/>
      <c r="EB71" s="1315"/>
      <c r="EC71" s="1315"/>
      <c r="ED71" s="1315"/>
      <c r="EE71" s="1315"/>
      <c r="EF71" s="1315"/>
      <c r="EG71" s="1315"/>
      <c r="EH71" s="1315"/>
      <c r="EI71" s="1315"/>
      <c r="EJ71" s="1315"/>
      <c r="EK71" s="1315"/>
      <c r="EL71" s="1315"/>
    </row>
    <row r="72" spans="1:142" s="50" customFormat="1" ht="78.75" hidden="1" customHeight="1">
      <c r="A72" s="6">
        <f t="shared" si="53"/>
        <v>59</v>
      </c>
      <c r="B72" s="1353"/>
      <c r="C72" s="1400" t="s">
        <v>902</v>
      </c>
      <c r="D72" s="1407" t="s">
        <v>161</v>
      </c>
      <c r="E72" s="1445">
        <v>4617004147</v>
      </c>
      <c r="F72" s="1407" t="s">
        <v>8</v>
      </c>
      <c r="G72" s="1446" t="s">
        <v>1004</v>
      </c>
      <c r="H72" s="1691">
        <v>3850.8480191964254</v>
      </c>
      <c r="I72" s="1692">
        <v>3850.8480191964254</v>
      </c>
      <c r="J72" s="1356"/>
      <c r="K72" s="1356"/>
      <c r="L72" s="1356"/>
      <c r="M72" s="1357"/>
      <c r="N72" s="1657">
        <v>4621.0200000000004</v>
      </c>
      <c r="O72" s="1658">
        <v>4621.0200000000004</v>
      </c>
      <c r="P72" s="1359"/>
      <c r="Q72" s="1359"/>
      <c r="R72" s="1335"/>
      <c r="S72" s="1357"/>
      <c r="T72" s="1360">
        <f t="shared" ref="T72:T78" si="150">2542.18/7</f>
        <v>363.1685714285714</v>
      </c>
      <c r="U72" s="1361">
        <v>0</v>
      </c>
      <c r="V72" s="1361">
        <v>0</v>
      </c>
      <c r="W72" s="1361">
        <v>0</v>
      </c>
      <c r="X72" s="1361">
        <v>0</v>
      </c>
      <c r="Y72" s="1361">
        <v>0</v>
      </c>
      <c r="Z72" s="1342">
        <f t="shared" si="8"/>
        <v>363.1685714285714</v>
      </c>
      <c r="AA72" s="1362">
        <v>94.62</v>
      </c>
      <c r="AB72" s="1361">
        <v>1347.8</v>
      </c>
      <c r="AC72" s="1361">
        <v>0</v>
      </c>
      <c r="AD72" s="1361">
        <v>0</v>
      </c>
      <c r="AE72" s="1361">
        <v>0</v>
      </c>
      <c r="AF72" s="1361">
        <v>0</v>
      </c>
      <c r="AG72" s="1344">
        <f t="shared" si="58"/>
        <v>1442.42</v>
      </c>
      <c r="AH72" s="1340">
        <f t="shared" si="59"/>
        <v>1805.5885714285714</v>
      </c>
      <c r="AI72" s="1341">
        <f t="shared" si="82"/>
        <v>457.7885714285714</v>
      </c>
      <c r="AJ72" s="1341">
        <f t="shared" si="82"/>
        <v>1347.8</v>
      </c>
      <c r="AK72" s="1341">
        <f t="shared" si="82"/>
        <v>0</v>
      </c>
      <c r="AL72" s="1341">
        <f t="shared" si="82"/>
        <v>0</v>
      </c>
      <c r="AM72" s="1341">
        <f t="shared" si="82"/>
        <v>0</v>
      </c>
      <c r="AN72" s="1341"/>
      <c r="AO72" s="1341">
        <f t="shared" si="79"/>
        <v>1805.5885714285714</v>
      </c>
      <c r="AP72" s="1341">
        <f t="shared" si="80"/>
        <v>1805.5885714285714</v>
      </c>
      <c r="AQ72" s="1345">
        <f t="shared" si="145"/>
        <v>1805.5885714285714</v>
      </c>
      <c r="AR72" s="1346">
        <f t="shared" si="41"/>
        <v>0</v>
      </c>
      <c r="AS72" s="1347">
        <f t="shared" si="124"/>
        <v>1762874.2134964755</v>
      </c>
      <c r="AT72" s="1341">
        <f t="shared" si="124"/>
        <v>0</v>
      </c>
      <c r="AU72" s="1341">
        <f t="shared" si="124"/>
        <v>0</v>
      </c>
      <c r="AV72" s="1341">
        <f t="shared" si="124"/>
        <v>0</v>
      </c>
      <c r="AW72" s="1341">
        <f t="shared" si="124"/>
        <v>0</v>
      </c>
      <c r="AX72" s="1341">
        <f t="shared" si="146"/>
        <v>1762874.2134964755</v>
      </c>
      <c r="AY72" s="1341">
        <f t="shared" si="147"/>
        <v>1762874.2134964755</v>
      </c>
      <c r="AZ72" s="1341">
        <f t="shared" si="125"/>
        <v>2115450.1443428574</v>
      </c>
      <c r="BA72" s="1341">
        <f t="shared" si="125"/>
        <v>0</v>
      </c>
      <c r="BB72" s="1341">
        <f t="shared" si="125"/>
        <v>0</v>
      </c>
      <c r="BC72" s="1341">
        <f t="shared" si="125"/>
        <v>0</v>
      </c>
      <c r="BD72" s="1341">
        <f t="shared" si="125"/>
        <v>0</v>
      </c>
      <c r="BE72" s="1341">
        <f t="shared" si="148"/>
        <v>2115450.1443428574</v>
      </c>
      <c r="BF72" s="1345">
        <f t="shared" si="149"/>
        <v>2115450.1443428574</v>
      </c>
      <c r="BG72" s="1362"/>
      <c r="BH72" s="1361"/>
      <c r="BI72" s="1341">
        <f t="shared" si="143"/>
        <v>0</v>
      </c>
      <c r="BJ72" s="1659">
        <v>21673.773596703588</v>
      </c>
      <c r="BK72" s="1660">
        <v>25874.876200000002</v>
      </c>
      <c r="BL72" s="1341">
        <f t="shared" si="104"/>
        <v>1398506.9739201097</v>
      </c>
      <c r="BM72" s="1341">
        <f t="shared" si="104"/>
        <v>0</v>
      </c>
      <c r="BN72" s="1341">
        <f t="shared" si="104"/>
        <v>0</v>
      </c>
      <c r="BO72" s="1341">
        <f t="shared" si="104"/>
        <v>0</v>
      </c>
      <c r="BP72" s="1341">
        <f t="shared" si="104"/>
        <v>0</v>
      </c>
      <c r="BQ72" s="1341">
        <f t="shared" si="62"/>
        <v>1398506.9739201097</v>
      </c>
      <c r="BR72" s="1341">
        <f t="shared" si="63"/>
        <v>1398506.9739201097</v>
      </c>
      <c r="BS72" s="1341">
        <f t="shared" si="105"/>
        <v>437240.91240000009</v>
      </c>
      <c r="BT72" s="1341">
        <f t="shared" si="105"/>
        <v>0</v>
      </c>
      <c r="BU72" s="1341">
        <f t="shared" si="105"/>
        <v>0</v>
      </c>
      <c r="BV72" s="1341">
        <f t="shared" si="65"/>
        <v>0</v>
      </c>
      <c r="BW72" s="1341">
        <f t="shared" si="19"/>
        <v>0</v>
      </c>
      <c r="BX72" s="1341">
        <f t="shared" si="66"/>
        <v>437240.91240000009</v>
      </c>
      <c r="BY72" s="1341">
        <f t="shared" si="67"/>
        <v>437240.91240000009</v>
      </c>
      <c r="BZ72" s="1349">
        <f t="shared" si="68"/>
        <v>0</v>
      </c>
      <c r="CA72" s="1349">
        <f t="shared" si="68"/>
        <v>0</v>
      </c>
      <c r="CB72" s="1349">
        <f t="shared" si="69"/>
        <v>0</v>
      </c>
      <c r="CC72" s="1351">
        <f t="shared" si="70"/>
        <v>0</v>
      </c>
      <c r="CD72" s="1351" t="e">
        <f t="shared" si="70"/>
        <v>#DIV/0!</v>
      </c>
      <c r="CE72" s="1351">
        <f t="shared" si="44"/>
        <v>0</v>
      </c>
      <c r="CF72" s="1349">
        <f t="shared" si="20"/>
        <v>0</v>
      </c>
      <c r="CG72" s="1367">
        <f t="shared" si="21"/>
        <v>6228210.7560000001</v>
      </c>
      <c r="CH72" s="1367">
        <f t="shared" si="45"/>
        <v>4621.0200000000004</v>
      </c>
      <c r="CI72" s="1408"/>
      <c r="CJ72" s="1341">
        <f t="shared" si="71"/>
        <v>1678.2092319428571</v>
      </c>
      <c r="CK72" s="1341">
        <f t="shared" si="22"/>
        <v>6665.4516684000009</v>
      </c>
      <c r="CL72" s="1341">
        <f>CJ72+CK72</f>
        <v>8343.6609003428584</v>
      </c>
      <c r="CM72" s="1341">
        <f t="shared" si="48"/>
        <v>8343.6609003428566</v>
      </c>
      <c r="CN72" s="1341">
        <f t="shared" si="49"/>
        <v>0</v>
      </c>
      <c r="CO72" s="1341">
        <f t="shared" si="23"/>
        <v>8063958.6423201105</v>
      </c>
      <c r="CP72" s="1341">
        <f t="shared" si="24"/>
        <v>1762874.2134964755</v>
      </c>
      <c r="CQ72" s="1341">
        <f t="shared" si="25"/>
        <v>1762874.2134964755</v>
      </c>
      <c r="CR72" s="1341">
        <f t="shared" si="26"/>
        <v>1398506.9739201097</v>
      </c>
      <c r="CS72" s="1341">
        <f t="shared" si="27"/>
        <v>2115450.1443428574</v>
      </c>
      <c r="CT72" s="1341">
        <f t="shared" si="28"/>
        <v>2115450.1443428574</v>
      </c>
      <c r="CU72" s="1341">
        <f t="shared" si="29"/>
        <v>437240.91240000009</v>
      </c>
      <c r="CV72" s="1341">
        <f t="shared" si="50"/>
        <v>3878324.3578393329</v>
      </c>
      <c r="CW72" s="1350">
        <f t="shared" si="51"/>
        <v>2147.9557520519888</v>
      </c>
      <c r="CX72" s="1341">
        <f t="shared" si="30"/>
        <v>0</v>
      </c>
      <c r="CY72" s="1341">
        <f t="shared" si="31"/>
        <v>0</v>
      </c>
      <c r="CZ72" s="1341"/>
      <c r="DA72" s="1341">
        <f t="shared" si="32"/>
        <v>6953047.1737694172</v>
      </c>
      <c r="DB72" s="1341">
        <f t="shared" si="33"/>
        <v>8343660.9003428575</v>
      </c>
      <c r="DC72" s="1574"/>
      <c r="DD72" s="40" t="e">
        <f t="shared" si="52"/>
        <v>#DIV/0!</v>
      </c>
      <c r="DE72" s="1574"/>
      <c r="DF72" s="1574"/>
      <c r="DG72" s="1574"/>
      <c r="DH72" s="1487">
        <v>714.64285714285711</v>
      </c>
      <c r="DI72" s="1487">
        <v>0</v>
      </c>
      <c r="DJ72" s="1487">
        <f t="shared" si="57"/>
        <v>714.64285714285711</v>
      </c>
      <c r="DK72" s="1408"/>
      <c r="DL72" s="1352">
        <f t="shared" si="34"/>
        <v>0</v>
      </c>
      <c r="DM72" s="1352">
        <f t="shared" si="35"/>
        <v>0</v>
      </c>
      <c r="DN72" s="1352">
        <f t="shared" si="36"/>
        <v>0</v>
      </c>
      <c r="DO72" s="1312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</row>
    <row r="73" spans="1:142" s="50" customFormat="1" ht="75" hidden="1" customHeight="1">
      <c r="A73" s="6">
        <f t="shared" si="53"/>
        <v>60</v>
      </c>
      <c r="B73" s="1353"/>
      <c r="C73" s="1400" t="s">
        <v>156</v>
      </c>
      <c r="D73" s="1407" t="s">
        <v>161</v>
      </c>
      <c r="E73" s="1445">
        <v>4617004147</v>
      </c>
      <c r="F73" s="1407" t="s">
        <v>8</v>
      </c>
      <c r="G73" s="1446"/>
      <c r="H73" s="1355">
        <v>3850.8480191964254</v>
      </c>
      <c r="I73" s="1356">
        <v>3850.8480191964254</v>
      </c>
      <c r="J73" s="1356"/>
      <c r="K73" s="1356"/>
      <c r="L73" s="1356"/>
      <c r="M73" s="1357"/>
      <c r="N73" s="1657">
        <v>4621.0200000000004</v>
      </c>
      <c r="O73" s="1658">
        <v>4621.0200000000004</v>
      </c>
      <c r="P73" s="1359"/>
      <c r="Q73" s="1359"/>
      <c r="R73" s="1335"/>
      <c r="S73" s="1357"/>
      <c r="T73" s="1360">
        <f t="shared" si="150"/>
        <v>363.1685714285714</v>
      </c>
      <c r="U73" s="1361">
        <v>0</v>
      </c>
      <c r="V73" s="1361">
        <v>0</v>
      </c>
      <c r="W73" s="1361">
        <v>0</v>
      </c>
      <c r="X73" s="1361">
        <v>0</v>
      </c>
      <c r="Y73" s="1361">
        <v>0</v>
      </c>
      <c r="Z73" s="1342">
        <f t="shared" si="8"/>
        <v>363.1685714285714</v>
      </c>
      <c r="AA73" s="1362">
        <f t="shared" ref="AA73:AA78" si="151">2177.72/7</f>
        <v>311.10285714285709</v>
      </c>
      <c r="AB73" s="1361">
        <v>0</v>
      </c>
      <c r="AC73" s="1361">
        <v>0</v>
      </c>
      <c r="AD73" s="1361">
        <v>0</v>
      </c>
      <c r="AE73" s="1361">
        <v>0</v>
      </c>
      <c r="AF73" s="1361">
        <v>0</v>
      </c>
      <c r="AG73" s="1344">
        <f t="shared" si="58"/>
        <v>311.10285714285709</v>
      </c>
      <c r="AH73" s="1340">
        <f t="shared" si="59"/>
        <v>674.27142857142849</v>
      </c>
      <c r="AI73" s="1341">
        <f t="shared" si="82"/>
        <v>674.27142857142849</v>
      </c>
      <c r="AJ73" s="1341">
        <f t="shared" si="82"/>
        <v>0</v>
      </c>
      <c r="AK73" s="1341">
        <f t="shared" si="82"/>
        <v>0</v>
      </c>
      <c r="AL73" s="1341">
        <f t="shared" si="82"/>
        <v>0</v>
      </c>
      <c r="AM73" s="1341">
        <f t="shared" si="82"/>
        <v>0</v>
      </c>
      <c r="AN73" s="1341"/>
      <c r="AO73" s="1341">
        <f t="shared" si="79"/>
        <v>674.27142857142849</v>
      </c>
      <c r="AP73" s="1341">
        <f t="shared" si="80"/>
        <v>674.27142857142849</v>
      </c>
      <c r="AQ73" s="1345">
        <f t="shared" si="145"/>
        <v>674.27142857142849</v>
      </c>
      <c r="AR73" s="1346">
        <f t="shared" si="41"/>
        <v>0</v>
      </c>
      <c r="AS73" s="1347">
        <f t="shared" si="124"/>
        <v>2596516.7951150294</v>
      </c>
      <c r="AT73" s="1341">
        <f t="shared" si="124"/>
        <v>0</v>
      </c>
      <c r="AU73" s="1341">
        <f t="shared" si="124"/>
        <v>0</v>
      </c>
      <c r="AV73" s="1341">
        <f t="shared" si="124"/>
        <v>0</v>
      </c>
      <c r="AW73" s="1341">
        <f t="shared" si="124"/>
        <v>0</v>
      </c>
      <c r="AX73" s="1341">
        <f t="shared" si="146"/>
        <v>2596516.7951150294</v>
      </c>
      <c r="AY73" s="1341">
        <f t="shared" si="147"/>
        <v>2596516.7951150294</v>
      </c>
      <c r="AZ73" s="1341">
        <f t="shared" si="125"/>
        <v>3115821.7568571428</v>
      </c>
      <c r="BA73" s="1341">
        <f t="shared" si="125"/>
        <v>0</v>
      </c>
      <c r="BB73" s="1341">
        <f t="shared" si="125"/>
        <v>0</v>
      </c>
      <c r="BC73" s="1341">
        <f t="shared" si="125"/>
        <v>0</v>
      </c>
      <c r="BD73" s="1341">
        <f t="shared" si="125"/>
        <v>0</v>
      </c>
      <c r="BE73" s="1341">
        <f t="shared" si="148"/>
        <v>3115821.7568571428</v>
      </c>
      <c r="BF73" s="1345">
        <f t="shared" si="149"/>
        <v>3115821.7568571428</v>
      </c>
      <c r="BG73" s="1362"/>
      <c r="BH73" s="1361"/>
      <c r="BI73" s="1341">
        <f t="shared" si="143"/>
        <v>0</v>
      </c>
      <c r="BJ73" s="1425"/>
      <c r="BK73" s="1645"/>
      <c r="BL73" s="1341">
        <f t="shared" si="104"/>
        <v>1398506.9739201097</v>
      </c>
      <c r="BM73" s="1341">
        <f t="shared" si="104"/>
        <v>0</v>
      </c>
      <c r="BN73" s="1341">
        <f t="shared" si="104"/>
        <v>0</v>
      </c>
      <c r="BO73" s="1341">
        <f t="shared" si="104"/>
        <v>0</v>
      </c>
      <c r="BP73" s="1341">
        <f t="shared" si="104"/>
        <v>0</v>
      </c>
      <c r="BQ73" s="1341">
        <f t="shared" si="62"/>
        <v>1398506.9739201097</v>
      </c>
      <c r="BR73" s="1341">
        <f t="shared" si="63"/>
        <v>1398506.9739201097</v>
      </c>
      <c r="BS73" s="1341">
        <f t="shared" si="105"/>
        <v>1437612.5249142856</v>
      </c>
      <c r="BT73" s="1341">
        <f t="shared" si="105"/>
        <v>0</v>
      </c>
      <c r="BU73" s="1341">
        <f t="shared" si="105"/>
        <v>0</v>
      </c>
      <c r="BV73" s="1341">
        <f t="shared" si="65"/>
        <v>0</v>
      </c>
      <c r="BW73" s="1341">
        <f t="shared" si="19"/>
        <v>0</v>
      </c>
      <c r="BX73" s="1341">
        <f t="shared" si="66"/>
        <v>1437612.5249142856</v>
      </c>
      <c r="BY73" s="1341">
        <f t="shared" si="67"/>
        <v>1437612.5249142856</v>
      </c>
      <c r="BZ73" s="1349">
        <f t="shared" si="68"/>
        <v>0</v>
      </c>
      <c r="CA73" s="1349">
        <f t="shared" si="68"/>
        <v>0</v>
      </c>
      <c r="CB73" s="1349">
        <f t="shared" si="69"/>
        <v>0</v>
      </c>
      <c r="CC73" s="1351" t="e">
        <f t="shared" si="70"/>
        <v>#DIV/0!</v>
      </c>
      <c r="CD73" s="1351" t="e">
        <f t="shared" si="70"/>
        <v>#DIV/0!</v>
      </c>
      <c r="CE73" s="1351" t="e">
        <f t="shared" si="44"/>
        <v>#DIV/0!</v>
      </c>
      <c r="CF73" s="1349" t="e">
        <f t="shared" si="20"/>
        <v>#DIV/0!</v>
      </c>
      <c r="CG73" s="1367">
        <f t="shared" si="21"/>
        <v>0</v>
      </c>
      <c r="CH73" s="1367" t="e">
        <f t="shared" si="45"/>
        <v>#DIV/0!</v>
      </c>
      <c r="CI73" s="1408"/>
      <c r="CJ73" s="1341">
        <f t="shared" si="71"/>
        <v>1678.2092319428571</v>
      </c>
      <c r="CK73" s="1341">
        <f t="shared" si="22"/>
        <v>1437.6125249142856</v>
      </c>
      <c r="CL73" s="1341">
        <f t="shared" ref="CL73:CL78" si="152">CJ73+CK73</f>
        <v>3115.8217568571426</v>
      </c>
      <c r="CM73" s="1341">
        <f t="shared" si="48"/>
        <v>3115.8217568571426</v>
      </c>
      <c r="CN73" s="1341">
        <f t="shared" si="49"/>
        <v>0</v>
      </c>
      <c r="CO73" s="1341">
        <f t="shared" si="23"/>
        <v>2836119.4988343953</v>
      </c>
      <c r="CP73" s="1341">
        <f t="shared" si="24"/>
        <v>2596516.7951150294</v>
      </c>
      <c r="CQ73" s="1341">
        <f t="shared" si="25"/>
        <v>2596516.7951150294</v>
      </c>
      <c r="CR73" s="1341">
        <f t="shared" si="26"/>
        <v>1398506.9739201097</v>
      </c>
      <c r="CS73" s="1341">
        <f t="shared" si="27"/>
        <v>3115821.7568571428</v>
      </c>
      <c r="CT73" s="1341">
        <f t="shared" si="28"/>
        <v>3115821.7568571428</v>
      </c>
      <c r="CU73" s="1341">
        <f t="shared" si="29"/>
        <v>1437612.5249142856</v>
      </c>
      <c r="CV73" s="1341">
        <f t="shared" si="50"/>
        <v>5712338.5519721722</v>
      </c>
      <c r="CW73" s="1350">
        <f t="shared" si="51"/>
        <v>8471.8680191964268</v>
      </c>
      <c r="CX73" s="1341">
        <f t="shared" si="30"/>
        <v>0</v>
      </c>
      <c r="CY73" s="1341">
        <f t="shared" si="31"/>
        <v>0</v>
      </c>
      <c r="CZ73" s="1341"/>
      <c r="DA73" s="1341">
        <f t="shared" si="32"/>
        <v>2596516.7951150294</v>
      </c>
      <c r="DB73" s="1341">
        <f t="shared" si="33"/>
        <v>3115821.7568571428</v>
      </c>
      <c r="DC73" s="1574"/>
      <c r="DD73" s="40" t="e">
        <f t="shared" si="52"/>
        <v>#DIV/0!</v>
      </c>
      <c r="DE73" s="1574"/>
      <c r="DF73" s="1574"/>
      <c r="DG73" s="1574"/>
      <c r="DH73" s="1487">
        <v>714.64285714285711</v>
      </c>
      <c r="DI73" s="1487">
        <v>0</v>
      </c>
      <c r="DJ73" s="1487">
        <f t="shared" si="57"/>
        <v>714.64285714285711</v>
      </c>
      <c r="DK73" s="1408"/>
      <c r="DL73" s="1352">
        <f t="shared" si="34"/>
        <v>0</v>
      </c>
      <c r="DM73" s="1352">
        <f t="shared" si="35"/>
        <v>0</v>
      </c>
      <c r="DN73" s="1352">
        <f t="shared" si="36"/>
        <v>0</v>
      </c>
      <c r="DO73" s="1312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</row>
    <row r="74" spans="1:142" s="50" customFormat="1" ht="70.5" hidden="1" customHeight="1">
      <c r="A74" s="6">
        <f t="shared" si="53"/>
        <v>61</v>
      </c>
      <c r="B74" s="1353"/>
      <c r="C74" s="1400" t="s">
        <v>157</v>
      </c>
      <c r="D74" s="1407" t="s">
        <v>161</v>
      </c>
      <c r="E74" s="1445">
        <v>4617004147</v>
      </c>
      <c r="F74" s="1407" t="s">
        <v>8</v>
      </c>
      <c r="G74" s="1446"/>
      <c r="H74" s="1355">
        <v>3850.8480191964254</v>
      </c>
      <c r="I74" s="1356">
        <v>3850.8480191964254</v>
      </c>
      <c r="J74" s="1356"/>
      <c r="K74" s="1356"/>
      <c r="L74" s="1356"/>
      <c r="M74" s="1357"/>
      <c r="N74" s="1657">
        <v>4621.0200000000004</v>
      </c>
      <c r="O74" s="1658">
        <v>4621.0200000000004</v>
      </c>
      <c r="P74" s="1359"/>
      <c r="Q74" s="1359"/>
      <c r="R74" s="1335"/>
      <c r="S74" s="1357"/>
      <c r="T74" s="1360">
        <f t="shared" si="150"/>
        <v>363.1685714285714</v>
      </c>
      <c r="U74" s="1361">
        <v>0</v>
      </c>
      <c r="V74" s="1361">
        <v>0</v>
      </c>
      <c r="W74" s="1361">
        <v>0</v>
      </c>
      <c r="X74" s="1361">
        <v>0</v>
      </c>
      <c r="Y74" s="1361">
        <v>0</v>
      </c>
      <c r="Z74" s="1342">
        <f t="shared" si="8"/>
        <v>363.1685714285714</v>
      </c>
      <c r="AA74" s="1362">
        <f t="shared" si="151"/>
        <v>311.10285714285709</v>
      </c>
      <c r="AB74" s="1361">
        <v>0</v>
      </c>
      <c r="AC74" s="1361">
        <v>0</v>
      </c>
      <c r="AD74" s="1361">
        <v>0</v>
      </c>
      <c r="AE74" s="1361">
        <v>0</v>
      </c>
      <c r="AF74" s="1361">
        <v>0</v>
      </c>
      <c r="AG74" s="1344">
        <f t="shared" si="58"/>
        <v>311.10285714285709</v>
      </c>
      <c r="AH74" s="1340">
        <f t="shared" si="59"/>
        <v>674.27142857142849</v>
      </c>
      <c r="AI74" s="1341">
        <f t="shared" si="82"/>
        <v>674.27142857142849</v>
      </c>
      <c r="AJ74" s="1341">
        <f t="shared" si="82"/>
        <v>0</v>
      </c>
      <c r="AK74" s="1341">
        <f t="shared" si="82"/>
        <v>0</v>
      </c>
      <c r="AL74" s="1341">
        <f t="shared" si="82"/>
        <v>0</v>
      </c>
      <c r="AM74" s="1341">
        <f t="shared" si="82"/>
        <v>0</v>
      </c>
      <c r="AN74" s="1341"/>
      <c r="AO74" s="1341">
        <f t="shared" si="79"/>
        <v>674.27142857142849</v>
      </c>
      <c r="AP74" s="1341">
        <f t="shared" si="80"/>
        <v>674.27142857142849</v>
      </c>
      <c r="AQ74" s="1345">
        <f t="shared" si="145"/>
        <v>674.27142857142849</v>
      </c>
      <c r="AR74" s="1346">
        <f t="shared" si="41"/>
        <v>0</v>
      </c>
      <c r="AS74" s="1347">
        <f t="shared" si="124"/>
        <v>2596516.7951150294</v>
      </c>
      <c r="AT74" s="1341">
        <f t="shared" si="124"/>
        <v>0</v>
      </c>
      <c r="AU74" s="1341">
        <f t="shared" si="124"/>
        <v>0</v>
      </c>
      <c r="AV74" s="1341">
        <f t="shared" si="124"/>
        <v>0</v>
      </c>
      <c r="AW74" s="1341">
        <f t="shared" si="124"/>
        <v>0</v>
      </c>
      <c r="AX74" s="1341">
        <f t="shared" si="146"/>
        <v>2596516.7951150294</v>
      </c>
      <c r="AY74" s="1341">
        <f t="shared" si="147"/>
        <v>2596516.7951150294</v>
      </c>
      <c r="AZ74" s="1341">
        <f t="shared" si="125"/>
        <v>3115821.7568571428</v>
      </c>
      <c r="BA74" s="1341">
        <f t="shared" si="125"/>
        <v>0</v>
      </c>
      <c r="BB74" s="1341">
        <f t="shared" si="125"/>
        <v>0</v>
      </c>
      <c r="BC74" s="1341">
        <f t="shared" si="125"/>
        <v>0</v>
      </c>
      <c r="BD74" s="1341">
        <f t="shared" si="125"/>
        <v>0</v>
      </c>
      <c r="BE74" s="1341">
        <f t="shared" si="148"/>
        <v>3115821.7568571428</v>
      </c>
      <c r="BF74" s="1345">
        <f t="shared" si="149"/>
        <v>3115821.7568571428</v>
      </c>
      <c r="BG74" s="1362"/>
      <c r="BH74" s="1361"/>
      <c r="BI74" s="1341">
        <f t="shared" si="143"/>
        <v>0</v>
      </c>
      <c r="BJ74" s="1425"/>
      <c r="BK74" s="1645"/>
      <c r="BL74" s="1341">
        <f t="shared" si="104"/>
        <v>1398506.9739201097</v>
      </c>
      <c r="BM74" s="1341">
        <f t="shared" si="104"/>
        <v>0</v>
      </c>
      <c r="BN74" s="1341">
        <f t="shared" si="104"/>
        <v>0</v>
      </c>
      <c r="BO74" s="1341">
        <f t="shared" si="104"/>
        <v>0</v>
      </c>
      <c r="BP74" s="1341">
        <f t="shared" si="104"/>
        <v>0</v>
      </c>
      <c r="BQ74" s="1341">
        <f t="shared" si="62"/>
        <v>1398506.9739201097</v>
      </c>
      <c r="BR74" s="1341">
        <f t="shared" si="63"/>
        <v>1398506.9739201097</v>
      </c>
      <c r="BS74" s="1341">
        <f t="shared" si="105"/>
        <v>1437612.5249142856</v>
      </c>
      <c r="BT74" s="1341">
        <f t="shared" si="105"/>
        <v>0</v>
      </c>
      <c r="BU74" s="1341">
        <f t="shared" si="105"/>
        <v>0</v>
      </c>
      <c r="BV74" s="1341">
        <f t="shared" si="65"/>
        <v>0</v>
      </c>
      <c r="BW74" s="1341">
        <f t="shared" si="19"/>
        <v>0</v>
      </c>
      <c r="BX74" s="1341">
        <f t="shared" si="66"/>
        <v>1437612.5249142856</v>
      </c>
      <c r="BY74" s="1341">
        <f t="shared" si="67"/>
        <v>1437612.5249142856</v>
      </c>
      <c r="BZ74" s="1349">
        <f t="shared" si="68"/>
        <v>0</v>
      </c>
      <c r="CA74" s="1349">
        <f t="shared" si="68"/>
        <v>0</v>
      </c>
      <c r="CB74" s="1349">
        <f t="shared" si="69"/>
        <v>0</v>
      </c>
      <c r="CC74" s="1351" t="e">
        <f t="shared" si="70"/>
        <v>#DIV/0!</v>
      </c>
      <c r="CD74" s="1351" t="e">
        <f t="shared" si="70"/>
        <v>#DIV/0!</v>
      </c>
      <c r="CE74" s="1351" t="e">
        <f t="shared" si="44"/>
        <v>#DIV/0!</v>
      </c>
      <c r="CF74" s="1349" t="e">
        <f t="shared" si="20"/>
        <v>#DIV/0!</v>
      </c>
      <c r="CG74" s="1367">
        <f t="shared" si="21"/>
        <v>0</v>
      </c>
      <c r="CH74" s="1367" t="e">
        <f t="shared" si="45"/>
        <v>#DIV/0!</v>
      </c>
      <c r="CI74" s="1408"/>
      <c r="CJ74" s="1341">
        <f t="shared" si="71"/>
        <v>1678.2092319428571</v>
      </c>
      <c r="CK74" s="1341">
        <f t="shared" si="22"/>
        <v>1437.6125249142856</v>
      </c>
      <c r="CL74" s="1341">
        <f t="shared" si="152"/>
        <v>3115.8217568571426</v>
      </c>
      <c r="CM74" s="1341">
        <f t="shared" si="48"/>
        <v>3115.8217568571426</v>
      </c>
      <c r="CN74" s="1341">
        <f t="shared" si="49"/>
        <v>0</v>
      </c>
      <c r="CO74" s="1341">
        <f t="shared" si="23"/>
        <v>2836119.4988343953</v>
      </c>
      <c r="CP74" s="1341">
        <f t="shared" si="24"/>
        <v>2596516.7951150294</v>
      </c>
      <c r="CQ74" s="1341">
        <f t="shared" si="25"/>
        <v>2596516.7951150294</v>
      </c>
      <c r="CR74" s="1341">
        <f t="shared" si="26"/>
        <v>1398506.9739201097</v>
      </c>
      <c r="CS74" s="1341">
        <f t="shared" si="27"/>
        <v>3115821.7568571428</v>
      </c>
      <c r="CT74" s="1341">
        <f t="shared" si="28"/>
        <v>3115821.7568571428</v>
      </c>
      <c r="CU74" s="1341">
        <f t="shared" si="29"/>
        <v>1437612.5249142856</v>
      </c>
      <c r="CV74" s="1341">
        <f t="shared" si="50"/>
        <v>5712338.5519721722</v>
      </c>
      <c r="CW74" s="1350">
        <f t="shared" si="51"/>
        <v>8471.8680191964268</v>
      </c>
      <c r="CX74" s="1341">
        <f t="shared" si="30"/>
        <v>0</v>
      </c>
      <c r="CY74" s="1341">
        <f t="shared" si="31"/>
        <v>0</v>
      </c>
      <c r="CZ74" s="1341"/>
      <c r="DA74" s="1341">
        <f t="shared" si="32"/>
        <v>2596516.7951150294</v>
      </c>
      <c r="DB74" s="1341">
        <f t="shared" si="33"/>
        <v>3115821.7568571428</v>
      </c>
      <c r="DC74" s="1574"/>
      <c r="DD74" s="40" t="e">
        <f t="shared" si="52"/>
        <v>#DIV/0!</v>
      </c>
      <c r="DE74" s="1574"/>
      <c r="DF74" s="1574"/>
      <c r="DG74" s="1574"/>
      <c r="DH74" s="1487">
        <v>714.64285714285711</v>
      </c>
      <c r="DI74" s="1487">
        <v>0</v>
      </c>
      <c r="DJ74" s="1487">
        <f t="shared" si="57"/>
        <v>714.64285714285711</v>
      </c>
      <c r="DK74" s="1408"/>
      <c r="DL74" s="1352">
        <f t="shared" si="34"/>
        <v>0</v>
      </c>
      <c r="DM74" s="1352">
        <f t="shared" si="35"/>
        <v>0</v>
      </c>
      <c r="DN74" s="1352">
        <f t="shared" si="36"/>
        <v>0</v>
      </c>
      <c r="DO74" s="1312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</row>
    <row r="75" spans="1:142" s="50" customFormat="1" ht="72" hidden="1" customHeight="1">
      <c r="A75" s="6">
        <f t="shared" si="53"/>
        <v>62</v>
      </c>
      <c r="B75" s="1353"/>
      <c r="C75" s="1400" t="s">
        <v>158</v>
      </c>
      <c r="D75" s="1407" t="s">
        <v>161</v>
      </c>
      <c r="E75" s="1445">
        <v>4617004147</v>
      </c>
      <c r="F75" s="1407" t="s">
        <v>8</v>
      </c>
      <c r="G75" s="1446"/>
      <c r="H75" s="1355">
        <v>3850.8480191964254</v>
      </c>
      <c r="I75" s="1356">
        <v>3850.8480191964254</v>
      </c>
      <c r="J75" s="1356"/>
      <c r="K75" s="1356"/>
      <c r="L75" s="1356"/>
      <c r="M75" s="1357"/>
      <c r="N75" s="1657">
        <v>4621.0200000000004</v>
      </c>
      <c r="O75" s="1658">
        <v>4621.0200000000004</v>
      </c>
      <c r="P75" s="1359"/>
      <c r="Q75" s="1359"/>
      <c r="R75" s="1335"/>
      <c r="S75" s="1357"/>
      <c r="T75" s="1360">
        <f t="shared" si="150"/>
        <v>363.1685714285714</v>
      </c>
      <c r="U75" s="1361">
        <v>0</v>
      </c>
      <c r="V75" s="1361">
        <v>0</v>
      </c>
      <c r="W75" s="1361">
        <v>0</v>
      </c>
      <c r="X75" s="1361">
        <v>0</v>
      </c>
      <c r="Y75" s="1361">
        <v>0</v>
      </c>
      <c r="Z75" s="1342">
        <f t="shared" si="8"/>
        <v>363.1685714285714</v>
      </c>
      <c r="AA75" s="1362">
        <f t="shared" si="151"/>
        <v>311.10285714285709</v>
      </c>
      <c r="AB75" s="1361">
        <v>0</v>
      </c>
      <c r="AC75" s="1361">
        <v>0</v>
      </c>
      <c r="AD75" s="1361">
        <v>0</v>
      </c>
      <c r="AE75" s="1361">
        <v>0</v>
      </c>
      <c r="AF75" s="1361">
        <v>0</v>
      </c>
      <c r="AG75" s="1344">
        <f t="shared" si="58"/>
        <v>311.10285714285709</v>
      </c>
      <c r="AH75" s="1340">
        <f t="shared" si="59"/>
        <v>674.27142857142849</v>
      </c>
      <c r="AI75" s="1341">
        <f t="shared" si="82"/>
        <v>674.27142857142849</v>
      </c>
      <c r="AJ75" s="1341">
        <f t="shared" si="82"/>
        <v>0</v>
      </c>
      <c r="AK75" s="1341">
        <f t="shared" si="82"/>
        <v>0</v>
      </c>
      <c r="AL75" s="1341">
        <f t="shared" si="82"/>
        <v>0</v>
      </c>
      <c r="AM75" s="1341">
        <f t="shared" si="82"/>
        <v>0</v>
      </c>
      <c r="AN75" s="1341"/>
      <c r="AO75" s="1341">
        <f t="shared" si="79"/>
        <v>674.27142857142849</v>
      </c>
      <c r="AP75" s="1341">
        <f t="shared" si="80"/>
        <v>674.27142857142849</v>
      </c>
      <c r="AQ75" s="1345">
        <f t="shared" si="145"/>
        <v>674.27142857142849</v>
      </c>
      <c r="AR75" s="1346">
        <f t="shared" si="41"/>
        <v>0</v>
      </c>
      <c r="AS75" s="1347">
        <f t="shared" si="124"/>
        <v>2596516.7951150294</v>
      </c>
      <c r="AT75" s="1341">
        <f t="shared" si="124"/>
        <v>0</v>
      </c>
      <c r="AU75" s="1341">
        <f t="shared" si="124"/>
        <v>0</v>
      </c>
      <c r="AV75" s="1341">
        <f t="shared" si="124"/>
        <v>0</v>
      </c>
      <c r="AW75" s="1341">
        <f t="shared" si="124"/>
        <v>0</v>
      </c>
      <c r="AX75" s="1341">
        <f t="shared" si="146"/>
        <v>2596516.7951150294</v>
      </c>
      <c r="AY75" s="1341">
        <f t="shared" si="147"/>
        <v>2596516.7951150294</v>
      </c>
      <c r="AZ75" s="1341">
        <f t="shared" si="125"/>
        <v>3115821.7568571428</v>
      </c>
      <c r="BA75" s="1341">
        <f t="shared" si="125"/>
        <v>0</v>
      </c>
      <c r="BB75" s="1341">
        <f t="shared" si="125"/>
        <v>0</v>
      </c>
      <c r="BC75" s="1341">
        <f t="shared" si="125"/>
        <v>0</v>
      </c>
      <c r="BD75" s="1341">
        <f t="shared" si="125"/>
        <v>0</v>
      </c>
      <c r="BE75" s="1341">
        <f t="shared" si="148"/>
        <v>3115821.7568571428</v>
      </c>
      <c r="BF75" s="1345">
        <f t="shared" si="149"/>
        <v>3115821.7568571428</v>
      </c>
      <c r="BG75" s="1362"/>
      <c r="BH75" s="1361"/>
      <c r="BI75" s="1341">
        <f t="shared" si="143"/>
        <v>0</v>
      </c>
      <c r="BJ75" s="1425"/>
      <c r="BK75" s="1645"/>
      <c r="BL75" s="1341">
        <f t="shared" ref="BL75:BP108" si="153">I75*T75</f>
        <v>1398506.9739201097</v>
      </c>
      <c r="BM75" s="1341">
        <f t="shared" si="153"/>
        <v>0</v>
      </c>
      <c r="BN75" s="1341">
        <f t="shared" si="153"/>
        <v>0</v>
      </c>
      <c r="BO75" s="1341">
        <f t="shared" si="153"/>
        <v>0</v>
      </c>
      <c r="BP75" s="1341">
        <f t="shared" si="153"/>
        <v>0</v>
      </c>
      <c r="BQ75" s="1341">
        <f t="shared" si="62"/>
        <v>1398506.9739201097</v>
      </c>
      <c r="BR75" s="1341">
        <f t="shared" si="63"/>
        <v>1398506.9739201097</v>
      </c>
      <c r="BS75" s="1341">
        <f t="shared" ref="BS75:BU108" si="154">O75*AA75</f>
        <v>1437612.5249142856</v>
      </c>
      <c r="BT75" s="1341">
        <f t="shared" si="154"/>
        <v>0</v>
      </c>
      <c r="BU75" s="1341">
        <f t="shared" si="154"/>
        <v>0</v>
      </c>
      <c r="BV75" s="1341">
        <f t="shared" si="65"/>
        <v>0</v>
      </c>
      <c r="BW75" s="1341">
        <f t="shared" si="19"/>
        <v>0</v>
      </c>
      <c r="BX75" s="1341">
        <f t="shared" si="66"/>
        <v>1437612.5249142856</v>
      </c>
      <c r="BY75" s="1341">
        <f t="shared" si="67"/>
        <v>1437612.5249142856</v>
      </c>
      <c r="BZ75" s="1349">
        <f t="shared" ref="BZ75:CA141" si="155">BM75+BT75</f>
        <v>0</v>
      </c>
      <c r="CA75" s="1349">
        <f t="shared" si="155"/>
        <v>0</v>
      </c>
      <c r="CB75" s="1349">
        <f t="shared" si="69"/>
        <v>0</v>
      </c>
      <c r="CC75" s="1351" t="e">
        <f t="shared" ref="CC75:CD141" si="156">BZ75/AJ75</f>
        <v>#DIV/0!</v>
      </c>
      <c r="CD75" s="1351" t="e">
        <f t="shared" si="156"/>
        <v>#DIV/0!</v>
      </c>
      <c r="CE75" s="1351" t="e">
        <f t="shared" si="44"/>
        <v>#DIV/0!</v>
      </c>
      <c r="CF75" s="1349" t="e">
        <f t="shared" si="20"/>
        <v>#DIV/0!</v>
      </c>
      <c r="CG75" s="1367">
        <f t="shared" si="21"/>
        <v>0</v>
      </c>
      <c r="CH75" s="1367" t="e">
        <f t="shared" si="45"/>
        <v>#DIV/0!</v>
      </c>
      <c r="CI75" s="1408"/>
      <c r="CJ75" s="1341">
        <f t="shared" si="71"/>
        <v>1678.2092319428571</v>
      </c>
      <c r="CK75" s="1341">
        <f t="shared" si="22"/>
        <v>1437.6125249142856</v>
      </c>
      <c r="CL75" s="1341">
        <f t="shared" si="152"/>
        <v>3115.8217568571426</v>
      </c>
      <c r="CM75" s="1341">
        <f t="shared" si="48"/>
        <v>3115.8217568571426</v>
      </c>
      <c r="CN75" s="1341">
        <f t="shared" si="49"/>
        <v>0</v>
      </c>
      <c r="CO75" s="1341">
        <f t="shared" si="23"/>
        <v>2836119.4988343953</v>
      </c>
      <c r="CP75" s="1341">
        <f t="shared" si="24"/>
        <v>2596516.7951150294</v>
      </c>
      <c r="CQ75" s="1341">
        <f t="shared" si="25"/>
        <v>2596516.7951150294</v>
      </c>
      <c r="CR75" s="1341">
        <f t="shared" si="26"/>
        <v>1398506.9739201097</v>
      </c>
      <c r="CS75" s="1341">
        <f t="shared" si="27"/>
        <v>3115821.7568571428</v>
      </c>
      <c r="CT75" s="1341">
        <f t="shared" si="28"/>
        <v>3115821.7568571428</v>
      </c>
      <c r="CU75" s="1341">
        <f t="shared" si="29"/>
        <v>1437612.5249142856</v>
      </c>
      <c r="CV75" s="1341">
        <f t="shared" si="50"/>
        <v>5712338.5519721722</v>
      </c>
      <c r="CW75" s="1350">
        <f t="shared" si="51"/>
        <v>8471.8680191964268</v>
      </c>
      <c r="CX75" s="1341">
        <f t="shared" si="30"/>
        <v>0</v>
      </c>
      <c r="CY75" s="1341">
        <f t="shared" si="31"/>
        <v>0</v>
      </c>
      <c r="CZ75" s="1341"/>
      <c r="DA75" s="1341">
        <f t="shared" si="32"/>
        <v>2596516.7951150294</v>
      </c>
      <c r="DB75" s="1341">
        <f t="shared" si="33"/>
        <v>3115821.7568571428</v>
      </c>
      <c r="DC75" s="1574"/>
      <c r="DD75" s="40" t="e">
        <f t="shared" si="52"/>
        <v>#DIV/0!</v>
      </c>
      <c r="DE75" s="1574"/>
      <c r="DF75" s="1574"/>
      <c r="DG75" s="1574"/>
      <c r="DH75" s="1487">
        <v>714.64285714285711</v>
      </c>
      <c r="DI75" s="1487">
        <v>0</v>
      </c>
      <c r="DJ75" s="1487">
        <f t="shared" si="57"/>
        <v>714.64285714285711</v>
      </c>
      <c r="DK75" s="1408"/>
      <c r="DL75" s="1352">
        <f t="shared" si="34"/>
        <v>0</v>
      </c>
      <c r="DM75" s="1352">
        <f t="shared" si="35"/>
        <v>0</v>
      </c>
      <c r="DN75" s="1352">
        <f t="shared" si="36"/>
        <v>0</v>
      </c>
      <c r="DO75" s="1312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</row>
    <row r="76" spans="1:142" s="50" customFormat="1" ht="75" hidden="1" customHeight="1">
      <c r="A76" s="6">
        <f t="shared" si="53"/>
        <v>63</v>
      </c>
      <c r="B76" s="1353"/>
      <c r="C76" s="1400" t="s">
        <v>159</v>
      </c>
      <c r="D76" s="1407" t="s">
        <v>161</v>
      </c>
      <c r="E76" s="1445">
        <v>4617004147</v>
      </c>
      <c r="F76" s="1407" t="s">
        <v>8</v>
      </c>
      <c r="G76" s="1446"/>
      <c r="H76" s="1355">
        <v>3850.8480191964254</v>
      </c>
      <c r="I76" s="1356">
        <v>3850.8480191964254</v>
      </c>
      <c r="J76" s="1356"/>
      <c r="K76" s="1356"/>
      <c r="L76" s="1356"/>
      <c r="M76" s="1357"/>
      <c r="N76" s="1657">
        <v>4621.0200000000004</v>
      </c>
      <c r="O76" s="1658">
        <v>4621.0200000000004</v>
      </c>
      <c r="P76" s="1359"/>
      <c r="Q76" s="1359"/>
      <c r="R76" s="1335"/>
      <c r="S76" s="1357"/>
      <c r="T76" s="1360">
        <f t="shared" si="150"/>
        <v>363.1685714285714</v>
      </c>
      <c r="U76" s="1361">
        <v>0</v>
      </c>
      <c r="V76" s="1361">
        <v>0</v>
      </c>
      <c r="W76" s="1361">
        <v>0</v>
      </c>
      <c r="X76" s="1361">
        <v>0</v>
      </c>
      <c r="Y76" s="1361">
        <v>0</v>
      </c>
      <c r="Z76" s="1342">
        <f>SUM(T76:W76)</f>
        <v>363.1685714285714</v>
      </c>
      <c r="AA76" s="1362">
        <f t="shared" si="151"/>
        <v>311.10285714285709</v>
      </c>
      <c r="AB76" s="1361">
        <v>0</v>
      </c>
      <c r="AC76" s="1361">
        <v>0</v>
      </c>
      <c r="AD76" s="1361">
        <v>0</v>
      </c>
      <c r="AE76" s="1361">
        <v>0</v>
      </c>
      <c r="AF76" s="1361">
        <v>0</v>
      </c>
      <c r="AG76" s="1344">
        <f>SUM(AA76:AD76)</f>
        <v>311.10285714285709</v>
      </c>
      <c r="AH76" s="1340">
        <f t="shared" si="59"/>
        <v>674.27142857142849</v>
      </c>
      <c r="AI76" s="1341">
        <f t="shared" si="82"/>
        <v>674.27142857142849</v>
      </c>
      <c r="AJ76" s="1341">
        <f t="shared" si="82"/>
        <v>0</v>
      </c>
      <c r="AK76" s="1341">
        <f t="shared" si="82"/>
        <v>0</v>
      </c>
      <c r="AL76" s="1341">
        <f t="shared" si="82"/>
        <v>0</v>
      </c>
      <c r="AM76" s="1341">
        <f t="shared" si="82"/>
        <v>0</v>
      </c>
      <c r="AN76" s="1341"/>
      <c r="AO76" s="1341">
        <f t="shared" si="79"/>
        <v>674.27142857142849</v>
      </c>
      <c r="AP76" s="1341">
        <f t="shared" si="80"/>
        <v>674.27142857142849</v>
      </c>
      <c r="AQ76" s="1345">
        <f t="shared" si="145"/>
        <v>674.27142857142849</v>
      </c>
      <c r="AR76" s="1346">
        <f t="shared" si="41"/>
        <v>0</v>
      </c>
      <c r="AS76" s="1347">
        <f t="shared" si="124"/>
        <v>2596516.7951150294</v>
      </c>
      <c r="AT76" s="1341">
        <f t="shared" si="124"/>
        <v>0</v>
      </c>
      <c r="AU76" s="1341">
        <f t="shared" si="124"/>
        <v>0</v>
      </c>
      <c r="AV76" s="1341">
        <f t="shared" si="124"/>
        <v>0</v>
      </c>
      <c r="AW76" s="1341">
        <f t="shared" si="124"/>
        <v>0</v>
      </c>
      <c r="AX76" s="1341">
        <f t="shared" si="146"/>
        <v>2596516.7951150294</v>
      </c>
      <c r="AY76" s="1341">
        <f t="shared" si="147"/>
        <v>2596516.7951150294</v>
      </c>
      <c r="AZ76" s="1341">
        <f t="shared" si="125"/>
        <v>3115821.7568571428</v>
      </c>
      <c r="BA76" s="1341">
        <f t="shared" si="125"/>
        <v>0</v>
      </c>
      <c r="BB76" s="1341">
        <f t="shared" si="125"/>
        <v>0</v>
      </c>
      <c r="BC76" s="1341">
        <f t="shared" si="125"/>
        <v>0</v>
      </c>
      <c r="BD76" s="1341">
        <f t="shared" si="125"/>
        <v>0</v>
      </c>
      <c r="BE76" s="1341">
        <f t="shared" si="148"/>
        <v>3115821.7568571428</v>
      </c>
      <c r="BF76" s="1345">
        <f t="shared" si="149"/>
        <v>3115821.7568571428</v>
      </c>
      <c r="BG76" s="1362"/>
      <c r="BH76" s="1361"/>
      <c r="BI76" s="1341">
        <f t="shared" si="143"/>
        <v>0</v>
      </c>
      <c r="BJ76" s="1425"/>
      <c r="BK76" s="1645"/>
      <c r="BL76" s="1341">
        <f t="shared" si="153"/>
        <v>1398506.9739201097</v>
      </c>
      <c r="BM76" s="1341">
        <f t="shared" si="153"/>
        <v>0</v>
      </c>
      <c r="BN76" s="1341">
        <f t="shared" si="153"/>
        <v>0</v>
      </c>
      <c r="BO76" s="1341">
        <f t="shared" si="153"/>
        <v>0</v>
      </c>
      <c r="BP76" s="1341">
        <f t="shared" si="153"/>
        <v>0</v>
      </c>
      <c r="BQ76" s="1341">
        <f t="shared" si="62"/>
        <v>1398506.9739201097</v>
      </c>
      <c r="BR76" s="1341">
        <f t="shared" si="63"/>
        <v>1398506.9739201097</v>
      </c>
      <c r="BS76" s="1341">
        <f t="shared" si="154"/>
        <v>1437612.5249142856</v>
      </c>
      <c r="BT76" s="1341">
        <f t="shared" si="154"/>
        <v>0</v>
      </c>
      <c r="BU76" s="1341">
        <f t="shared" si="154"/>
        <v>0</v>
      </c>
      <c r="BV76" s="1341">
        <f t="shared" si="65"/>
        <v>0</v>
      </c>
      <c r="BW76" s="1341">
        <f t="shared" si="19"/>
        <v>0</v>
      </c>
      <c r="BX76" s="1341">
        <f t="shared" si="66"/>
        <v>1437612.5249142856</v>
      </c>
      <c r="BY76" s="1341">
        <f t="shared" si="67"/>
        <v>1437612.5249142856</v>
      </c>
      <c r="BZ76" s="1349">
        <f t="shared" si="155"/>
        <v>0</v>
      </c>
      <c r="CA76" s="1349">
        <f t="shared" si="155"/>
        <v>0</v>
      </c>
      <c r="CB76" s="1349">
        <f t="shared" si="69"/>
        <v>0</v>
      </c>
      <c r="CC76" s="1351" t="e">
        <f t="shared" si="156"/>
        <v>#DIV/0!</v>
      </c>
      <c r="CD76" s="1351" t="e">
        <f t="shared" si="156"/>
        <v>#DIV/0!</v>
      </c>
      <c r="CE76" s="1351" t="e">
        <f t="shared" si="44"/>
        <v>#DIV/0!</v>
      </c>
      <c r="CF76" s="1349" t="e">
        <f t="shared" si="20"/>
        <v>#DIV/0!</v>
      </c>
      <c r="CG76" s="1367">
        <f t="shared" si="21"/>
        <v>0</v>
      </c>
      <c r="CH76" s="1367" t="e">
        <f t="shared" si="45"/>
        <v>#DIV/0!</v>
      </c>
      <c r="CI76" s="1408"/>
      <c r="CJ76" s="1341">
        <f t="shared" si="71"/>
        <v>1678.2092319428571</v>
      </c>
      <c r="CK76" s="1341">
        <f t="shared" si="22"/>
        <v>1437.6125249142856</v>
      </c>
      <c r="CL76" s="1341">
        <f t="shared" si="152"/>
        <v>3115.8217568571426</v>
      </c>
      <c r="CM76" s="1341">
        <f t="shared" si="48"/>
        <v>3115.8217568571426</v>
      </c>
      <c r="CN76" s="1341">
        <f t="shared" si="49"/>
        <v>0</v>
      </c>
      <c r="CO76" s="1341">
        <f t="shared" si="23"/>
        <v>2836119.4988343953</v>
      </c>
      <c r="CP76" s="1341">
        <f t="shared" si="24"/>
        <v>2596516.7951150294</v>
      </c>
      <c r="CQ76" s="1341">
        <f t="shared" si="25"/>
        <v>2596516.7951150294</v>
      </c>
      <c r="CR76" s="1341">
        <f t="shared" si="26"/>
        <v>1398506.9739201097</v>
      </c>
      <c r="CS76" s="1341">
        <f t="shared" si="27"/>
        <v>3115821.7568571428</v>
      </c>
      <c r="CT76" s="1341">
        <f t="shared" si="28"/>
        <v>3115821.7568571428</v>
      </c>
      <c r="CU76" s="1341">
        <f t="shared" si="29"/>
        <v>1437612.5249142856</v>
      </c>
      <c r="CV76" s="1341">
        <f t="shared" si="50"/>
        <v>5712338.5519721722</v>
      </c>
      <c r="CW76" s="1350">
        <f t="shared" si="51"/>
        <v>8471.8680191964268</v>
      </c>
      <c r="CX76" s="1341">
        <f t="shared" si="30"/>
        <v>0</v>
      </c>
      <c r="CY76" s="1341">
        <f t="shared" si="31"/>
        <v>0</v>
      </c>
      <c r="CZ76" s="1341"/>
      <c r="DA76" s="1341">
        <f t="shared" si="32"/>
        <v>2596516.7951150294</v>
      </c>
      <c r="DB76" s="1341">
        <f t="shared" si="33"/>
        <v>3115821.7568571428</v>
      </c>
      <c r="DC76" s="1574"/>
      <c r="DD76" s="40" t="e">
        <f t="shared" si="52"/>
        <v>#DIV/0!</v>
      </c>
      <c r="DE76" s="1574"/>
      <c r="DF76" s="1574"/>
      <c r="DG76" s="1574"/>
      <c r="DH76" s="1487">
        <v>714.64285714285711</v>
      </c>
      <c r="DI76" s="1487">
        <v>0</v>
      </c>
      <c r="DJ76" s="1487">
        <f t="shared" si="57"/>
        <v>714.64285714285711</v>
      </c>
      <c r="DK76" s="1408"/>
      <c r="DL76" s="1352">
        <f t="shared" si="34"/>
        <v>0</v>
      </c>
      <c r="DM76" s="1352">
        <f t="shared" si="35"/>
        <v>0</v>
      </c>
      <c r="DN76" s="1352">
        <f t="shared" si="36"/>
        <v>0</v>
      </c>
      <c r="DO76" s="1312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</row>
    <row r="77" spans="1:142" s="50" customFormat="1" ht="72.75" hidden="1" customHeight="1">
      <c r="A77" s="6">
        <f t="shared" si="53"/>
        <v>64</v>
      </c>
      <c r="B77" s="1353"/>
      <c r="C77" s="1400" t="s">
        <v>160</v>
      </c>
      <c r="D77" s="1407" t="s">
        <v>161</v>
      </c>
      <c r="E77" s="1445">
        <v>4617004147</v>
      </c>
      <c r="F77" s="1407" t="s">
        <v>8</v>
      </c>
      <c r="G77" s="1446"/>
      <c r="H77" s="1355">
        <v>3850.8480191964254</v>
      </c>
      <c r="I77" s="1356">
        <v>3850.8480191964254</v>
      </c>
      <c r="J77" s="1356"/>
      <c r="K77" s="1356"/>
      <c r="L77" s="1356"/>
      <c r="M77" s="1357"/>
      <c r="N77" s="1657">
        <v>4621.0200000000004</v>
      </c>
      <c r="O77" s="1658">
        <v>4621.0200000000004</v>
      </c>
      <c r="P77" s="1359"/>
      <c r="Q77" s="1359"/>
      <c r="R77" s="1335"/>
      <c r="S77" s="1357"/>
      <c r="T77" s="1360">
        <f t="shared" si="150"/>
        <v>363.1685714285714</v>
      </c>
      <c r="U77" s="1361">
        <v>0</v>
      </c>
      <c r="V77" s="1361">
        <v>0</v>
      </c>
      <c r="W77" s="1361">
        <v>0</v>
      </c>
      <c r="X77" s="1361">
        <v>0</v>
      </c>
      <c r="Y77" s="1361">
        <v>0</v>
      </c>
      <c r="Z77" s="1342">
        <f>SUM(T77:W77)</f>
        <v>363.1685714285714</v>
      </c>
      <c r="AA77" s="1362">
        <f t="shared" si="151"/>
        <v>311.10285714285709</v>
      </c>
      <c r="AB77" s="1361">
        <v>0</v>
      </c>
      <c r="AC77" s="1361">
        <v>0</v>
      </c>
      <c r="AD77" s="1361">
        <v>0</v>
      </c>
      <c r="AE77" s="1361">
        <v>0</v>
      </c>
      <c r="AF77" s="1361">
        <v>0</v>
      </c>
      <c r="AG77" s="1344">
        <f>SUM(AA77:AD77)</f>
        <v>311.10285714285709</v>
      </c>
      <c r="AH77" s="1340">
        <f t="shared" si="59"/>
        <v>674.27142857142849</v>
      </c>
      <c r="AI77" s="1341">
        <f t="shared" si="82"/>
        <v>674.27142857142849</v>
      </c>
      <c r="AJ77" s="1341">
        <f t="shared" si="82"/>
        <v>0</v>
      </c>
      <c r="AK77" s="1341">
        <f t="shared" si="82"/>
        <v>0</v>
      </c>
      <c r="AL77" s="1341">
        <f t="shared" si="82"/>
        <v>0</v>
      </c>
      <c r="AM77" s="1341">
        <f t="shared" si="82"/>
        <v>0</v>
      </c>
      <c r="AN77" s="1341"/>
      <c r="AO77" s="1341">
        <f t="shared" si="79"/>
        <v>674.27142857142849</v>
      </c>
      <c r="AP77" s="1341">
        <f t="shared" si="80"/>
        <v>674.27142857142849</v>
      </c>
      <c r="AQ77" s="1345">
        <f t="shared" si="145"/>
        <v>674.27142857142849</v>
      </c>
      <c r="AR77" s="1346">
        <f t="shared" si="41"/>
        <v>0</v>
      </c>
      <c r="AS77" s="1347">
        <f t="shared" si="124"/>
        <v>2596516.7951150294</v>
      </c>
      <c r="AT77" s="1341">
        <f t="shared" si="124"/>
        <v>0</v>
      </c>
      <c r="AU77" s="1341">
        <f t="shared" si="124"/>
        <v>0</v>
      </c>
      <c r="AV77" s="1341">
        <f t="shared" si="124"/>
        <v>0</v>
      </c>
      <c r="AW77" s="1341">
        <f t="shared" si="124"/>
        <v>0</v>
      </c>
      <c r="AX77" s="1341">
        <f t="shared" si="146"/>
        <v>2596516.7951150294</v>
      </c>
      <c r="AY77" s="1341">
        <f t="shared" si="147"/>
        <v>2596516.7951150294</v>
      </c>
      <c r="AZ77" s="1341">
        <f t="shared" si="125"/>
        <v>3115821.7568571428</v>
      </c>
      <c r="BA77" s="1341">
        <f t="shared" si="125"/>
        <v>0</v>
      </c>
      <c r="BB77" s="1341">
        <f t="shared" si="125"/>
        <v>0</v>
      </c>
      <c r="BC77" s="1341">
        <f t="shared" si="125"/>
        <v>0</v>
      </c>
      <c r="BD77" s="1341">
        <f t="shared" si="125"/>
        <v>0</v>
      </c>
      <c r="BE77" s="1341">
        <f t="shared" si="148"/>
        <v>3115821.7568571428</v>
      </c>
      <c r="BF77" s="1345">
        <f t="shared" si="149"/>
        <v>3115821.7568571428</v>
      </c>
      <c r="BG77" s="1362"/>
      <c r="BH77" s="1361"/>
      <c r="BI77" s="1341">
        <f t="shared" si="143"/>
        <v>0</v>
      </c>
      <c r="BJ77" s="1425"/>
      <c r="BK77" s="1645"/>
      <c r="BL77" s="1341">
        <f t="shared" si="153"/>
        <v>1398506.9739201097</v>
      </c>
      <c r="BM77" s="1341">
        <f t="shared" si="153"/>
        <v>0</v>
      </c>
      <c r="BN77" s="1341">
        <f t="shared" si="153"/>
        <v>0</v>
      </c>
      <c r="BO77" s="1341">
        <f t="shared" si="153"/>
        <v>0</v>
      </c>
      <c r="BP77" s="1341">
        <f t="shared" si="153"/>
        <v>0</v>
      </c>
      <c r="BQ77" s="1341">
        <f t="shared" si="62"/>
        <v>1398506.9739201097</v>
      </c>
      <c r="BR77" s="1341">
        <f t="shared" si="63"/>
        <v>1398506.9739201097</v>
      </c>
      <c r="BS77" s="1341">
        <f t="shared" si="154"/>
        <v>1437612.5249142856</v>
      </c>
      <c r="BT77" s="1341">
        <f t="shared" si="154"/>
        <v>0</v>
      </c>
      <c r="BU77" s="1341">
        <f t="shared" si="154"/>
        <v>0</v>
      </c>
      <c r="BV77" s="1341">
        <f t="shared" si="65"/>
        <v>0</v>
      </c>
      <c r="BW77" s="1341">
        <f t="shared" si="19"/>
        <v>0</v>
      </c>
      <c r="BX77" s="1341">
        <f t="shared" si="66"/>
        <v>1437612.5249142856</v>
      </c>
      <c r="BY77" s="1341">
        <f t="shared" si="67"/>
        <v>1437612.5249142856</v>
      </c>
      <c r="BZ77" s="1349">
        <f t="shared" si="155"/>
        <v>0</v>
      </c>
      <c r="CA77" s="1349">
        <f t="shared" si="155"/>
        <v>0</v>
      </c>
      <c r="CB77" s="1349">
        <f t="shared" si="69"/>
        <v>0</v>
      </c>
      <c r="CC77" s="1351" t="e">
        <f t="shared" si="156"/>
        <v>#DIV/0!</v>
      </c>
      <c r="CD77" s="1351" t="e">
        <f t="shared" si="156"/>
        <v>#DIV/0!</v>
      </c>
      <c r="CE77" s="1351" t="e">
        <f t="shared" si="44"/>
        <v>#DIV/0!</v>
      </c>
      <c r="CF77" s="1349" t="e">
        <f t="shared" si="20"/>
        <v>#DIV/0!</v>
      </c>
      <c r="CG77" s="1367">
        <f t="shared" si="21"/>
        <v>0</v>
      </c>
      <c r="CH77" s="1367" t="e">
        <f t="shared" si="45"/>
        <v>#DIV/0!</v>
      </c>
      <c r="CI77" s="1408"/>
      <c r="CJ77" s="1341">
        <f t="shared" si="71"/>
        <v>1678.2092319428571</v>
      </c>
      <c r="CK77" s="1341">
        <f t="shared" si="22"/>
        <v>1437.6125249142856</v>
      </c>
      <c r="CL77" s="1341">
        <f t="shared" si="152"/>
        <v>3115.8217568571426</v>
      </c>
      <c r="CM77" s="1341">
        <f t="shared" si="48"/>
        <v>3115.8217568571426</v>
      </c>
      <c r="CN77" s="1341">
        <f t="shared" si="49"/>
        <v>0</v>
      </c>
      <c r="CO77" s="1341">
        <f t="shared" si="23"/>
        <v>2836119.4988343953</v>
      </c>
      <c r="CP77" s="1341">
        <f t="shared" si="24"/>
        <v>2596516.7951150294</v>
      </c>
      <c r="CQ77" s="1341">
        <f t="shared" si="25"/>
        <v>2596516.7951150294</v>
      </c>
      <c r="CR77" s="1341">
        <f t="shared" si="26"/>
        <v>1398506.9739201097</v>
      </c>
      <c r="CS77" s="1341">
        <f t="shared" si="27"/>
        <v>3115821.7568571428</v>
      </c>
      <c r="CT77" s="1341">
        <f t="shared" si="28"/>
        <v>3115821.7568571428</v>
      </c>
      <c r="CU77" s="1341">
        <f t="shared" si="29"/>
        <v>1437612.5249142856</v>
      </c>
      <c r="CV77" s="1341">
        <f t="shared" si="50"/>
        <v>5712338.5519721722</v>
      </c>
      <c r="CW77" s="1350">
        <f t="shared" si="51"/>
        <v>8471.8680191964268</v>
      </c>
      <c r="CX77" s="1341">
        <f t="shared" si="30"/>
        <v>0</v>
      </c>
      <c r="CY77" s="1341">
        <f t="shared" si="31"/>
        <v>0</v>
      </c>
      <c r="CZ77" s="1341"/>
      <c r="DA77" s="1341">
        <f t="shared" si="32"/>
        <v>2596516.7951150294</v>
      </c>
      <c r="DB77" s="1341">
        <f t="shared" si="33"/>
        <v>3115821.7568571428</v>
      </c>
      <c r="DC77" s="1574"/>
      <c r="DD77" s="40" t="e">
        <f t="shared" si="52"/>
        <v>#DIV/0!</v>
      </c>
      <c r="DE77" s="1574"/>
      <c r="DF77" s="1574"/>
      <c r="DG77" s="1574"/>
      <c r="DH77" s="1487">
        <v>714.64285714285711</v>
      </c>
      <c r="DI77" s="1487">
        <v>0</v>
      </c>
      <c r="DJ77" s="1487">
        <f t="shared" si="57"/>
        <v>714.64285714285711</v>
      </c>
      <c r="DK77" s="1408"/>
      <c r="DL77" s="1352">
        <f t="shared" si="34"/>
        <v>0</v>
      </c>
      <c r="DM77" s="1352">
        <f t="shared" si="35"/>
        <v>0</v>
      </c>
      <c r="DN77" s="1352">
        <f t="shared" si="36"/>
        <v>0</v>
      </c>
      <c r="DO77" s="1312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</row>
    <row r="78" spans="1:142" s="50" customFormat="1" ht="76.5" hidden="1" customHeight="1">
      <c r="A78" s="6">
        <f t="shared" si="53"/>
        <v>65</v>
      </c>
      <c r="B78" s="1353"/>
      <c r="C78" s="1400" t="s">
        <v>155</v>
      </c>
      <c r="D78" s="1407" t="s">
        <v>161</v>
      </c>
      <c r="E78" s="1445">
        <v>4617004147</v>
      </c>
      <c r="F78" s="1407" t="s">
        <v>8</v>
      </c>
      <c r="G78" s="1446"/>
      <c r="H78" s="1355">
        <v>3850.8480191964254</v>
      </c>
      <c r="I78" s="1356">
        <v>3850.8480191964254</v>
      </c>
      <c r="J78" s="1356"/>
      <c r="K78" s="1356"/>
      <c r="L78" s="1356"/>
      <c r="M78" s="1357"/>
      <c r="N78" s="1657">
        <v>4621.0200000000004</v>
      </c>
      <c r="O78" s="1658">
        <v>4621.0200000000004</v>
      </c>
      <c r="P78" s="1359"/>
      <c r="Q78" s="1359"/>
      <c r="R78" s="1335"/>
      <c r="S78" s="1357"/>
      <c r="T78" s="1360">
        <f t="shared" si="150"/>
        <v>363.1685714285714</v>
      </c>
      <c r="U78" s="1361">
        <v>0</v>
      </c>
      <c r="V78" s="1361">
        <v>0</v>
      </c>
      <c r="W78" s="1361">
        <v>0</v>
      </c>
      <c r="X78" s="1361">
        <v>0</v>
      </c>
      <c r="Y78" s="1361">
        <v>0</v>
      </c>
      <c r="Z78" s="1342">
        <f>SUM(T78:W78)</f>
        <v>363.1685714285714</v>
      </c>
      <c r="AA78" s="1362">
        <f t="shared" si="151"/>
        <v>311.10285714285709</v>
      </c>
      <c r="AB78" s="1361">
        <v>0</v>
      </c>
      <c r="AC78" s="1361">
        <v>0</v>
      </c>
      <c r="AD78" s="1361">
        <v>0</v>
      </c>
      <c r="AE78" s="1361">
        <v>0</v>
      </c>
      <c r="AF78" s="1361">
        <v>0</v>
      </c>
      <c r="AG78" s="1344">
        <f>SUM(AA78:AD78)</f>
        <v>311.10285714285709</v>
      </c>
      <c r="AH78" s="1340">
        <f t="shared" si="59"/>
        <v>674.27142857142849</v>
      </c>
      <c r="AI78" s="1341">
        <f t="shared" si="82"/>
        <v>674.27142857142849</v>
      </c>
      <c r="AJ78" s="1341">
        <f t="shared" si="82"/>
        <v>0</v>
      </c>
      <c r="AK78" s="1341">
        <f t="shared" si="82"/>
        <v>0</v>
      </c>
      <c r="AL78" s="1341">
        <f t="shared" si="82"/>
        <v>0</v>
      </c>
      <c r="AM78" s="1341">
        <f t="shared" si="82"/>
        <v>0</v>
      </c>
      <c r="AN78" s="1341"/>
      <c r="AO78" s="1341">
        <f t="shared" si="79"/>
        <v>674.27142857142849</v>
      </c>
      <c r="AP78" s="1341">
        <f t="shared" si="80"/>
        <v>674.27142857142849</v>
      </c>
      <c r="AQ78" s="1345">
        <f t="shared" si="145"/>
        <v>674.27142857142849</v>
      </c>
      <c r="AR78" s="1346">
        <f t="shared" si="41"/>
        <v>0</v>
      </c>
      <c r="AS78" s="1347">
        <f t="shared" si="124"/>
        <v>2596516.7951150294</v>
      </c>
      <c r="AT78" s="1341">
        <f t="shared" si="124"/>
        <v>0</v>
      </c>
      <c r="AU78" s="1341">
        <f t="shared" si="124"/>
        <v>0</v>
      </c>
      <c r="AV78" s="1341">
        <f t="shared" si="124"/>
        <v>0</v>
      </c>
      <c r="AW78" s="1341">
        <f t="shared" si="124"/>
        <v>0</v>
      </c>
      <c r="AX78" s="1341">
        <f t="shared" si="146"/>
        <v>2596516.7951150294</v>
      </c>
      <c r="AY78" s="1341">
        <f t="shared" si="147"/>
        <v>2596516.7951150294</v>
      </c>
      <c r="AZ78" s="1341">
        <f t="shared" si="125"/>
        <v>3115821.7568571428</v>
      </c>
      <c r="BA78" s="1341">
        <f t="shared" si="125"/>
        <v>0</v>
      </c>
      <c r="BB78" s="1341">
        <f t="shared" si="125"/>
        <v>0</v>
      </c>
      <c r="BC78" s="1341">
        <f t="shared" si="125"/>
        <v>0</v>
      </c>
      <c r="BD78" s="1341">
        <f t="shared" si="125"/>
        <v>0</v>
      </c>
      <c r="BE78" s="1341">
        <f t="shared" si="148"/>
        <v>3115821.7568571428</v>
      </c>
      <c r="BF78" s="1345">
        <f t="shared" si="149"/>
        <v>3115821.7568571428</v>
      </c>
      <c r="BG78" s="1362"/>
      <c r="BH78" s="1361"/>
      <c r="BI78" s="1341">
        <f t="shared" si="143"/>
        <v>0</v>
      </c>
      <c r="BJ78" s="1425"/>
      <c r="BK78" s="1645"/>
      <c r="BL78" s="1341">
        <f t="shared" si="153"/>
        <v>1398506.9739201097</v>
      </c>
      <c r="BM78" s="1341">
        <f t="shared" si="153"/>
        <v>0</v>
      </c>
      <c r="BN78" s="1341">
        <f t="shared" si="153"/>
        <v>0</v>
      </c>
      <c r="BO78" s="1341">
        <f t="shared" si="153"/>
        <v>0</v>
      </c>
      <c r="BP78" s="1341">
        <f t="shared" si="153"/>
        <v>0</v>
      </c>
      <c r="BQ78" s="1341">
        <f t="shared" si="62"/>
        <v>1398506.9739201097</v>
      </c>
      <c r="BR78" s="1341">
        <f t="shared" si="63"/>
        <v>1398506.9739201097</v>
      </c>
      <c r="BS78" s="1341">
        <f t="shared" si="154"/>
        <v>1437612.5249142856</v>
      </c>
      <c r="BT78" s="1341">
        <f t="shared" si="154"/>
        <v>0</v>
      </c>
      <c r="BU78" s="1341">
        <f t="shared" si="154"/>
        <v>0</v>
      </c>
      <c r="BV78" s="1341">
        <f t="shared" si="65"/>
        <v>0</v>
      </c>
      <c r="BW78" s="1341">
        <f t="shared" ref="BW78:BW131" si="157">S78*AE78</f>
        <v>0</v>
      </c>
      <c r="BX78" s="1341">
        <f t="shared" si="66"/>
        <v>1437612.5249142856</v>
      </c>
      <c r="BY78" s="1341">
        <f t="shared" si="67"/>
        <v>1437612.5249142856</v>
      </c>
      <c r="BZ78" s="1349">
        <f t="shared" si="155"/>
        <v>0</v>
      </c>
      <c r="CA78" s="1349">
        <f t="shared" si="155"/>
        <v>0</v>
      </c>
      <c r="CB78" s="1349">
        <f t="shared" si="69"/>
        <v>0</v>
      </c>
      <c r="CC78" s="1351" t="e">
        <f t="shared" si="156"/>
        <v>#DIV/0!</v>
      </c>
      <c r="CD78" s="1351" t="e">
        <f t="shared" si="156"/>
        <v>#DIV/0!</v>
      </c>
      <c r="CE78" s="1351" t="e">
        <f t="shared" si="44"/>
        <v>#DIV/0!</v>
      </c>
      <c r="CF78" s="1349" t="e">
        <f t="shared" ref="CF78:CF141" si="158">CB78/(U78+V78+AB78+AC78)</f>
        <v>#DIV/0!</v>
      </c>
      <c r="CG78" s="1367">
        <f t="shared" ref="CG78:CG141" si="159">I78*(U78+V78)+O78*(AB78+AC78)</f>
        <v>0</v>
      </c>
      <c r="CH78" s="1367" t="e">
        <f t="shared" si="45"/>
        <v>#DIV/0!</v>
      </c>
      <c r="CI78" s="1408"/>
      <c r="CJ78" s="1341">
        <f t="shared" si="71"/>
        <v>1678.2092319428571</v>
      </c>
      <c r="CK78" s="1341">
        <f t="shared" ref="CK78:CK142" si="160">N78*AG78/1000</f>
        <v>1437.6125249142856</v>
      </c>
      <c r="CL78" s="1341">
        <f t="shared" si="152"/>
        <v>3115.8217568571426</v>
      </c>
      <c r="CM78" s="1341">
        <f t="shared" si="48"/>
        <v>3115.8217568571426</v>
      </c>
      <c r="CN78" s="1341">
        <f t="shared" si="49"/>
        <v>0</v>
      </c>
      <c r="CO78" s="1341">
        <f t="shared" ref="CO78:CO141" si="161">H78*Z78+N78*AG78</f>
        <v>2836119.4988343953</v>
      </c>
      <c r="CP78" s="1341">
        <f t="shared" ref="CP78:CP141" si="162">I78*AI78+J78*AJ78+K78*AK78+L78*AL78</f>
        <v>2596516.7951150294</v>
      </c>
      <c r="CQ78" s="1341">
        <f t="shared" ref="CQ78:CQ141" si="163">I78*AI78+J78*(AJ78+AK78)+L78*AL78</f>
        <v>2596516.7951150294</v>
      </c>
      <c r="CR78" s="1341">
        <f t="shared" ref="CR78:CR141" si="164">I78*T78+J78*U78+K78*V78+L78*W78</f>
        <v>1398506.9739201097</v>
      </c>
      <c r="CS78" s="1341">
        <f t="shared" ref="CS78:CS141" si="165">O78*AI78+P78*AJ78+Q78*AK78+R78*AL78</f>
        <v>3115821.7568571428</v>
      </c>
      <c r="CT78" s="1341">
        <f t="shared" ref="CT78:CT141" si="166">O78*AI78+P78*(AJ78+AK78)+R78*AL78</f>
        <v>3115821.7568571428</v>
      </c>
      <c r="CU78" s="1341">
        <f t="shared" ref="CU78:CU141" si="167">O78*AA78+P78*AB78+Q78*AC78+R78*AD78</f>
        <v>1437612.5249142856</v>
      </c>
      <c r="CV78" s="1341">
        <f t="shared" si="50"/>
        <v>5712338.5519721722</v>
      </c>
      <c r="CW78" s="1350">
        <f t="shared" si="51"/>
        <v>8471.8680191964268</v>
      </c>
      <c r="CX78" s="1341">
        <f t="shared" ref="CX78:CX141" si="168">J78*AJ78+K78*AK78</f>
        <v>0</v>
      </c>
      <c r="CY78" s="1341">
        <f t="shared" ref="CY78:CY141" si="169">P78*AJ78+Q78*AK78</f>
        <v>0</v>
      </c>
      <c r="CZ78" s="1341"/>
      <c r="DA78" s="1341">
        <f t="shared" ref="DA78:DA141" si="170">H78*AI78+H78*AJ78+H78*AK78+H78*AL78</f>
        <v>2596516.7951150294</v>
      </c>
      <c r="DB78" s="1341">
        <f t="shared" ref="DB78:DB141" si="171">N78*AI78+N78*AJ78+N78*AK78+N78*AL78</f>
        <v>3115821.7568571428</v>
      </c>
      <c r="DC78" s="1574"/>
      <c r="DD78" s="40" t="e">
        <f t="shared" si="52"/>
        <v>#DIV/0!</v>
      </c>
      <c r="DE78" s="1574"/>
      <c r="DF78" s="1574"/>
      <c r="DG78" s="1574"/>
      <c r="DH78" s="1487">
        <v>714.64285714285711</v>
      </c>
      <c r="DI78" s="1487">
        <v>0</v>
      </c>
      <c r="DJ78" s="1487">
        <f t="shared" si="57"/>
        <v>714.64285714285711</v>
      </c>
      <c r="DK78" s="1408"/>
      <c r="DL78" s="1352">
        <f t="shared" ref="DL78:DL141" si="172">M78*X78/1000</f>
        <v>0</v>
      </c>
      <c r="DM78" s="1352">
        <f t="shared" ref="DM78:DM141" si="173">S78*AE78/1000</f>
        <v>0</v>
      </c>
      <c r="DN78" s="1352">
        <f t="shared" ref="DN78:DN141" si="174">DL78+DM78</f>
        <v>0</v>
      </c>
      <c r="DO78" s="1312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</row>
    <row r="79" spans="1:142" s="50" customFormat="1" ht="73.5" hidden="1" customHeight="1">
      <c r="A79" s="6">
        <f t="shared" si="53"/>
        <v>66</v>
      </c>
      <c r="B79" s="1330" t="s">
        <v>27</v>
      </c>
      <c r="C79" s="1400" t="s">
        <v>63</v>
      </c>
      <c r="D79" s="1330" t="s">
        <v>28</v>
      </c>
      <c r="E79" s="1330">
        <v>4618003724</v>
      </c>
      <c r="F79" s="1330" t="s">
        <v>8</v>
      </c>
      <c r="G79" s="1332" t="s">
        <v>1022</v>
      </c>
      <c r="H79" s="1686">
        <v>2810.44</v>
      </c>
      <c r="I79" s="1686">
        <v>2810.44</v>
      </c>
      <c r="J79" s="1335">
        <v>2810.44</v>
      </c>
      <c r="K79" s="1335"/>
      <c r="L79" s="1335">
        <v>2810.44</v>
      </c>
      <c r="M79" s="1336"/>
      <c r="N79" s="1428">
        <v>2958.8</v>
      </c>
      <c r="O79" s="1339">
        <v>2958.8</v>
      </c>
      <c r="P79" s="1339">
        <v>2958.8</v>
      </c>
      <c r="Q79" s="1339"/>
      <c r="R79" s="1335">
        <v>2958.8</v>
      </c>
      <c r="S79" s="1336"/>
      <c r="T79" s="1404">
        <v>2581</v>
      </c>
      <c r="U79" s="1341">
        <v>1010</v>
      </c>
      <c r="V79" s="1341">
        <v>0</v>
      </c>
      <c r="W79" s="1341">
        <v>430</v>
      </c>
      <c r="X79" s="1341">
        <v>0</v>
      </c>
      <c r="Y79" s="1341">
        <v>0</v>
      </c>
      <c r="Z79" s="1342">
        <f t="shared" ref="Z79:Z142" si="175">SUM(T79:W79)</f>
        <v>4021</v>
      </c>
      <c r="AA79" s="1348">
        <v>1561</v>
      </c>
      <c r="AB79" s="1447">
        <v>640</v>
      </c>
      <c r="AC79" s="1341">
        <v>0</v>
      </c>
      <c r="AD79" s="1341">
        <v>420</v>
      </c>
      <c r="AE79" s="1341">
        <v>0</v>
      </c>
      <c r="AF79" s="1341">
        <v>0</v>
      </c>
      <c r="AG79" s="1344">
        <f t="shared" ref="AG79:AG142" si="176">SUM(AA79:AD79)</f>
        <v>2621</v>
      </c>
      <c r="AH79" s="1340">
        <f t="shared" si="59"/>
        <v>6642</v>
      </c>
      <c r="AI79" s="1341">
        <f t="shared" si="82"/>
        <v>4142</v>
      </c>
      <c r="AJ79" s="1341">
        <f t="shared" si="82"/>
        <v>1650</v>
      </c>
      <c r="AK79" s="1341">
        <f t="shared" si="82"/>
        <v>0</v>
      </c>
      <c r="AL79" s="1341">
        <f t="shared" si="82"/>
        <v>850</v>
      </c>
      <c r="AM79" s="1341">
        <f t="shared" si="82"/>
        <v>0</v>
      </c>
      <c r="AN79" s="1341">
        <v>0</v>
      </c>
      <c r="AO79" s="1341">
        <f t="shared" si="79"/>
        <v>6642</v>
      </c>
      <c r="AP79" s="1341">
        <f t="shared" si="80"/>
        <v>6642</v>
      </c>
      <c r="AQ79" s="1345">
        <f t="shared" si="145"/>
        <v>6642</v>
      </c>
      <c r="AR79" s="1346">
        <f t="shared" ref="AR79:AR143" si="177">AQ79-AH79</f>
        <v>0</v>
      </c>
      <c r="AS79" s="1347">
        <f t="shared" si="124"/>
        <v>11640842.48</v>
      </c>
      <c r="AT79" s="1341">
        <f t="shared" si="124"/>
        <v>4637226</v>
      </c>
      <c r="AU79" s="1341">
        <f t="shared" si="124"/>
        <v>0</v>
      </c>
      <c r="AV79" s="1341">
        <f t="shared" si="124"/>
        <v>2388874</v>
      </c>
      <c r="AW79" s="1341">
        <f t="shared" si="124"/>
        <v>0</v>
      </c>
      <c r="AX79" s="1341">
        <f t="shared" si="146"/>
        <v>18666942.48</v>
      </c>
      <c r="AY79" s="1341">
        <f t="shared" si="147"/>
        <v>18666942.48</v>
      </c>
      <c r="AZ79" s="1341">
        <f t="shared" si="125"/>
        <v>12255349.600000001</v>
      </c>
      <c r="BA79" s="1341">
        <f t="shared" si="125"/>
        <v>4882020</v>
      </c>
      <c r="BB79" s="1341">
        <f t="shared" si="125"/>
        <v>0</v>
      </c>
      <c r="BC79" s="1341">
        <f t="shared" si="125"/>
        <v>2514980</v>
      </c>
      <c r="BD79" s="1341">
        <f t="shared" si="125"/>
        <v>0</v>
      </c>
      <c r="BE79" s="1341">
        <f t="shared" si="148"/>
        <v>19652349.600000001</v>
      </c>
      <c r="BF79" s="1345">
        <f t="shared" si="149"/>
        <v>19652349.600000001</v>
      </c>
      <c r="BG79" s="1348"/>
      <c r="BH79" s="1341"/>
      <c r="BI79" s="1341"/>
      <c r="BJ79" s="1363">
        <v>19055.798809660224</v>
      </c>
      <c r="BK79" s="1638">
        <v>20192.07</v>
      </c>
      <c r="BL79" s="1341">
        <f t="shared" si="153"/>
        <v>7253745.6400000006</v>
      </c>
      <c r="BM79" s="1341">
        <f t="shared" si="153"/>
        <v>2838544.4</v>
      </c>
      <c r="BN79" s="1341">
        <f t="shared" si="153"/>
        <v>0</v>
      </c>
      <c r="BO79" s="1341">
        <f t="shared" si="153"/>
        <v>1208489.2</v>
      </c>
      <c r="BP79" s="1341">
        <f t="shared" si="153"/>
        <v>0</v>
      </c>
      <c r="BQ79" s="1341">
        <f t="shared" si="62"/>
        <v>11300779.24</v>
      </c>
      <c r="BR79" s="1341">
        <f t="shared" si="63"/>
        <v>11300779.24</v>
      </c>
      <c r="BS79" s="1341">
        <f t="shared" si="154"/>
        <v>4618686.8000000007</v>
      </c>
      <c r="BT79" s="1341">
        <f t="shared" si="154"/>
        <v>1893632</v>
      </c>
      <c r="BU79" s="1341">
        <f t="shared" si="154"/>
        <v>0</v>
      </c>
      <c r="BV79" s="1341">
        <f t="shared" si="65"/>
        <v>1272284</v>
      </c>
      <c r="BW79" s="1341">
        <f t="shared" si="157"/>
        <v>0</v>
      </c>
      <c r="BX79" s="1341">
        <f t="shared" si="66"/>
        <v>7784602.8000000007</v>
      </c>
      <c r="BY79" s="1341">
        <f t="shared" si="67"/>
        <v>7784602.8000000007</v>
      </c>
      <c r="BZ79" s="1349">
        <f t="shared" si="155"/>
        <v>4732176.4000000004</v>
      </c>
      <c r="CA79" s="1349">
        <f t="shared" si="155"/>
        <v>0</v>
      </c>
      <c r="CB79" s="1349">
        <f t="shared" si="69"/>
        <v>4732176.4000000004</v>
      </c>
      <c r="CC79" s="1351">
        <f t="shared" si="156"/>
        <v>2867.9856969696971</v>
      </c>
      <c r="CD79" s="1351" t="e">
        <f t="shared" si="156"/>
        <v>#DIV/0!</v>
      </c>
      <c r="CE79" s="1351">
        <f t="shared" ref="CE79:CE143" si="178">CB79/(AJ79+AK79)</f>
        <v>2867.9856969696971</v>
      </c>
      <c r="CF79" s="1351">
        <f t="shared" si="158"/>
        <v>2867.9856969696971</v>
      </c>
      <c r="CG79" s="1367">
        <f t="shared" si="159"/>
        <v>4732176.4000000004</v>
      </c>
      <c r="CH79" s="1367">
        <f t="shared" ref="CH79:CH142" si="179">CG79/(AJ79+AK79)</f>
        <v>2867.9856969696971</v>
      </c>
      <c r="CI79" s="1349"/>
      <c r="CJ79" s="1341">
        <f t="shared" si="71"/>
        <v>11897.334800000001</v>
      </c>
      <c r="CK79" s="1341">
        <f t="shared" si="160"/>
        <v>7755.0148000000008</v>
      </c>
      <c r="CL79" s="1366">
        <f>CJ79+CK79+0.01</f>
        <v>19652.3596</v>
      </c>
      <c r="CM79" s="1341">
        <f t="shared" ref="CM79:CM144" si="180">N79*AH79/1000</f>
        <v>19652.349600000001</v>
      </c>
      <c r="CN79" s="1341">
        <f t="shared" ref="CN79:CN144" si="181">CM79-CL79</f>
        <v>-9.9999999983992893E-3</v>
      </c>
      <c r="CO79" s="1341">
        <f t="shared" si="161"/>
        <v>19055794.039999999</v>
      </c>
      <c r="CP79" s="1341">
        <f t="shared" si="162"/>
        <v>18666942.48</v>
      </c>
      <c r="CQ79" s="1341">
        <f t="shared" si="163"/>
        <v>18666942.48</v>
      </c>
      <c r="CR79" s="1341">
        <f t="shared" si="164"/>
        <v>11300779.24</v>
      </c>
      <c r="CS79" s="1341">
        <f t="shared" si="165"/>
        <v>19652349.600000001</v>
      </c>
      <c r="CT79" s="1341">
        <f t="shared" si="166"/>
        <v>19652349.600000001</v>
      </c>
      <c r="CU79" s="1341">
        <f t="shared" si="167"/>
        <v>7755014.8000000007</v>
      </c>
      <c r="CV79" s="1341">
        <f t="shared" ref="CV79:CV143" si="182">CP79+CS79</f>
        <v>38319292.079999998</v>
      </c>
      <c r="CW79" s="1350">
        <f t="shared" ref="CW79:CW144" si="183">CV79/AH79</f>
        <v>5769.24</v>
      </c>
      <c r="CX79" s="1341">
        <f t="shared" si="168"/>
        <v>4637226</v>
      </c>
      <c r="CY79" s="1341">
        <f t="shared" si="169"/>
        <v>4882020</v>
      </c>
      <c r="CZ79" s="1341"/>
      <c r="DA79" s="1341">
        <f t="shared" si="170"/>
        <v>18666942.48</v>
      </c>
      <c r="DB79" s="1341">
        <f t="shared" si="171"/>
        <v>19652349.600000001</v>
      </c>
      <c r="DC79" s="27"/>
      <c r="DD79" s="40">
        <f t="shared" ref="DD79:DD143" si="184">N79/J79*100</f>
        <v>105.27888871493431</v>
      </c>
      <c r="DE79" s="27"/>
      <c r="DF79" s="27"/>
      <c r="DG79" s="27"/>
      <c r="DH79" s="1487">
        <v>6642</v>
      </c>
      <c r="DI79" s="1487">
        <v>1650</v>
      </c>
      <c r="DJ79" s="1487">
        <f t="shared" si="57"/>
        <v>4992</v>
      </c>
      <c r="DK79" s="1349"/>
      <c r="DL79" s="1352">
        <f t="shared" si="172"/>
        <v>0</v>
      </c>
      <c r="DM79" s="1352">
        <f t="shared" si="173"/>
        <v>0</v>
      </c>
      <c r="DN79" s="1352">
        <f t="shared" si="174"/>
        <v>0</v>
      </c>
      <c r="DO79" s="6"/>
      <c r="DP79" s="81"/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</row>
    <row r="80" spans="1:142" s="1313" customFormat="1" ht="72" hidden="1" customHeight="1">
      <c r="A80" s="6">
        <f t="shared" ref="A80:A143" si="185">A79+1</f>
        <v>67</v>
      </c>
      <c r="B80" s="1330"/>
      <c r="C80" s="1753" t="s">
        <v>109</v>
      </c>
      <c r="D80" s="1706" t="s">
        <v>141</v>
      </c>
      <c r="E80" s="1331">
        <v>4632024035</v>
      </c>
      <c r="F80" s="1330" t="s">
        <v>8</v>
      </c>
      <c r="G80" s="1682" t="s">
        <v>1034</v>
      </c>
      <c r="H80" s="1700">
        <v>3314.9639999999995</v>
      </c>
      <c r="I80" s="1701">
        <f t="shared" ref="I80:I81" si="186">H80</f>
        <v>3314.9639999999995</v>
      </c>
      <c r="J80" s="1335"/>
      <c r="K80" s="1335"/>
      <c r="L80" s="1700">
        <v>3314.9639999999995</v>
      </c>
      <c r="M80" s="1390"/>
      <c r="N80" s="1703">
        <f t="shared" ref="N80:N81" si="187">3132.14*1.2</f>
        <v>3758.5679999999998</v>
      </c>
      <c r="O80" s="1704">
        <f t="shared" ref="O80:O81" si="188">N80</f>
        <v>3758.5679999999998</v>
      </c>
      <c r="P80" s="1335"/>
      <c r="Q80" s="1335"/>
      <c r="R80" s="1335">
        <f t="shared" ref="R80:R81" si="189">O80</f>
        <v>3758.5679999999998</v>
      </c>
      <c r="S80" s="1390"/>
      <c r="T80" s="1751">
        <v>194.17099999999999</v>
      </c>
      <c r="U80" s="1810"/>
      <c r="V80" s="1810"/>
      <c r="W80" s="1334"/>
      <c r="X80" s="1334"/>
      <c r="Y80" s="1334"/>
      <c r="Z80" s="1393">
        <f t="shared" si="175"/>
        <v>194.17099999999999</v>
      </c>
      <c r="AA80" s="1752">
        <v>112.752</v>
      </c>
      <c r="AB80" s="1736"/>
      <c r="AC80" s="1810"/>
      <c r="AD80" s="1334"/>
      <c r="AE80" s="1334"/>
      <c r="AF80" s="1334"/>
      <c r="AG80" s="1395">
        <f t="shared" si="176"/>
        <v>112.752</v>
      </c>
      <c r="AH80" s="1391">
        <f t="shared" si="59"/>
        <v>306.923</v>
      </c>
      <c r="AI80" s="1334">
        <f t="shared" si="82"/>
        <v>306.923</v>
      </c>
      <c r="AJ80" s="1334">
        <f t="shared" si="82"/>
        <v>0</v>
      </c>
      <c r="AK80" s="1334">
        <f t="shared" si="82"/>
        <v>0</v>
      </c>
      <c r="AL80" s="1334">
        <f t="shared" si="82"/>
        <v>0</v>
      </c>
      <c r="AM80" s="1334">
        <f t="shared" si="82"/>
        <v>0</v>
      </c>
      <c r="AN80" s="1334"/>
      <c r="AO80" s="1334">
        <f t="shared" si="79"/>
        <v>306.923</v>
      </c>
      <c r="AP80" s="1334">
        <f t="shared" si="80"/>
        <v>306.923</v>
      </c>
      <c r="AQ80" s="1396">
        <f t="shared" si="145"/>
        <v>306.923</v>
      </c>
      <c r="AR80" s="1417">
        <f t="shared" si="177"/>
        <v>0</v>
      </c>
      <c r="AS80" s="1333">
        <f t="shared" si="124"/>
        <v>1017438.6957719999</v>
      </c>
      <c r="AT80" s="1334">
        <f t="shared" si="124"/>
        <v>0</v>
      </c>
      <c r="AU80" s="1334">
        <f t="shared" si="124"/>
        <v>0</v>
      </c>
      <c r="AV80" s="1334">
        <f t="shared" si="124"/>
        <v>0</v>
      </c>
      <c r="AW80" s="1334">
        <f t="shared" si="124"/>
        <v>0</v>
      </c>
      <c r="AX80" s="1334">
        <f t="shared" si="146"/>
        <v>1017438.6957719999</v>
      </c>
      <c r="AY80" s="1334">
        <f t="shared" si="147"/>
        <v>1017438.6957719999</v>
      </c>
      <c r="AZ80" s="1334">
        <f t="shared" si="125"/>
        <v>1153590.9662639999</v>
      </c>
      <c r="BA80" s="1334">
        <f t="shared" si="125"/>
        <v>0</v>
      </c>
      <c r="BB80" s="1334">
        <f t="shared" si="125"/>
        <v>0</v>
      </c>
      <c r="BC80" s="1334">
        <f t="shared" si="125"/>
        <v>0</v>
      </c>
      <c r="BD80" s="1334">
        <f t="shared" si="125"/>
        <v>0</v>
      </c>
      <c r="BE80" s="1334">
        <f t="shared" si="148"/>
        <v>1153590.9662639999</v>
      </c>
      <c r="BF80" s="1396">
        <f t="shared" si="149"/>
        <v>1153590.9662639999</v>
      </c>
      <c r="BG80" s="1397">
        <f t="shared" ref="BG80:BG81" si="190">(H80-J80)/1.2*U80/1000+(H80-K80)/1.2*V80/1000</f>
        <v>0</v>
      </c>
      <c r="BH80" s="1398">
        <f t="shared" ref="BH80:BH81" si="191">(O80-P80)*AB80/1000/1.2+(O80-Q80)/1.2*AC80/1000</f>
        <v>0</v>
      </c>
      <c r="BI80" s="1399">
        <f t="shared" ref="BI80:BI81" si="192">BG80+BH80</f>
        <v>0</v>
      </c>
      <c r="BJ80" s="1399"/>
      <c r="BK80" s="1641"/>
      <c r="BL80" s="1334">
        <f t="shared" si="153"/>
        <v>643669.87484399986</v>
      </c>
      <c r="BM80" s="1334">
        <f t="shared" si="153"/>
        <v>0</v>
      </c>
      <c r="BN80" s="1334">
        <f t="shared" si="153"/>
        <v>0</v>
      </c>
      <c r="BO80" s="1334">
        <f t="shared" si="153"/>
        <v>0</v>
      </c>
      <c r="BP80" s="1334">
        <f t="shared" si="153"/>
        <v>0</v>
      </c>
      <c r="BQ80" s="1334">
        <f t="shared" si="62"/>
        <v>643669.87484399986</v>
      </c>
      <c r="BR80" s="1334">
        <f t="shared" si="63"/>
        <v>643669.87484399986</v>
      </c>
      <c r="BS80" s="1334">
        <f t="shared" si="154"/>
        <v>423786.05913599994</v>
      </c>
      <c r="BT80" s="1334">
        <f t="shared" si="154"/>
        <v>0</v>
      </c>
      <c r="BU80" s="1334">
        <f t="shared" si="154"/>
        <v>0</v>
      </c>
      <c r="BV80" s="1334">
        <f t="shared" si="65"/>
        <v>0</v>
      </c>
      <c r="BW80" s="1334">
        <f t="shared" si="157"/>
        <v>0</v>
      </c>
      <c r="BX80" s="1334">
        <f t="shared" si="66"/>
        <v>423786.05913599994</v>
      </c>
      <c r="BY80" s="1334">
        <f t="shared" si="67"/>
        <v>423786.05913599994</v>
      </c>
      <c r="BZ80" s="1389">
        <f t="shared" si="155"/>
        <v>0</v>
      </c>
      <c r="CA80" s="1389">
        <f t="shared" si="155"/>
        <v>0</v>
      </c>
      <c r="CB80" s="1389">
        <f t="shared" si="69"/>
        <v>0</v>
      </c>
      <c r="CC80" s="1420" t="e">
        <f t="shared" si="156"/>
        <v>#DIV/0!</v>
      </c>
      <c r="CD80" s="1420" t="e">
        <f t="shared" si="156"/>
        <v>#DIV/0!</v>
      </c>
      <c r="CE80" s="1420" t="e">
        <f t="shared" si="178"/>
        <v>#DIV/0!</v>
      </c>
      <c r="CF80" s="1389" t="e">
        <f t="shared" si="158"/>
        <v>#DIV/0!</v>
      </c>
      <c r="CG80" s="1421">
        <f t="shared" si="159"/>
        <v>0</v>
      </c>
      <c r="CH80" s="1421" t="e">
        <f t="shared" si="179"/>
        <v>#DIV/0!</v>
      </c>
      <c r="CI80" s="1389"/>
      <c r="CJ80" s="1756">
        <f t="shared" ref="CJ80:CJ81" si="193">H80*Z80/1000</f>
        <v>643.66987484399988</v>
      </c>
      <c r="CK80" s="1756">
        <f t="shared" si="160"/>
        <v>423.78605913599995</v>
      </c>
      <c r="CL80" s="1756">
        <f t="shared" ref="CL80:CL142" si="194">CJ80+CK80</f>
        <v>1067.4559339799998</v>
      </c>
      <c r="CM80" s="1334">
        <f t="shared" si="180"/>
        <v>1153.5909662639999</v>
      </c>
      <c r="CN80" s="1334">
        <f t="shared" si="181"/>
        <v>86.13503228400009</v>
      </c>
      <c r="CO80" s="1334">
        <f t="shared" si="161"/>
        <v>1067455.9339799997</v>
      </c>
      <c r="CP80" s="1334">
        <f t="shared" si="162"/>
        <v>1017438.6957719999</v>
      </c>
      <c r="CQ80" s="1334">
        <f t="shared" si="163"/>
        <v>1017438.6957719999</v>
      </c>
      <c r="CR80" s="1334">
        <f t="shared" si="164"/>
        <v>643669.87484399986</v>
      </c>
      <c r="CS80" s="1334">
        <f t="shared" si="165"/>
        <v>1153590.9662639999</v>
      </c>
      <c r="CT80" s="1334">
        <f t="shared" si="166"/>
        <v>1153590.9662639999</v>
      </c>
      <c r="CU80" s="1334">
        <f t="shared" si="167"/>
        <v>423786.05913599994</v>
      </c>
      <c r="CV80" s="1334">
        <f t="shared" si="182"/>
        <v>2171029.6620359998</v>
      </c>
      <c r="CW80" s="1422">
        <f t="shared" si="183"/>
        <v>7073.5319999999992</v>
      </c>
      <c r="CX80" s="1334">
        <f t="shared" si="168"/>
        <v>0</v>
      </c>
      <c r="CY80" s="1334">
        <f t="shared" si="169"/>
        <v>0</v>
      </c>
      <c r="CZ80" s="1334"/>
      <c r="DA80" s="1334">
        <f t="shared" si="170"/>
        <v>1017438.6957719999</v>
      </c>
      <c r="DB80" s="1334">
        <f t="shared" si="171"/>
        <v>1153590.9662639999</v>
      </c>
      <c r="DC80" s="1223"/>
      <c r="DD80" s="1224" t="e">
        <f t="shared" si="184"/>
        <v>#DIV/0!</v>
      </c>
      <c r="DE80" s="1223"/>
      <c r="DF80" s="1223"/>
      <c r="DG80" s="1223"/>
      <c r="DH80" s="1494"/>
      <c r="DI80" s="1494"/>
      <c r="DJ80" s="1494"/>
      <c r="DK80" s="1389"/>
      <c r="DL80" s="1419">
        <f t="shared" si="172"/>
        <v>0</v>
      </c>
      <c r="DM80" s="1419">
        <f t="shared" si="173"/>
        <v>0</v>
      </c>
      <c r="DN80" s="1419">
        <f t="shared" si="174"/>
        <v>0</v>
      </c>
      <c r="DO80" s="819"/>
      <c r="DP80" s="1315"/>
      <c r="DQ80" s="1315"/>
      <c r="DR80" s="1315"/>
      <c r="DS80" s="1315"/>
      <c r="DT80" s="1315"/>
      <c r="DU80" s="1315"/>
      <c r="DV80" s="1315"/>
      <c r="DW80" s="1315"/>
      <c r="DX80" s="1315"/>
      <c r="DY80" s="1315"/>
      <c r="DZ80" s="1315"/>
      <c r="EA80" s="1315"/>
      <c r="EB80" s="1315"/>
      <c r="EC80" s="1315"/>
      <c r="ED80" s="1315"/>
      <c r="EE80" s="1315"/>
      <c r="EF80" s="1315"/>
      <c r="EG80" s="1315"/>
      <c r="EH80" s="1315"/>
      <c r="EI80" s="1315"/>
      <c r="EJ80" s="1315"/>
      <c r="EK80" s="1315"/>
      <c r="EL80" s="1315"/>
    </row>
    <row r="81" spans="1:191" s="1313" customFormat="1" ht="80.25" hidden="1" customHeight="1">
      <c r="A81" s="6">
        <f t="shared" si="185"/>
        <v>68</v>
      </c>
      <c r="B81" s="1330"/>
      <c r="C81" s="1753" t="s">
        <v>110</v>
      </c>
      <c r="D81" s="1706" t="s">
        <v>142</v>
      </c>
      <c r="E81" s="1331">
        <v>4632024035</v>
      </c>
      <c r="F81" s="1330" t="s">
        <v>8</v>
      </c>
      <c r="G81" s="1682" t="s">
        <v>1034</v>
      </c>
      <c r="H81" s="1700">
        <v>3314.9639999999995</v>
      </c>
      <c r="I81" s="1701">
        <f t="shared" si="186"/>
        <v>3314.9639999999995</v>
      </c>
      <c r="J81" s="1707">
        <v>2950.21</v>
      </c>
      <c r="K81" s="1335"/>
      <c r="L81" s="1700">
        <v>3314.9639999999995</v>
      </c>
      <c r="M81" s="1390"/>
      <c r="N81" s="1703">
        <f t="shared" si="187"/>
        <v>3758.5679999999998</v>
      </c>
      <c r="O81" s="1704">
        <f t="shared" si="188"/>
        <v>3758.5679999999998</v>
      </c>
      <c r="P81" s="1708">
        <v>2979.71</v>
      </c>
      <c r="Q81" s="1335"/>
      <c r="R81" s="1335">
        <f t="shared" si="189"/>
        <v>3758.5679999999998</v>
      </c>
      <c r="S81" s="1390"/>
      <c r="T81" s="1829">
        <v>633.16700000000003</v>
      </c>
      <c r="U81" s="1828">
        <v>189.04599999999999</v>
      </c>
      <c r="V81" s="1828"/>
      <c r="W81" s="1338"/>
      <c r="X81" s="1338"/>
      <c r="Y81" s="1338"/>
      <c r="Z81" s="1416">
        <f t="shared" si="175"/>
        <v>822.21299999999997</v>
      </c>
      <c r="AA81" s="1830">
        <v>368.88</v>
      </c>
      <c r="AB81" s="1828">
        <v>145</v>
      </c>
      <c r="AC81" s="1810"/>
      <c r="AD81" s="1334"/>
      <c r="AE81" s="1334"/>
      <c r="AF81" s="1334"/>
      <c r="AG81" s="1395">
        <f t="shared" si="176"/>
        <v>513.88</v>
      </c>
      <c r="AH81" s="1391">
        <f t="shared" si="59"/>
        <v>1336.0929999999998</v>
      </c>
      <c r="AI81" s="1334">
        <f t="shared" si="82"/>
        <v>1002.047</v>
      </c>
      <c r="AJ81" s="1334">
        <f t="shared" si="82"/>
        <v>334.04599999999999</v>
      </c>
      <c r="AK81" s="1334">
        <f t="shared" si="82"/>
        <v>0</v>
      </c>
      <c r="AL81" s="1334">
        <f t="shared" si="82"/>
        <v>0</v>
      </c>
      <c r="AM81" s="1334">
        <f t="shared" si="82"/>
        <v>0</v>
      </c>
      <c r="AN81" s="1334"/>
      <c r="AO81" s="1334">
        <f t="shared" si="79"/>
        <v>1336.0930000000001</v>
      </c>
      <c r="AP81" s="1334">
        <f t="shared" si="80"/>
        <v>1336.0930000000001</v>
      </c>
      <c r="AQ81" s="1396">
        <f t="shared" si="145"/>
        <v>1336.0930000000001</v>
      </c>
      <c r="AR81" s="1417">
        <f t="shared" si="177"/>
        <v>0</v>
      </c>
      <c r="AS81" s="1333">
        <f t="shared" si="124"/>
        <v>3321749.7313079997</v>
      </c>
      <c r="AT81" s="1334">
        <f t="shared" si="124"/>
        <v>985505.84965999995</v>
      </c>
      <c r="AU81" s="1334">
        <f t="shared" si="124"/>
        <v>0</v>
      </c>
      <c r="AV81" s="1334">
        <f t="shared" si="124"/>
        <v>0</v>
      </c>
      <c r="AW81" s="1334">
        <f t="shared" si="124"/>
        <v>0</v>
      </c>
      <c r="AX81" s="1334">
        <f t="shared" si="146"/>
        <v>4307255.580968</v>
      </c>
      <c r="AY81" s="1334">
        <f t="shared" si="147"/>
        <v>4307255.580968</v>
      </c>
      <c r="AZ81" s="1334">
        <f t="shared" si="125"/>
        <v>3766261.7886959999</v>
      </c>
      <c r="BA81" s="1334">
        <f t="shared" si="125"/>
        <v>995360.20666000003</v>
      </c>
      <c r="BB81" s="1334">
        <f t="shared" si="125"/>
        <v>0</v>
      </c>
      <c r="BC81" s="1334">
        <f t="shared" si="125"/>
        <v>0</v>
      </c>
      <c r="BD81" s="1334">
        <f t="shared" si="125"/>
        <v>0</v>
      </c>
      <c r="BE81" s="1334">
        <f t="shared" si="148"/>
        <v>4761621.995356</v>
      </c>
      <c r="BF81" s="1396">
        <f t="shared" si="149"/>
        <v>4761621.995356</v>
      </c>
      <c r="BG81" s="1397">
        <f t="shared" si="190"/>
        <v>57.462737236666591</v>
      </c>
      <c r="BH81" s="1398">
        <f t="shared" si="191"/>
        <v>94.112008333333307</v>
      </c>
      <c r="BI81" s="1399">
        <f t="shared" si="192"/>
        <v>151.57474556999989</v>
      </c>
      <c r="BJ81" s="1399"/>
      <c r="BK81" s="1641"/>
      <c r="BL81" s="1334">
        <f t="shared" si="153"/>
        <v>2098925.8109879997</v>
      </c>
      <c r="BM81" s="1334">
        <f t="shared" si="153"/>
        <v>557725.39966</v>
      </c>
      <c r="BN81" s="1334">
        <f t="shared" si="153"/>
        <v>0</v>
      </c>
      <c r="BO81" s="1334">
        <f t="shared" si="153"/>
        <v>0</v>
      </c>
      <c r="BP81" s="1334">
        <f t="shared" si="153"/>
        <v>0</v>
      </c>
      <c r="BQ81" s="1334">
        <f t="shared" si="62"/>
        <v>2656651.2106479998</v>
      </c>
      <c r="BR81" s="1334">
        <f t="shared" si="63"/>
        <v>2656651.2106479998</v>
      </c>
      <c r="BS81" s="1334">
        <f t="shared" si="154"/>
        <v>1386460.56384</v>
      </c>
      <c r="BT81" s="1334">
        <f t="shared" si="154"/>
        <v>432057.95</v>
      </c>
      <c r="BU81" s="1334">
        <f t="shared" si="154"/>
        <v>0</v>
      </c>
      <c r="BV81" s="1334">
        <f t="shared" si="65"/>
        <v>0</v>
      </c>
      <c r="BW81" s="1334">
        <f t="shared" si="157"/>
        <v>0</v>
      </c>
      <c r="BX81" s="1334">
        <f t="shared" si="66"/>
        <v>1818518.5138399999</v>
      </c>
      <c r="BY81" s="1334">
        <f t="shared" si="67"/>
        <v>1818518.5138399999</v>
      </c>
      <c r="BZ81" s="1389">
        <f t="shared" si="155"/>
        <v>989783.34966000007</v>
      </c>
      <c r="CA81" s="1389">
        <f t="shared" si="155"/>
        <v>0</v>
      </c>
      <c r="CB81" s="1389">
        <f t="shared" si="69"/>
        <v>989783.34966000007</v>
      </c>
      <c r="CC81" s="1420">
        <f t="shared" si="156"/>
        <v>2963.0151226477792</v>
      </c>
      <c r="CD81" s="1420" t="e">
        <f t="shared" si="156"/>
        <v>#DIV/0!</v>
      </c>
      <c r="CE81" s="1420">
        <f t="shared" si="178"/>
        <v>2963.0151226477792</v>
      </c>
      <c r="CF81" s="1420">
        <f t="shared" si="158"/>
        <v>2963.0151226477792</v>
      </c>
      <c r="CG81" s="1421">
        <f t="shared" si="159"/>
        <v>1171673.0443439998</v>
      </c>
      <c r="CH81" s="1421">
        <f t="shared" si="179"/>
        <v>3507.5200551540802</v>
      </c>
      <c r="CI81" s="1389"/>
      <c r="CJ81" s="1756">
        <f t="shared" si="193"/>
        <v>2725.6064953319992</v>
      </c>
      <c r="CK81" s="1756">
        <f t="shared" si="160"/>
        <v>1931.4529238399998</v>
      </c>
      <c r="CL81" s="1756">
        <f t="shared" si="194"/>
        <v>4657.0594191719993</v>
      </c>
      <c r="CM81" s="1334">
        <f t="shared" si="180"/>
        <v>5021.7963948239994</v>
      </c>
      <c r="CN81" s="1334">
        <f t="shared" si="181"/>
        <v>364.73697565200018</v>
      </c>
      <c r="CO81" s="1334">
        <f t="shared" si="161"/>
        <v>4657059.4191719992</v>
      </c>
      <c r="CP81" s="1334">
        <f t="shared" si="162"/>
        <v>4307255.580968</v>
      </c>
      <c r="CQ81" s="1334">
        <f t="shared" si="163"/>
        <v>4307255.580968</v>
      </c>
      <c r="CR81" s="1334">
        <f t="shared" si="164"/>
        <v>2656651.2106479998</v>
      </c>
      <c r="CS81" s="1334">
        <f t="shared" si="165"/>
        <v>4761621.995356</v>
      </c>
      <c r="CT81" s="1334">
        <f t="shared" si="166"/>
        <v>4761621.995356</v>
      </c>
      <c r="CU81" s="1334">
        <f t="shared" si="167"/>
        <v>1818518.5138399999</v>
      </c>
      <c r="CV81" s="1334">
        <f t="shared" si="182"/>
        <v>9068877.576324001</v>
      </c>
      <c r="CW81" s="1422">
        <f t="shared" si="183"/>
        <v>6787.6095274236168</v>
      </c>
      <c r="CX81" s="1334">
        <f t="shared" si="168"/>
        <v>985505.84965999995</v>
      </c>
      <c r="CY81" s="1334">
        <f t="shared" si="169"/>
        <v>995360.20666000003</v>
      </c>
      <c r="CZ81" s="1334"/>
      <c r="DA81" s="1334">
        <f t="shared" si="170"/>
        <v>4429100.1956519997</v>
      </c>
      <c r="DB81" s="1334">
        <f t="shared" si="171"/>
        <v>5021796.3948240001</v>
      </c>
      <c r="DC81" s="1223"/>
      <c r="DD81" s="1224">
        <f t="shared" si="184"/>
        <v>127.40001559211038</v>
      </c>
      <c r="DE81" s="1223"/>
      <c r="DF81" s="1223"/>
      <c r="DG81" s="1223"/>
      <c r="DH81" s="1494"/>
      <c r="DI81" s="1494"/>
      <c r="DJ81" s="1494"/>
      <c r="DK81" s="1389"/>
      <c r="DL81" s="1419">
        <f t="shared" si="172"/>
        <v>0</v>
      </c>
      <c r="DM81" s="1419">
        <f t="shared" si="173"/>
        <v>0</v>
      </c>
      <c r="DN81" s="1419">
        <f t="shared" si="174"/>
        <v>0</v>
      </c>
      <c r="DO81" s="819"/>
      <c r="DP81" s="1315"/>
      <c r="DQ81" s="1315"/>
      <c r="DR81" s="1315"/>
      <c r="DS81" s="1315"/>
      <c r="DT81" s="1315"/>
      <c r="DU81" s="1315"/>
      <c r="DV81" s="1315"/>
      <c r="DW81" s="1315"/>
      <c r="DX81" s="1315"/>
      <c r="DY81" s="1315"/>
      <c r="DZ81" s="1315"/>
      <c r="EA81" s="1315"/>
      <c r="EB81" s="1315"/>
      <c r="EC81" s="1315"/>
      <c r="ED81" s="1315"/>
      <c r="EE81" s="1315"/>
      <c r="EF81" s="1315"/>
      <c r="EG81" s="1315"/>
      <c r="EH81" s="1315"/>
      <c r="EI81" s="1315"/>
      <c r="EJ81" s="1315"/>
      <c r="EK81" s="1315"/>
      <c r="EL81" s="1315"/>
    </row>
    <row r="82" spans="1:191" s="50" customFormat="1" ht="75.75" hidden="1" customHeight="1">
      <c r="A82" s="6">
        <f t="shared" si="185"/>
        <v>69</v>
      </c>
      <c r="B82" s="1353" t="s">
        <v>29</v>
      </c>
      <c r="C82" s="1449" t="s">
        <v>112</v>
      </c>
      <c r="D82" s="1330" t="s">
        <v>111</v>
      </c>
      <c r="E82" s="1402">
        <v>4617004147</v>
      </c>
      <c r="F82" s="1330" t="s">
        <v>8</v>
      </c>
      <c r="G82" s="1332" t="s">
        <v>1004</v>
      </c>
      <c r="H82" s="1697">
        <v>3127.6598130001857</v>
      </c>
      <c r="I82" s="1696">
        <v>3127.6598130001857</v>
      </c>
      <c r="J82" s="1356">
        <v>3127.6598130001857</v>
      </c>
      <c r="K82" s="1356"/>
      <c r="L82" s="1356"/>
      <c r="M82" s="1357"/>
      <c r="N82" s="1657">
        <v>3573.9</v>
      </c>
      <c r="O82" s="1372">
        <v>3573.9</v>
      </c>
      <c r="P82" s="1658">
        <v>3573.9</v>
      </c>
      <c r="Q82" s="1658"/>
      <c r="R82" s="1335"/>
      <c r="S82" s="1438"/>
      <c r="T82" s="1443">
        <v>1434.3600000000001</v>
      </c>
      <c r="U82" s="1361">
        <v>73.63</v>
      </c>
      <c r="V82" s="1361">
        <v>0</v>
      </c>
      <c r="W82" s="1361">
        <v>0</v>
      </c>
      <c r="X82" s="1361">
        <v>0</v>
      </c>
      <c r="Y82" s="1361">
        <v>0</v>
      </c>
      <c r="Z82" s="1342">
        <f t="shared" si="175"/>
        <v>1507.9900000000002</v>
      </c>
      <c r="AA82" s="1444">
        <v>1055.48</v>
      </c>
      <c r="AB82" s="1361">
        <v>55.22</v>
      </c>
      <c r="AC82" s="1361">
        <v>0</v>
      </c>
      <c r="AD82" s="1361">
        <v>0</v>
      </c>
      <c r="AE82" s="1361">
        <v>0</v>
      </c>
      <c r="AF82" s="1361">
        <v>0</v>
      </c>
      <c r="AG82" s="1344">
        <f t="shared" si="176"/>
        <v>1110.7</v>
      </c>
      <c r="AH82" s="1340">
        <f t="shared" si="59"/>
        <v>2618.6900000000005</v>
      </c>
      <c r="AI82" s="1341">
        <f t="shared" si="82"/>
        <v>2489.84</v>
      </c>
      <c r="AJ82" s="1341">
        <f t="shared" si="82"/>
        <v>128.85</v>
      </c>
      <c r="AK82" s="1341">
        <f t="shared" si="82"/>
        <v>0</v>
      </c>
      <c r="AL82" s="1341">
        <f t="shared" si="82"/>
        <v>0</v>
      </c>
      <c r="AM82" s="1341">
        <f t="shared" si="82"/>
        <v>0</v>
      </c>
      <c r="AN82" s="1341"/>
      <c r="AO82" s="1341">
        <f t="shared" si="79"/>
        <v>2618.69</v>
      </c>
      <c r="AP82" s="1341">
        <f t="shared" si="80"/>
        <v>2618.69</v>
      </c>
      <c r="AQ82" s="1345">
        <f t="shared" si="145"/>
        <v>2618.69</v>
      </c>
      <c r="AR82" s="1346">
        <f t="shared" si="177"/>
        <v>0</v>
      </c>
      <c r="AS82" s="1347">
        <f t="shared" si="124"/>
        <v>7787372.5088003827</v>
      </c>
      <c r="AT82" s="1341">
        <f t="shared" si="124"/>
        <v>402998.9669050739</v>
      </c>
      <c r="AU82" s="1341">
        <f t="shared" si="124"/>
        <v>0</v>
      </c>
      <c r="AV82" s="1341">
        <f t="shared" si="124"/>
        <v>0</v>
      </c>
      <c r="AW82" s="1341">
        <f t="shared" si="124"/>
        <v>0</v>
      </c>
      <c r="AX82" s="1341">
        <f t="shared" si="146"/>
        <v>8190371.4757054569</v>
      </c>
      <c r="AY82" s="1341">
        <f t="shared" si="147"/>
        <v>8190371.4757054569</v>
      </c>
      <c r="AZ82" s="1341">
        <f t="shared" si="125"/>
        <v>8898439.1760000009</v>
      </c>
      <c r="BA82" s="1341">
        <f t="shared" si="125"/>
        <v>460497.01500000001</v>
      </c>
      <c r="BB82" s="1341">
        <f t="shared" si="125"/>
        <v>0</v>
      </c>
      <c r="BC82" s="1341">
        <f t="shared" si="125"/>
        <v>0</v>
      </c>
      <c r="BD82" s="1341">
        <f t="shared" si="125"/>
        <v>0</v>
      </c>
      <c r="BE82" s="1341">
        <f t="shared" si="148"/>
        <v>9358936.1910000015</v>
      </c>
      <c r="BF82" s="1345">
        <f t="shared" si="149"/>
        <v>9358936.1910000015</v>
      </c>
      <c r="BG82" s="1397"/>
      <c r="BH82" s="1398"/>
      <c r="BI82" s="1399">
        <f t="shared" si="143"/>
        <v>0</v>
      </c>
      <c r="BJ82" s="1399">
        <v>8686.0114276431705</v>
      </c>
      <c r="BK82" s="1641">
        <v>11208.907684</v>
      </c>
      <c r="BL82" s="1341">
        <f t="shared" si="153"/>
        <v>4486190.1293749465</v>
      </c>
      <c r="BM82" s="1341">
        <f t="shared" si="153"/>
        <v>230289.59203120368</v>
      </c>
      <c r="BN82" s="1341">
        <f t="shared" si="153"/>
        <v>0</v>
      </c>
      <c r="BO82" s="1341">
        <f t="shared" si="153"/>
        <v>0</v>
      </c>
      <c r="BP82" s="1341">
        <f t="shared" si="153"/>
        <v>0</v>
      </c>
      <c r="BQ82" s="1341">
        <f t="shared" si="62"/>
        <v>4716479.7214061506</v>
      </c>
      <c r="BR82" s="1341">
        <f t="shared" si="63"/>
        <v>4716479.7214061506</v>
      </c>
      <c r="BS82" s="1341">
        <f t="shared" si="154"/>
        <v>3772179.9720000001</v>
      </c>
      <c r="BT82" s="1341">
        <f t="shared" si="154"/>
        <v>197350.758</v>
      </c>
      <c r="BU82" s="1341">
        <f t="shared" si="154"/>
        <v>0</v>
      </c>
      <c r="BV82" s="1341">
        <f t="shared" si="65"/>
        <v>0</v>
      </c>
      <c r="BW82" s="1341">
        <f t="shared" si="157"/>
        <v>0</v>
      </c>
      <c r="BX82" s="1341">
        <f t="shared" si="66"/>
        <v>3969530.73</v>
      </c>
      <c r="BY82" s="1341">
        <f t="shared" si="67"/>
        <v>3969530.73</v>
      </c>
      <c r="BZ82" s="1349">
        <f t="shared" si="155"/>
        <v>427640.35003120371</v>
      </c>
      <c r="CA82" s="1349">
        <f t="shared" si="155"/>
        <v>0</v>
      </c>
      <c r="CB82" s="1349">
        <f t="shared" si="69"/>
        <v>427640.35003120371</v>
      </c>
      <c r="CC82" s="1351">
        <f t="shared" si="156"/>
        <v>3318.9006599239715</v>
      </c>
      <c r="CD82" s="1351" t="e">
        <f t="shared" si="156"/>
        <v>#DIV/0!</v>
      </c>
      <c r="CE82" s="1351">
        <f t="shared" si="178"/>
        <v>3318.9006599239715</v>
      </c>
      <c r="CF82" s="1351">
        <f t="shared" si="158"/>
        <v>3318.9006599239715</v>
      </c>
      <c r="CG82" s="1367">
        <f t="shared" si="159"/>
        <v>427640.35003120371</v>
      </c>
      <c r="CH82" s="1367">
        <f t="shared" si="179"/>
        <v>3318.9006599239715</v>
      </c>
      <c r="CI82" s="1408"/>
      <c r="CJ82" s="1341">
        <f t="shared" si="71"/>
        <v>5389.4054610000012</v>
      </c>
      <c r="CK82" s="1341">
        <f t="shared" si="160"/>
        <v>3969.5307300000004</v>
      </c>
      <c r="CL82" s="1341">
        <f t="shared" si="194"/>
        <v>9358.9361910000007</v>
      </c>
      <c r="CM82" s="1341">
        <f t="shared" si="180"/>
        <v>9358.9361910000007</v>
      </c>
      <c r="CN82" s="1341">
        <f t="shared" si="181"/>
        <v>0</v>
      </c>
      <c r="CO82" s="1341">
        <f t="shared" si="161"/>
        <v>8686010.4514061511</v>
      </c>
      <c r="CP82" s="1341">
        <f t="shared" si="162"/>
        <v>8190371.4757054569</v>
      </c>
      <c r="CQ82" s="1341">
        <f t="shared" si="163"/>
        <v>8190371.4757054569</v>
      </c>
      <c r="CR82" s="1341">
        <f t="shared" si="164"/>
        <v>4716479.7214061506</v>
      </c>
      <c r="CS82" s="1341">
        <f t="shared" si="165"/>
        <v>9358936.1910000015</v>
      </c>
      <c r="CT82" s="1341">
        <f t="shared" si="166"/>
        <v>9358936.1910000015</v>
      </c>
      <c r="CU82" s="1341">
        <f t="shared" si="167"/>
        <v>3969530.73</v>
      </c>
      <c r="CV82" s="1341">
        <f t="shared" si="182"/>
        <v>17549307.666705459</v>
      </c>
      <c r="CW82" s="1350">
        <f t="shared" si="183"/>
        <v>6701.5598130001854</v>
      </c>
      <c r="CX82" s="1341">
        <f t="shared" si="168"/>
        <v>402998.9669050739</v>
      </c>
      <c r="CY82" s="1341">
        <f t="shared" si="169"/>
        <v>460497.01500000001</v>
      </c>
      <c r="CZ82" s="1341"/>
      <c r="DA82" s="1341">
        <f t="shared" si="170"/>
        <v>8190371.4757054569</v>
      </c>
      <c r="DB82" s="1341">
        <f t="shared" si="171"/>
        <v>9358936.1910000015</v>
      </c>
      <c r="DC82" s="1574"/>
      <c r="DD82" s="40">
        <f t="shared" si="184"/>
        <v>114.26754230575229</v>
      </c>
      <c r="DE82" s="1574"/>
      <c r="DF82" s="1574"/>
      <c r="DG82" s="1574"/>
      <c r="DH82" s="1487">
        <v>2790.1833333333334</v>
      </c>
      <c r="DI82" s="1487">
        <v>178.95</v>
      </c>
      <c r="DJ82" s="1487">
        <f t="shared" ref="DJ82:DJ144" si="195">DH82-DI82</f>
        <v>2611.2333333333336</v>
      </c>
      <c r="DK82" s="1408"/>
      <c r="DL82" s="1352">
        <f t="shared" si="172"/>
        <v>0</v>
      </c>
      <c r="DM82" s="1352">
        <f t="shared" si="173"/>
        <v>0</v>
      </c>
      <c r="DN82" s="1352">
        <f t="shared" si="174"/>
        <v>0</v>
      </c>
      <c r="DO82" s="1312"/>
      <c r="DP82" s="1312"/>
      <c r="DQ82" s="1312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</row>
    <row r="83" spans="1:191" s="1313" customFormat="1" ht="78.75" hidden="1" customHeight="1">
      <c r="A83" s="6">
        <f t="shared" si="185"/>
        <v>70</v>
      </c>
      <c r="B83" s="1353"/>
      <c r="C83" s="1753" t="s">
        <v>113</v>
      </c>
      <c r="D83" s="1706" t="s">
        <v>142</v>
      </c>
      <c r="E83" s="1331">
        <v>4632024035</v>
      </c>
      <c r="F83" s="1330" t="s">
        <v>8</v>
      </c>
      <c r="G83" s="1682" t="s">
        <v>1034</v>
      </c>
      <c r="H83" s="1700">
        <v>3314.9639999999995</v>
      </c>
      <c r="I83" s="1701">
        <f t="shared" ref="I83:I84" si="196">H83</f>
        <v>3314.9639999999995</v>
      </c>
      <c r="J83" s="1335"/>
      <c r="K83" s="1335"/>
      <c r="L83" s="1700">
        <v>3314.9639999999995</v>
      </c>
      <c r="M83" s="1390"/>
      <c r="N83" s="1703">
        <f t="shared" ref="N83:N84" si="197">3132.14*1.2</f>
        <v>3758.5679999999998</v>
      </c>
      <c r="O83" s="1704">
        <f t="shared" ref="O83:O84" si="198">N83</f>
        <v>3758.5679999999998</v>
      </c>
      <c r="P83" s="1335"/>
      <c r="Q83" s="1335"/>
      <c r="R83" s="1335">
        <f t="shared" ref="R83:R84" si="199">O83</f>
        <v>3758.5679999999998</v>
      </c>
      <c r="S83" s="1390"/>
      <c r="T83" s="1751">
        <v>228.929</v>
      </c>
      <c r="U83" s="1810"/>
      <c r="V83" s="1810"/>
      <c r="W83" s="1334"/>
      <c r="X83" s="1334"/>
      <c r="Y83" s="1334"/>
      <c r="Z83" s="1393">
        <f t="shared" si="175"/>
        <v>228.929</v>
      </c>
      <c r="AA83" s="1752">
        <v>132.93600000000001</v>
      </c>
      <c r="AB83" s="1810"/>
      <c r="AC83" s="1810"/>
      <c r="AD83" s="1334"/>
      <c r="AE83" s="1334"/>
      <c r="AF83" s="1334"/>
      <c r="AG83" s="1395">
        <f t="shared" si="176"/>
        <v>132.93600000000001</v>
      </c>
      <c r="AH83" s="1391">
        <f t="shared" ref="AH83:AH143" si="200">Z83+AG83</f>
        <v>361.86500000000001</v>
      </c>
      <c r="AI83" s="1334">
        <f t="shared" si="82"/>
        <v>361.86500000000001</v>
      </c>
      <c r="AJ83" s="1334">
        <f t="shared" si="82"/>
        <v>0</v>
      </c>
      <c r="AK83" s="1334">
        <f t="shared" si="82"/>
        <v>0</v>
      </c>
      <c r="AL83" s="1334">
        <f t="shared" si="82"/>
        <v>0</v>
      </c>
      <c r="AM83" s="1334">
        <f t="shared" si="82"/>
        <v>0</v>
      </c>
      <c r="AN83" s="1334"/>
      <c r="AO83" s="1334">
        <f t="shared" si="79"/>
        <v>361.86500000000001</v>
      </c>
      <c r="AP83" s="1334">
        <f t="shared" si="80"/>
        <v>361.86500000000001</v>
      </c>
      <c r="AQ83" s="1396">
        <f t="shared" si="145"/>
        <v>361.86500000000001</v>
      </c>
      <c r="AR83" s="1417">
        <f t="shared" si="177"/>
        <v>0</v>
      </c>
      <c r="AS83" s="1333">
        <f t="shared" si="124"/>
        <v>1199569.44786</v>
      </c>
      <c r="AT83" s="1334">
        <f t="shared" si="124"/>
        <v>0</v>
      </c>
      <c r="AU83" s="1334">
        <f t="shared" si="124"/>
        <v>0</v>
      </c>
      <c r="AV83" s="1334">
        <f t="shared" si="124"/>
        <v>0</v>
      </c>
      <c r="AW83" s="1334">
        <f t="shared" si="124"/>
        <v>0</v>
      </c>
      <c r="AX83" s="1334">
        <f t="shared" si="146"/>
        <v>1199569.44786</v>
      </c>
      <c r="AY83" s="1334">
        <f t="shared" si="147"/>
        <v>1199569.44786</v>
      </c>
      <c r="AZ83" s="1334">
        <f t="shared" si="125"/>
        <v>1360094.2093199999</v>
      </c>
      <c r="BA83" s="1334">
        <f t="shared" si="125"/>
        <v>0</v>
      </c>
      <c r="BB83" s="1334">
        <f t="shared" si="125"/>
        <v>0</v>
      </c>
      <c r="BC83" s="1334">
        <f t="shared" si="125"/>
        <v>0</v>
      </c>
      <c r="BD83" s="1334">
        <f t="shared" si="125"/>
        <v>0</v>
      </c>
      <c r="BE83" s="1334">
        <f t="shared" si="148"/>
        <v>1360094.2093199999</v>
      </c>
      <c r="BF83" s="1396">
        <f t="shared" si="149"/>
        <v>1360094.2093199999</v>
      </c>
      <c r="BG83" s="1397">
        <f t="shared" ref="BG83:BG84" si="201">(H83-J83)/1.2*U83/1000+(H83-K83)/1.2*V83/1000</f>
        <v>0</v>
      </c>
      <c r="BH83" s="1398">
        <f t="shared" ref="BH83:BH84" si="202">(O83-P83)*AB83/1000/1.2+(O83-Q83)/1.2*AC83/1000</f>
        <v>0</v>
      </c>
      <c r="BI83" s="1399">
        <f t="shared" si="143"/>
        <v>0</v>
      </c>
      <c r="BJ83" s="1399"/>
      <c r="BK83" s="1641"/>
      <c r="BL83" s="1334">
        <f t="shared" si="153"/>
        <v>758891.39355599985</v>
      </c>
      <c r="BM83" s="1334">
        <f t="shared" si="153"/>
        <v>0</v>
      </c>
      <c r="BN83" s="1334">
        <f t="shared" si="153"/>
        <v>0</v>
      </c>
      <c r="BO83" s="1334">
        <f t="shared" si="153"/>
        <v>0</v>
      </c>
      <c r="BP83" s="1334">
        <f t="shared" si="153"/>
        <v>0</v>
      </c>
      <c r="BQ83" s="1334">
        <f t="shared" ref="BQ83:BQ140" si="203">BL83+BM83+BN83+BO83+BP83</f>
        <v>758891.39355599985</v>
      </c>
      <c r="BR83" s="1334">
        <f t="shared" ref="BR83:BR140" si="204">BQ83-BP83</f>
        <v>758891.39355599985</v>
      </c>
      <c r="BS83" s="1334">
        <f t="shared" si="154"/>
        <v>499648.99564799998</v>
      </c>
      <c r="BT83" s="1334">
        <f t="shared" si="154"/>
        <v>0</v>
      </c>
      <c r="BU83" s="1334">
        <f t="shared" si="154"/>
        <v>0</v>
      </c>
      <c r="BV83" s="1334">
        <f t="shared" ref="BV83:BV142" si="205">R83*W83</f>
        <v>0</v>
      </c>
      <c r="BW83" s="1334">
        <f t="shared" si="157"/>
        <v>0</v>
      </c>
      <c r="BX83" s="1334">
        <f t="shared" ref="BX83:BX143" si="206">BS83+BT83+BU83+BV83+BW83</f>
        <v>499648.99564799998</v>
      </c>
      <c r="BY83" s="1334">
        <f t="shared" ref="BY83:BY143" si="207">BX83-BW83</f>
        <v>499648.99564799998</v>
      </c>
      <c r="BZ83" s="1389">
        <f t="shared" si="155"/>
        <v>0</v>
      </c>
      <c r="CA83" s="1389">
        <f t="shared" si="155"/>
        <v>0</v>
      </c>
      <c r="CB83" s="1389">
        <f t="shared" ref="CB83:CB143" si="208">BZ83+CA83</f>
        <v>0</v>
      </c>
      <c r="CC83" s="1420" t="e">
        <f t="shared" si="156"/>
        <v>#DIV/0!</v>
      </c>
      <c r="CD83" s="1420" t="e">
        <f t="shared" si="156"/>
        <v>#DIV/0!</v>
      </c>
      <c r="CE83" s="1420" t="e">
        <f t="shared" si="178"/>
        <v>#DIV/0!</v>
      </c>
      <c r="CF83" s="1389" t="e">
        <f t="shared" si="158"/>
        <v>#DIV/0!</v>
      </c>
      <c r="CG83" s="1421">
        <f t="shared" si="159"/>
        <v>0</v>
      </c>
      <c r="CH83" s="1421" t="e">
        <f t="shared" si="179"/>
        <v>#DIV/0!</v>
      </c>
      <c r="CI83" s="1389"/>
      <c r="CJ83" s="1756">
        <f t="shared" ref="CJ83:CJ84" si="209">H83*Z83/1000</f>
        <v>758.8913935559998</v>
      </c>
      <c r="CK83" s="1756">
        <f t="shared" si="160"/>
        <v>499.64899564799998</v>
      </c>
      <c r="CL83" s="1756">
        <f t="shared" si="194"/>
        <v>1258.5403892039999</v>
      </c>
      <c r="CM83" s="1334">
        <f t="shared" si="180"/>
        <v>1360.0942093199999</v>
      </c>
      <c r="CN83" s="1334">
        <f t="shared" si="181"/>
        <v>101.553820116</v>
      </c>
      <c r="CO83" s="1334">
        <f t="shared" si="161"/>
        <v>1258540.3892039999</v>
      </c>
      <c r="CP83" s="1334">
        <f t="shared" si="162"/>
        <v>1199569.44786</v>
      </c>
      <c r="CQ83" s="1334">
        <f t="shared" si="163"/>
        <v>1199569.44786</v>
      </c>
      <c r="CR83" s="1334">
        <f t="shared" si="164"/>
        <v>758891.39355599985</v>
      </c>
      <c r="CS83" s="1334">
        <f t="shared" si="165"/>
        <v>1360094.2093199999</v>
      </c>
      <c r="CT83" s="1334">
        <f t="shared" si="166"/>
        <v>1360094.2093199999</v>
      </c>
      <c r="CU83" s="1334">
        <f t="shared" si="167"/>
        <v>499648.99564799998</v>
      </c>
      <c r="CV83" s="1334">
        <f t="shared" si="182"/>
        <v>2559663.6571800001</v>
      </c>
      <c r="CW83" s="1422">
        <f t="shared" si="183"/>
        <v>7073.5320000000002</v>
      </c>
      <c r="CX83" s="1334">
        <f t="shared" si="168"/>
        <v>0</v>
      </c>
      <c r="CY83" s="1334">
        <f t="shared" si="169"/>
        <v>0</v>
      </c>
      <c r="CZ83" s="1334"/>
      <c r="DA83" s="1334">
        <f t="shared" si="170"/>
        <v>1199569.44786</v>
      </c>
      <c r="DB83" s="1334">
        <f t="shared" si="171"/>
        <v>1360094.2093199999</v>
      </c>
      <c r="DC83" s="1223"/>
      <c r="DD83" s="1224" t="e">
        <f t="shared" si="184"/>
        <v>#DIV/0!</v>
      </c>
      <c r="DE83" s="1223"/>
      <c r="DF83" s="1223"/>
      <c r="DG83" s="1223"/>
      <c r="DH83" s="1494"/>
      <c r="DI83" s="1494"/>
      <c r="DJ83" s="1494"/>
      <c r="DK83" s="1389"/>
      <c r="DL83" s="1419">
        <f t="shared" si="172"/>
        <v>0</v>
      </c>
      <c r="DM83" s="1419">
        <f t="shared" si="173"/>
        <v>0</v>
      </c>
      <c r="DN83" s="1419">
        <f t="shared" si="174"/>
        <v>0</v>
      </c>
      <c r="DO83" s="819"/>
      <c r="DP83" s="1315"/>
      <c r="DQ83" s="1315"/>
      <c r="DR83" s="1315"/>
      <c r="DS83" s="1315"/>
      <c r="DT83" s="1315"/>
      <c r="DU83" s="1315"/>
      <c r="DV83" s="1315"/>
      <c r="DW83" s="1315"/>
      <c r="DX83" s="1315"/>
      <c r="DY83" s="1315"/>
      <c r="DZ83" s="1315"/>
      <c r="EA83" s="1315"/>
      <c r="EB83" s="1315"/>
      <c r="EC83" s="1315"/>
      <c r="ED83" s="1315"/>
      <c r="EE83" s="1315"/>
      <c r="EF83" s="1315"/>
      <c r="EG83" s="1315"/>
      <c r="EH83" s="1315"/>
      <c r="EI83" s="1315"/>
      <c r="EJ83" s="1315"/>
      <c r="EK83" s="1315"/>
      <c r="EL83" s="1315"/>
    </row>
    <row r="84" spans="1:191" s="1313" customFormat="1" ht="76.5" hidden="1" customHeight="1">
      <c r="A84" s="6">
        <f t="shared" si="185"/>
        <v>71</v>
      </c>
      <c r="B84" s="1247" t="s">
        <v>29</v>
      </c>
      <c r="C84" s="1753" t="s">
        <v>114</v>
      </c>
      <c r="D84" s="1706" t="s">
        <v>141</v>
      </c>
      <c r="E84" s="1331">
        <v>4632024035</v>
      </c>
      <c r="F84" s="1330" t="s">
        <v>8</v>
      </c>
      <c r="G84" s="1682" t="s">
        <v>1034</v>
      </c>
      <c r="H84" s="1700">
        <v>3314.9639999999995</v>
      </c>
      <c r="I84" s="1701">
        <f t="shared" si="196"/>
        <v>3314.9639999999995</v>
      </c>
      <c r="J84" s="1707">
        <v>2950.21</v>
      </c>
      <c r="K84" s="1335"/>
      <c r="L84" s="1700">
        <v>3314.9639999999995</v>
      </c>
      <c r="M84" s="1390"/>
      <c r="N84" s="1703">
        <f t="shared" si="197"/>
        <v>3758.5679999999998</v>
      </c>
      <c r="O84" s="1704">
        <f t="shared" si="198"/>
        <v>3758.5679999999998</v>
      </c>
      <c r="P84" s="1708">
        <v>2979.71</v>
      </c>
      <c r="Q84" s="1335"/>
      <c r="R84" s="1335">
        <f t="shared" si="199"/>
        <v>3758.5679999999998</v>
      </c>
      <c r="S84" s="1390"/>
      <c r="T84" s="1751">
        <v>141.696</v>
      </c>
      <c r="U84" s="1828">
        <v>148.92600000000002</v>
      </c>
      <c r="V84" s="1828"/>
      <c r="W84" s="1338"/>
      <c r="X84" s="1338"/>
      <c r="Y84" s="1338"/>
      <c r="Z84" s="1416">
        <f t="shared" si="175"/>
        <v>290.62200000000001</v>
      </c>
      <c r="AA84" s="1830">
        <v>0</v>
      </c>
      <c r="AB84" s="1828">
        <v>111.6</v>
      </c>
      <c r="AC84" s="1810"/>
      <c r="AD84" s="1334"/>
      <c r="AE84" s="1334"/>
      <c r="AF84" s="1334"/>
      <c r="AG84" s="1395">
        <f t="shared" si="176"/>
        <v>111.6</v>
      </c>
      <c r="AH84" s="1391">
        <f t="shared" si="200"/>
        <v>402.22199999999998</v>
      </c>
      <c r="AI84" s="1334">
        <f t="shared" si="82"/>
        <v>141.696</v>
      </c>
      <c r="AJ84" s="1334">
        <f t="shared" si="82"/>
        <v>260.52600000000001</v>
      </c>
      <c r="AK84" s="1334">
        <f t="shared" si="82"/>
        <v>0</v>
      </c>
      <c r="AL84" s="1334">
        <f t="shared" si="82"/>
        <v>0</v>
      </c>
      <c r="AM84" s="1334">
        <f t="shared" ref="AI84:AN137" si="210">X84+AE84</f>
        <v>0</v>
      </c>
      <c r="AN84" s="1334"/>
      <c r="AO84" s="1334">
        <f t="shared" si="79"/>
        <v>402.22199999999998</v>
      </c>
      <c r="AP84" s="1334">
        <f t="shared" si="80"/>
        <v>402.22199999999998</v>
      </c>
      <c r="AQ84" s="1396">
        <f t="shared" si="145"/>
        <v>402.22199999999998</v>
      </c>
      <c r="AR84" s="1417">
        <f t="shared" si="177"/>
        <v>0</v>
      </c>
      <c r="AS84" s="1333">
        <f t="shared" si="124"/>
        <v>469717.13894399995</v>
      </c>
      <c r="AT84" s="1334">
        <f t="shared" si="124"/>
        <v>768606.41046000004</v>
      </c>
      <c r="AU84" s="1334">
        <f t="shared" si="124"/>
        <v>0</v>
      </c>
      <c r="AV84" s="1334">
        <f t="shared" si="124"/>
        <v>0</v>
      </c>
      <c r="AW84" s="1334">
        <f t="shared" si="124"/>
        <v>0</v>
      </c>
      <c r="AX84" s="1334">
        <f t="shared" si="146"/>
        <v>1238323.5494039999</v>
      </c>
      <c r="AY84" s="1334">
        <f t="shared" si="147"/>
        <v>1238323.5494039999</v>
      </c>
      <c r="AZ84" s="1334">
        <f t="shared" si="125"/>
        <v>532574.05132799991</v>
      </c>
      <c r="BA84" s="1334">
        <f t="shared" si="125"/>
        <v>776291.92746000004</v>
      </c>
      <c r="BB84" s="1334">
        <f t="shared" si="125"/>
        <v>0</v>
      </c>
      <c r="BC84" s="1334">
        <f t="shared" si="125"/>
        <v>0</v>
      </c>
      <c r="BD84" s="1334">
        <f t="shared" si="125"/>
        <v>0</v>
      </c>
      <c r="BE84" s="1334">
        <f t="shared" si="148"/>
        <v>1308865.9787880001</v>
      </c>
      <c r="BF84" s="1396">
        <f t="shared" si="149"/>
        <v>1308865.9787880001</v>
      </c>
      <c r="BG84" s="1397">
        <f t="shared" si="201"/>
        <v>45.267795169999943</v>
      </c>
      <c r="BH84" s="1398">
        <f t="shared" si="202"/>
        <v>72.433793999999978</v>
      </c>
      <c r="BI84" s="1399">
        <f t="shared" si="143"/>
        <v>117.70158916999992</v>
      </c>
      <c r="BJ84" s="1399"/>
      <c r="BK84" s="1641"/>
      <c r="BL84" s="1334">
        <f t="shared" si="153"/>
        <v>469717.13894399995</v>
      </c>
      <c r="BM84" s="1334">
        <f t="shared" si="153"/>
        <v>439362.97446000006</v>
      </c>
      <c r="BN84" s="1334">
        <f t="shared" si="153"/>
        <v>0</v>
      </c>
      <c r="BO84" s="1334">
        <f t="shared" si="153"/>
        <v>0</v>
      </c>
      <c r="BP84" s="1334">
        <f t="shared" si="153"/>
        <v>0</v>
      </c>
      <c r="BQ84" s="1334">
        <f t="shared" si="203"/>
        <v>909080.11340399995</v>
      </c>
      <c r="BR84" s="1334">
        <f t="shared" si="204"/>
        <v>909080.11340399995</v>
      </c>
      <c r="BS84" s="1334">
        <f t="shared" si="154"/>
        <v>0</v>
      </c>
      <c r="BT84" s="1334">
        <f t="shared" si="154"/>
        <v>332535.636</v>
      </c>
      <c r="BU84" s="1334">
        <f t="shared" si="154"/>
        <v>0</v>
      </c>
      <c r="BV84" s="1334">
        <f t="shared" si="205"/>
        <v>0</v>
      </c>
      <c r="BW84" s="1334">
        <f t="shared" si="157"/>
        <v>0</v>
      </c>
      <c r="BX84" s="1334">
        <f t="shared" si="206"/>
        <v>332535.636</v>
      </c>
      <c r="BY84" s="1334">
        <f t="shared" si="207"/>
        <v>332535.636</v>
      </c>
      <c r="BZ84" s="1389">
        <f t="shared" si="155"/>
        <v>771898.61046000011</v>
      </c>
      <c r="CA84" s="1389">
        <f t="shared" si="155"/>
        <v>0</v>
      </c>
      <c r="CB84" s="1389">
        <f t="shared" si="208"/>
        <v>771898.61046000011</v>
      </c>
      <c r="CC84" s="1420">
        <f t="shared" si="156"/>
        <v>2962.8467425899912</v>
      </c>
      <c r="CD84" s="1420" t="e">
        <f t="shared" si="156"/>
        <v>#DIV/0!</v>
      </c>
      <c r="CE84" s="1420">
        <f t="shared" si="178"/>
        <v>2962.8467425899912</v>
      </c>
      <c r="CF84" s="1420">
        <f t="shared" si="158"/>
        <v>2962.8467425899912</v>
      </c>
      <c r="CG84" s="1421">
        <f t="shared" si="159"/>
        <v>913140.51746399992</v>
      </c>
      <c r="CH84" s="1421">
        <f t="shared" si="179"/>
        <v>3504.9880528776393</v>
      </c>
      <c r="CI84" s="1389"/>
      <c r="CJ84" s="1756">
        <f t="shared" si="209"/>
        <v>963.40146760799996</v>
      </c>
      <c r="CK84" s="1756">
        <f t="shared" si="160"/>
        <v>419.45618879999995</v>
      </c>
      <c r="CL84" s="1756">
        <f t="shared" si="194"/>
        <v>1382.8576564079999</v>
      </c>
      <c r="CM84" s="1334">
        <f t="shared" si="180"/>
        <v>1511.7787380959999</v>
      </c>
      <c r="CN84" s="1334">
        <f t="shared" si="181"/>
        <v>128.92108168799996</v>
      </c>
      <c r="CO84" s="1334">
        <f t="shared" si="161"/>
        <v>1382857.6564079998</v>
      </c>
      <c r="CP84" s="1334">
        <f t="shared" si="162"/>
        <v>1238323.5494039999</v>
      </c>
      <c r="CQ84" s="1334">
        <f t="shared" si="163"/>
        <v>1238323.5494039999</v>
      </c>
      <c r="CR84" s="1334">
        <f t="shared" si="164"/>
        <v>909080.11340399995</v>
      </c>
      <c r="CS84" s="1334">
        <f t="shared" si="165"/>
        <v>1308865.9787880001</v>
      </c>
      <c r="CT84" s="1334">
        <f t="shared" si="166"/>
        <v>1308865.9787880001</v>
      </c>
      <c r="CU84" s="1334">
        <f t="shared" si="167"/>
        <v>332535.636</v>
      </c>
      <c r="CV84" s="1334">
        <f t="shared" si="182"/>
        <v>2547189.528192</v>
      </c>
      <c r="CW84" s="1422">
        <f t="shared" si="183"/>
        <v>6332.7951434580909</v>
      </c>
      <c r="CX84" s="1334">
        <f t="shared" si="168"/>
        <v>768606.41046000004</v>
      </c>
      <c r="CY84" s="1334">
        <f t="shared" si="169"/>
        <v>776291.92746000004</v>
      </c>
      <c r="CZ84" s="1334"/>
      <c r="DA84" s="1334">
        <f t="shared" si="170"/>
        <v>1333351.4500079998</v>
      </c>
      <c r="DB84" s="1334">
        <f t="shared" si="171"/>
        <v>1511778.7380959999</v>
      </c>
      <c r="DC84" s="1223"/>
      <c r="DD84" s="1224">
        <f t="shared" si="184"/>
        <v>127.40001559211038</v>
      </c>
      <c r="DE84" s="1223"/>
      <c r="DF84" s="1223"/>
      <c r="DG84" s="1223"/>
      <c r="DH84" s="1494"/>
      <c r="DI84" s="1494"/>
      <c r="DJ84" s="1494"/>
      <c r="DK84" s="1389"/>
      <c r="DL84" s="1419">
        <f t="shared" si="172"/>
        <v>0</v>
      </c>
      <c r="DM84" s="1419">
        <f t="shared" si="173"/>
        <v>0</v>
      </c>
      <c r="DN84" s="1419">
        <f t="shared" si="174"/>
        <v>0</v>
      </c>
      <c r="DO84" s="819"/>
      <c r="DP84" s="1315"/>
      <c r="DQ84" s="1315"/>
      <c r="DR84" s="1315"/>
      <c r="DS84" s="1315"/>
      <c r="DT84" s="1315"/>
      <c r="DU84" s="1315"/>
      <c r="DV84" s="1315"/>
      <c r="DW84" s="1315"/>
      <c r="DX84" s="1315"/>
      <c r="DY84" s="1315"/>
      <c r="DZ84" s="1315"/>
      <c r="EA84" s="1315"/>
      <c r="EB84" s="1315"/>
      <c r="EC84" s="1315"/>
      <c r="ED84" s="1315"/>
      <c r="EE84" s="1315"/>
      <c r="EF84" s="1315"/>
      <c r="EG84" s="1315"/>
      <c r="EH84" s="1315"/>
      <c r="EI84" s="1315"/>
      <c r="EJ84" s="1315"/>
      <c r="EK84" s="1315"/>
      <c r="EL84" s="1315"/>
    </row>
    <row r="85" spans="1:191" s="50" customFormat="1" ht="71.25" hidden="1" customHeight="1">
      <c r="A85" s="6">
        <f t="shared" si="185"/>
        <v>72</v>
      </c>
      <c r="B85" s="1330" t="s">
        <v>30</v>
      </c>
      <c r="C85" s="1330" t="s">
        <v>58</v>
      </c>
      <c r="D85" s="1650" t="s">
        <v>187</v>
      </c>
      <c r="E85" s="1651">
        <v>4620014875</v>
      </c>
      <c r="F85" s="1330" t="s">
        <v>8</v>
      </c>
      <c r="G85" s="1332" t="s">
        <v>1002</v>
      </c>
      <c r="H85" s="1693">
        <v>3140.41</v>
      </c>
      <c r="I85" s="1694">
        <v>3140.41</v>
      </c>
      <c r="J85" s="1335">
        <v>2439.0591660000005</v>
      </c>
      <c r="K85" s="1335">
        <v>2146.2878970000002</v>
      </c>
      <c r="L85" s="1335">
        <v>3140.41</v>
      </c>
      <c r="M85" s="1390">
        <v>0</v>
      </c>
      <c r="N85" s="1403">
        <v>3177.82</v>
      </c>
      <c r="O85" s="1335">
        <v>3177.82</v>
      </c>
      <c r="P85" s="1335">
        <v>2670.77</v>
      </c>
      <c r="Q85" s="1335">
        <v>2455.14</v>
      </c>
      <c r="R85" s="1335">
        <v>3177.82</v>
      </c>
      <c r="S85" s="1390">
        <v>0</v>
      </c>
      <c r="T85" s="1379">
        <v>7557.3</v>
      </c>
      <c r="U85" s="1375">
        <v>11066.73</v>
      </c>
      <c r="V85" s="1372">
        <v>345.45</v>
      </c>
      <c r="W85" s="1372">
        <v>707.17</v>
      </c>
      <c r="X85" s="1375">
        <v>0</v>
      </c>
      <c r="Y85" s="1375">
        <v>0</v>
      </c>
      <c r="Z85" s="1393">
        <f>SUM(T85:W85)</f>
        <v>19676.649999999998</v>
      </c>
      <c r="AA85" s="1383">
        <v>5389.19</v>
      </c>
      <c r="AB85" s="1375">
        <v>7597.99</v>
      </c>
      <c r="AC85" s="1372">
        <v>203.92</v>
      </c>
      <c r="AD85" s="1372">
        <v>301.64</v>
      </c>
      <c r="AE85" s="1375">
        <v>0</v>
      </c>
      <c r="AF85" s="1375">
        <v>0</v>
      </c>
      <c r="AG85" s="1395">
        <f>SUM(AA85:AD85)</f>
        <v>13492.74</v>
      </c>
      <c r="AH85" s="1391">
        <f>Z85+AG85</f>
        <v>33169.39</v>
      </c>
      <c r="AI85" s="1334">
        <f>T85+AA85</f>
        <v>12946.49</v>
      </c>
      <c r="AJ85" s="1334">
        <f t="shared" si="210"/>
        <v>18664.72</v>
      </c>
      <c r="AK85" s="1334">
        <f t="shared" si="210"/>
        <v>549.37</v>
      </c>
      <c r="AL85" s="1334">
        <f t="shared" si="210"/>
        <v>1008.81</v>
      </c>
      <c r="AM85" s="1334">
        <f t="shared" si="210"/>
        <v>0</v>
      </c>
      <c r="AN85" s="1334">
        <v>0</v>
      </c>
      <c r="AO85" s="1334">
        <f>SUM(AI85:AN85)</f>
        <v>33169.39</v>
      </c>
      <c r="AP85" s="1334">
        <f>SUM(AI85:AM85)</f>
        <v>33169.39</v>
      </c>
      <c r="AQ85" s="1396">
        <f>SUM(AI85:AL85)</f>
        <v>33169.39</v>
      </c>
      <c r="AR85" s="1417">
        <f t="shared" si="177"/>
        <v>0</v>
      </c>
      <c r="AS85" s="1333">
        <f t="shared" si="124"/>
        <v>40657286.660899997</v>
      </c>
      <c r="AT85" s="1334">
        <f t="shared" si="124"/>
        <v>45524356.396823533</v>
      </c>
      <c r="AU85" s="1334">
        <f t="shared" si="124"/>
        <v>1179106.1819748902</v>
      </c>
      <c r="AV85" s="1334">
        <f t="shared" si="124"/>
        <v>3168077.0120999995</v>
      </c>
      <c r="AW85" s="1334">
        <f t="shared" si="124"/>
        <v>0</v>
      </c>
      <c r="AX85" s="1334">
        <f t="shared" si="146"/>
        <v>90528826.251798406</v>
      </c>
      <c r="AY85" s="1334">
        <f t="shared" si="147"/>
        <v>90528826.251798406</v>
      </c>
      <c r="AZ85" s="1334">
        <f t="shared" si="125"/>
        <v>41141614.851800002</v>
      </c>
      <c r="BA85" s="1334">
        <f t="shared" si="125"/>
        <v>49849174.234400004</v>
      </c>
      <c r="BB85" s="1334">
        <f t="shared" si="125"/>
        <v>1348780.2618</v>
      </c>
      <c r="BC85" s="1334">
        <f t="shared" si="125"/>
        <v>3205816.5942000002</v>
      </c>
      <c r="BD85" s="1334">
        <f t="shared" si="125"/>
        <v>0</v>
      </c>
      <c r="BE85" s="1334">
        <f t="shared" si="148"/>
        <v>95545385.942200005</v>
      </c>
      <c r="BF85" s="1396">
        <f t="shared" si="149"/>
        <v>95545385.942200005</v>
      </c>
      <c r="BG85" s="1394">
        <v>8105.12</v>
      </c>
      <c r="BH85" s="1392">
        <v>3999.9119999999998</v>
      </c>
      <c r="BI85" s="1392">
        <v>12105.031999999999</v>
      </c>
      <c r="BJ85" s="1338">
        <v>104670.28</v>
      </c>
      <c r="BK85" s="1644">
        <v>117889.14</v>
      </c>
      <c r="BL85" s="1341">
        <f>I85*T85</f>
        <v>23733020.493000001</v>
      </c>
      <c r="BM85" s="1341">
        <f t="shared" si="153"/>
        <v>26992409.244147185</v>
      </c>
      <c r="BN85" s="1341">
        <f t="shared" si="153"/>
        <v>741435.15401865006</v>
      </c>
      <c r="BO85" s="1341">
        <f t="shared" si="153"/>
        <v>2220803.7396999998</v>
      </c>
      <c r="BP85" s="1341">
        <f t="shared" si="153"/>
        <v>0</v>
      </c>
      <c r="BQ85" s="1341">
        <f t="shared" si="203"/>
        <v>53687668.630865827</v>
      </c>
      <c r="BR85" s="1341">
        <f t="shared" si="204"/>
        <v>53687668.630865827</v>
      </c>
      <c r="BS85" s="1341">
        <f t="shared" si="154"/>
        <v>17125875.765799999</v>
      </c>
      <c r="BT85" s="1341">
        <f t="shared" si="154"/>
        <v>20292483.752299998</v>
      </c>
      <c r="BU85" s="1341">
        <f t="shared" si="154"/>
        <v>500652.14879999997</v>
      </c>
      <c r="BV85" s="1341">
        <f t="shared" si="205"/>
        <v>2247258.9693999998</v>
      </c>
      <c r="BW85" s="1341">
        <f t="shared" si="157"/>
        <v>0</v>
      </c>
      <c r="BX85" s="1341">
        <f t="shared" si="206"/>
        <v>40166270.636299998</v>
      </c>
      <c r="BY85" s="1341">
        <f t="shared" si="207"/>
        <v>40166270.636299998</v>
      </c>
      <c r="BZ85" s="1349">
        <f t="shared" si="155"/>
        <v>47284892.996447183</v>
      </c>
      <c r="CA85" s="1349">
        <f t="shared" si="155"/>
        <v>1242087.3028186499</v>
      </c>
      <c r="CB85" s="1349">
        <f t="shared" si="208"/>
        <v>48526980.299265832</v>
      </c>
      <c r="CC85" s="1351">
        <f t="shared" si="156"/>
        <v>2533.3834633708507</v>
      </c>
      <c r="CD85" s="1351">
        <f t="shared" si="156"/>
        <v>2260.9303435183028</v>
      </c>
      <c r="CE85" s="1351">
        <f t="shared" si="178"/>
        <v>2525.5934732930796</v>
      </c>
      <c r="CF85" s="1351">
        <f t="shared" si="158"/>
        <v>2525.5934732930805</v>
      </c>
      <c r="CG85" s="1367">
        <f t="shared" si="159"/>
        <v>60631989.829999998</v>
      </c>
      <c r="CH85" s="1367">
        <f t="shared" si="179"/>
        <v>3155.6003864872077</v>
      </c>
      <c r="CI85" s="1423"/>
      <c r="CJ85" s="1341">
        <f t="shared" ref="CJ85:CJ143" si="211">N85*Z85/1000</f>
        <v>62528.851902999995</v>
      </c>
      <c r="CK85" s="1341">
        <f t="shared" si="160"/>
        <v>42877.499026799996</v>
      </c>
      <c r="CL85" s="1341">
        <f t="shared" si="194"/>
        <v>105406.35092979998</v>
      </c>
      <c r="CM85" s="1341">
        <f t="shared" si="180"/>
        <v>105406.3509298</v>
      </c>
      <c r="CN85" s="1341">
        <f t="shared" si="181"/>
        <v>0</v>
      </c>
      <c r="CO85" s="1341">
        <f t="shared" si="161"/>
        <v>104670247.4533</v>
      </c>
      <c r="CP85" s="1341">
        <f t="shared" si="162"/>
        <v>90528826.251798406</v>
      </c>
      <c r="CQ85" s="1341">
        <f t="shared" si="163"/>
        <v>90689666.00384894</v>
      </c>
      <c r="CR85" s="1341">
        <f t="shared" si="164"/>
        <v>53687668.630865827</v>
      </c>
      <c r="CS85" s="1341">
        <f t="shared" si="165"/>
        <v>95545385.942200005</v>
      </c>
      <c r="CT85" s="1341">
        <f t="shared" si="166"/>
        <v>95663846.595300004</v>
      </c>
      <c r="CU85" s="1341">
        <f t="shared" si="167"/>
        <v>38877569.291699991</v>
      </c>
      <c r="CV85" s="1341">
        <f t="shared" si="182"/>
        <v>186074212.1939984</v>
      </c>
      <c r="CW85" s="1350">
        <f t="shared" si="183"/>
        <v>5609.8171294075173</v>
      </c>
      <c r="CX85" s="1341">
        <f t="shared" si="168"/>
        <v>46703462.578798421</v>
      </c>
      <c r="CY85" s="1341">
        <f t="shared" si="169"/>
        <v>51197954.496200003</v>
      </c>
      <c r="CZ85" s="1341"/>
      <c r="DA85" s="1341">
        <f t="shared" si="170"/>
        <v>104165484.04990001</v>
      </c>
      <c r="DB85" s="1341">
        <f t="shared" si="171"/>
        <v>105406350.9298</v>
      </c>
      <c r="DC85" s="1575"/>
      <c r="DD85" s="40">
        <f t="shared" si="184"/>
        <v>130.28876233500927</v>
      </c>
      <c r="DE85" s="1575"/>
      <c r="DF85" s="1575"/>
      <c r="DG85" s="1575"/>
      <c r="DH85" s="1487">
        <v>31206.009999999995</v>
      </c>
      <c r="DI85" s="1487">
        <v>17533.340000000004</v>
      </c>
      <c r="DJ85" s="1487">
        <f t="shared" si="195"/>
        <v>13672.669999999991</v>
      </c>
      <c r="DK85" s="1423"/>
      <c r="DL85" s="1352">
        <f t="shared" si="172"/>
        <v>0</v>
      </c>
      <c r="DM85" s="1352">
        <f t="shared" si="173"/>
        <v>0</v>
      </c>
      <c r="DN85" s="1352">
        <f t="shared" si="174"/>
        <v>0</v>
      </c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</row>
    <row r="86" spans="1:191" s="50" customFormat="1" ht="75" hidden="1" customHeight="1">
      <c r="A86" s="6">
        <f t="shared" si="185"/>
        <v>73</v>
      </c>
      <c r="B86" s="1663"/>
      <c r="C86" s="1663" t="s">
        <v>260</v>
      </c>
      <c r="D86" s="1663" t="s">
        <v>31</v>
      </c>
      <c r="E86" s="1665">
        <v>4620001192</v>
      </c>
      <c r="F86" s="1663" t="s">
        <v>8</v>
      </c>
      <c r="G86" s="1666" t="s">
        <v>1016</v>
      </c>
      <c r="H86" s="1685">
        <v>2050.1880000000001</v>
      </c>
      <c r="I86" s="1686">
        <v>2050.1880000000001</v>
      </c>
      <c r="J86" s="1335">
        <v>1896.4199999999998</v>
      </c>
      <c r="K86" s="1335">
        <v>1896.4199999999998</v>
      </c>
      <c r="L86" s="1335">
        <v>2050.1880000000001</v>
      </c>
      <c r="M86" s="1370">
        <v>0</v>
      </c>
      <c r="N86" s="1371">
        <f>2050.18893913138*1.2</f>
        <v>2460.2267269576555</v>
      </c>
      <c r="O86" s="1372">
        <f>N86</f>
        <v>2460.2267269576555</v>
      </c>
      <c r="P86" s="1372">
        <f>1807.92494615735*1.2</f>
        <v>2169.5099353888199</v>
      </c>
      <c r="Q86" s="1372">
        <f>P86</f>
        <v>2169.5099353888199</v>
      </c>
      <c r="R86" s="1335">
        <f>O86</f>
        <v>2460.2267269576555</v>
      </c>
      <c r="S86" s="1370">
        <v>0</v>
      </c>
      <c r="T86" s="1347">
        <v>2390.88</v>
      </c>
      <c r="U86" s="1431">
        <v>4364.71</v>
      </c>
      <c r="V86" s="1450">
        <v>707.27999999999975</v>
      </c>
      <c r="W86" s="1341">
        <v>625.04</v>
      </c>
      <c r="X86" s="1341">
        <v>0</v>
      </c>
      <c r="Y86" s="1431">
        <v>4797.92</v>
      </c>
      <c r="Z86" s="1342">
        <f t="shared" si="175"/>
        <v>8087.91</v>
      </c>
      <c r="AA86" s="1348">
        <v>1905.9</v>
      </c>
      <c r="AB86" s="1431">
        <v>3273.54</v>
      </c>
      <c r="AC86" s="1431">
        <v>707.27999999999975</v>
      </c>
      <c r="AD86" s="1341">
        <v>471.22</v>
      </c>
      <c r="AE86" s="1341">
        <v>0</v>
      </c>
      <c r="AF86" s="1431">
        <v>3767.16</v>
      </c>
      <c r="AG86" s="1344">
        <f t="shared" si="176"/>
        <v>6357.9400000000005</v>
      </c>
      <c r="AH86" s="1340">
        <f t="shared" si="200"/>
        <v>14445.85</v>
      </c>
      <c r="AI86" s="1341">
        <f t="shared" si="210"/>
        <v>4296.7800000000007</v>
      </c>
      <c r="AJ86" s="1341">
        <f t="shared" si="210"/>
        <v>7638.25</v>
      </c>
      <c r="AK86" s="1341">
        <f t="shared" si="210"/>
        <v>1414.5599999999995</v>
      </c>
      <c r="AL86" s="1341">
        <f t="shared" si="210"/>
        <v>1096.26</v>
      </c>
      <c r="AM86" s="1341">
        <f t="shared" si="210"/>
        <v>0</v>
      </c>
      <c r="AN86" s="1341">
        <f t="shared" si="210"/>
        <v>8565.08</v>
      </c>
      <c r="AO86" s="1341">
        <f t="shared" si="79"/>
        <v>23010.93</v>
      </c>
      <c r="AP86" s="1341">
        <f t="shared" si="80"/>
        <v>14445.85</v>
      </c>
      <c r="AQ86" s="1345">
        <f t="shared" si="145"/>
        <v>14445.85</v>
      </c>
      <c r="AR86" s="1346">
        <f t="shared" si="177"/>
        <v>0</v>
      </c>
      <c r="AS86" s="1347">
        <f t="shared" si="124"/>
        <v>8809206.7946400009</v>
      </c>
      <c r="AT86" s="1341">
        <f t="shared" si="124"/>
        <v>14485330.064999999</v>
      </c>
      <c r="AU86" s="1341">
        <f t="shared" si="124"/>
        <v>2682599.8751999987</v>
      </c>
      <c r="AV86" s="1341">
        <f t="shared" si="124"/>
        <v>2247539.0968800001</v>
      </c>
      <c r="AW86" s="1341">
        <f t="shared" si="124"/>
        <v>0</v>
      </c>
      <c r="AX86" s="1341">
        <f t="shared" si="146"/>
        <v>28224675.831720002</v>
      </c>
      <c r="AY86" s="1341">
        <f t="shared" si="147"/>
        <v>28224675.831720002</v>
      </c>
      <c r="AZ86" s="1341">
        <f t="shared" si="125"/>
        <v>10571052.995857116</v>
      </c>
      <c r="BA86" s="1341">
        <f t="shared" si="125"/>
        <v>16571259.263983654</v>
      </c>
      <c r="BB86" s="1341">
        <f t="shared" si="125"/>
        <v>3068901.974203608</v>
      </c>
      <c r="BC86" s="1341">
        <f t="shared" si="125"/>
        <v>2697048.1516945995</v>
      </c>
      <c r="BD86" s="1341">
        <f t="shared" si="125"/>
        <v>0</v>
      </c>
      <c r="BE86" s="1341">
        <f t="shared" si="148"/>
        <v>32908262.38573898</v>
      </c>
      <c r="BF86" s="1345">
        <f t="shared" si="149"/>
        <v>32908262.38573898</v>
      </c>
      <c r="BG86" s="1343">
        <v>649.90861233655869</v>
      </c>
      <c r="BH86" s="1366">
        <v>964.40934851085399</v>
      </c>
      <c r="BI86" s="1366">
        <f>BG86+BH86</f>
        <v>1614.3179608474127</v>
      </c>
      <c r="BJ86" s="1341">
        <v>34826.84702621006</v>
      </c>
      <c r="BK86" s="1638">
        <v>42449.653741911432</v>
      </c>
      <c r="BL86" s="1341">
        <f t="shared" si="153"/>
        <v>4901753.4854400009</v>
      </c>
      <c r="BM86" s="1341">
        <f>J86*U86</f>
        <v>8277323.3381999992</v>
      </c>
      <c r="BN86" s="1341">
        <f>K86*V86</f>
        <v>1341299.9375999994</v>
      </c>
      <c r="BO86" s="1341">
        <f>L86*W86</f>
        <v>1281449.50752</v>
      </c>
      <c r="BP86" s="1341">
        <f t="shared" si="153"/>
        <v>0</v>
      </c>
      <c r="BQ86" s="1341">
        <f>BL86+BM86+BN86+BO86+BP86</f>
        <v>15801826.268759999</v>
      </c>
      <c r="BR86" s="1341">
        <f>BQ86-BP86</f>
        <v>15801826.268759999</v>
      </c>
      <c r="BS86" s="1341">
        <f t="shared" si="154"/>
        <v>4688946.1189085962</v>
      </c>
      <c r="BT86" s="1341">
        <f t="shared" si="154"/>
        <v>7101977.5538927177</v>
      </c>
      <c r="BU86" s="1341">
        <f t="shared" si="154"/>
        <v>1534450.987101804</v>
      </c>
      <c r="BV86" s="1341">
        <f t="shared" si="205"/>
        <v>1537740.1134176129</v>
      </c>
      <c r="BW86" s="1341">
        <f t="shared" si="157"/>
        <v>0</v>
      </c>
      <c r="BX86" s="1341">
        <f t="shared" si="206"/>
        <v>14863114.773320731</v>
      </c>
      <c r="BY86" s="1341">
        <f t="shared" si="207"/>
        <v>14863114.773320731</v>
      </c>
      <c r="BZ86" s="1349">
        <f t="shared" si="155"/>
        <v>15379300.892092716</v>
      </c>
      <c r="CA86" s="1349">
        <f t="shared" si="155"/>
        <v>2875750.9247018034</v>
      </c>
      <c r="CB86" s="1349">
        <f t="shared" si="208"/>
        <v>18255051.816794518</v>
      </c>
      <c r="CC86" s="1351">
        <f t="shared" si="156"/>
        <v>2013.4586969649745</v>
      </c>
      <c r="CD86" s="1351">
        <f t="shared" si="156"/>
        <v>2032.9649676944098</v>
      </c>
      <c r="CE86" s="1351">
        <f t="shared" si="178"/>
        <v>2016.5066776828985</v>
      </c>
      <c r="CF86" s="1351">
        <f t="shared" si="158"/>
        <v>2016.5066776828987</v>
      </c>
      <c r="CG86" s="1367">
        <f t="shared" si="159"/>
        <v>20192252.793327574</v>
      </c>
      <c r="CH86" s="1367">
        <f t="shared" si="179"/>
        <v>2230.4955912393584</v>
      </c>
      <c r="CI86" s="1423"/>
      <c r="CJ86" s="1341">
        <f t="shared" si="211"/>
        <v>19898.092347228092</v>
      </c>
      <c r="CK86" s="1341">
        <f t="shared" si="160"/>
        <v>15641.973916393157</v>
      </c>
      <c r="CL86" s="1341">
        <f t="shared" si="194"/>
        <v>35540.066263621251</v>
      </c>
      <c r="CM86" s="1341">
        <f t="shared" si="180"/>
        <v>35540.066263621251</v>
      </c>
      <c r="CN86" s="1341">
        <f t="shared" si="181"/>
        <v>0</v>
      </c>
      <c r="CO86" s="1341">
        <f t="shared" si="161"/>
        <v>32223709.94347316</v>
      </c>
      <c r="CP86" s="1341">
        <f t="shared" si="162"/>
        <v>28224675.831720002</v>
      </c>
      <c r="CQ86" s="1341">
        <f t="shared" si="163"/>
        <v>28224675.831719998</v>
      </c>
      <c r="CR86" s="1341">
        <f t="shared" si="164"/>
        <v>15801826.268759999</v>
      </c>
      <c r="CS86" s="1341">
        <f t="shared" si="165"/>
        <v>32908262.38573898</v>
      </c>
      <c r="CT86" s="1341">
        <f t="shared" si="166"/>
        <v>32908262.385738976</v>
      </c>
      <c r="CU86" s="1341">
        <f t="shared" si="167"/>
        <v>14484682.698180106</v>
      </c>
      <c r="CV86" s="1341">
        <f t="shared" si="182"/>
        <v>61132938.217458978</v>
      </c>
      <c r="CW86" s="1350">
        <f t="shared" si="183"/>
        <v>4231.8685447695343</v>
      </c>
      <c r="CX86" s="1341">
        <f t="shared" si="168"/>
        <v>17167929.940199997</v>
      </c>
      <c r="CY86" s="1341">
        <f t="shared" si="169"/>
        <v>19640161.238187261</v>
      </c>
      <c r="CZ86" s="1341"/>
      <c r="DA86" s="1341">
        <f t="shared" si="170"/>
        <v>29616708.319800001</v>
      </c>
      <c r="DB86" s="1341">
        <f t="shared" si="171"/>
        <v>35540066.263621241</v>
      </c>
      <c r="DC86" s="1575"/>
      <c r="DD86" s="40">
        <f t="shared" si="184"/>
        <v>129.73005594528934</v>
      </c>
      <c r="DE86" s="1575"/>
      <c r="DF86" s="1575"/>
      <c r="DG86" s="1575"/>
      <c r="DH86" s="1487">
        <f>AP86</f>
        <v>14445.85</v>
      </c>
      <c r="DI86" s="1487">
        <f>AJ86+AK86</f>
        <v>9052.81</v>
      </c>
      <c r="DJ86" s="1487">
        <f>DH86-DI86</f>
        <v>5393.0400000000009</v>
      </c>
      <c r="DK86" s="1423"/>
      <c r="DL86" s="1352">
        <f t="shared" si="172"/>
        <v>0</v>
      </c>
      <c r="DM86" s="1352">
        <f t="shared" si="173"/>
        <v>0</v>
      </c>
      <c r="DN86" s="1352">
        <f t="shared" si="174"/>
        <v>0</v>
      </c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</row>
    <row r="87" spans="1:191" s="1313" customFormat="1" ht="77.25" hidden="1" customHeight="1">
      <c r="A87" s="6">
        <f t="shared" si="185"/>
        <v>74</v>
      </c>
      <c r="B87" s="1400" t="s">
        <v>30</v>
      </c>
      <c r="C87" s="1753" t="s">
        <v>260</v>
      </c>
      <c r="D87" s="1706" t="s">
        <v>141</v>
      </c>
      <c r="E87" s="1331">
        <v>4632024035</v>
      </c>
      <c r="F87" s="1400" t="s">
        <v>8</v>
      </c>
      <c r="G87" s="1682" t="s">
        <v>1034</v>
      </c>
      <c r="H87" s="1700">
        <v>3314.9639999999995</v>
      </c>
      <c r="I87" s="1701">
        <f>H87</f>
        <v>3314.9639999999995</v>
      </c>
      <c r="J87" s="1707">
        <v>2950.21</v>
      </c>
      <c r="K87" s="1335"/>
      <c r="L87" s="1700">
        <v>3314.9639999999995</v>
      </c>
      <c r="M87" s="1416"/>
      <c r="N87" s="1703">
        <f>3132.14*1.2</f>
        <v>3758.5679999999998</v>
      </c>
      <c r="O87" s="1704">
        <f>N87</f>
        <v>3758.5679999999998</v>
      </c>
      <c r="P87" s="1708">
        <v>2979.71</v>
      </c>
      <c r="Q87" s="1335"/>
      <c r="R87" s="1335">
        <f>O87</f>
        <v>3758.5679999999998</v>
      </c>
      <c r="S87" s="1416"/>
      <c r="T87" s="1751">
        <v>952.01199999999994</v>
      </c>
      <c r="U87" s="1810">
        <v>63.687000000000005</v>
      </c>
      <c r="V87" s="1810"/>
      <c r="W87" s="1334"/>
      <c r="X87" s="1334"/>
      <c r="Y87" s="1334"/>
      <c r="Z87" s="1393">
        <f t="shared" si="175"/>
        <v>1015.699</v>
      </c>
      <c r="AA87" s="1752">
        <v>562.6</v>
      </c>
      <c r="AB87" s="1810">
        <v>47.76</v>
      </c>
      <c r="AC87" s="1810"/>
      <c r="AD87" s="1334"/>
      <c r="AE87" s="1334"/>
      <c r="AF87" s="1334"/>
      <c r="AG87" s="1395">
        <f t="shared" si="176"/>
        <v>610.36</v>
      </c>
      <c r="AH87" s="1391">
        <f t="shared" si="200"/>
        <v>1626.059</v>
      </c>
      <c r="AI87" s="1334">
        <f t="shared" si="210"/>
        <v>1514.6120000000001</v>
      </c>
      <c r="AJ87" s="1334">
        <f t="shared" si="210"/>
        <v>111.447</v>
      </c>
      <c r="AK87" s="1334">
        <f t="shared" si="210"/>
        <v>0</v>
      </c>
      <c r="AL87" s="1334">
        <f t="shared" si="210"/>
        <v>0</v>
      </c>
      <c r="AM87" s="1334">
        <f t="shared" si="210"/>
        <v>0</v>
      </c>
      <c r="AN87" s="1334"/>
      <c r="AO87" s="1334">
        <f t="shared" si="79"/>
        <v>1626.0590000000002</v>
      </c>
      <c r="AP87" s="1334">
        <f t="shared" si="80"/>
        <v>1626.0590000000002</v>
      </c>
      <c r="AQ87" s="1396">
        <f t="shared" si="145"/>
        <v>1626.0590000000002</v>
      </c>
      <c r="AR87" s="1417">
        <f t="shared" si="177"/>
        <v>0</v>
      </c>
      <c r="AS87" s="1333">
        <f>I87*AI87</f>
        <v>5020884.2539679995</v>
      </c>
      <c r="AT87" s="1334">
        <f>J87*AJ87</f>
        <v>328792.05387</v>
      </c>
      <c r="AU87" s="1334">
        <f>K87*AK87</f>
        <v>0</v>
      </c>
      <c r="AV87" s="1334">
        <f>L87*AL87</f>
        <v>0</v>
      </c>
      <c r="AW87" s="1334">
        <f>M87*AM87</f>
        <v>0</v>
      </c>
      <c r="AX87" s="1334">
        <f t="shared" si="146"/>
        <v>5349676.3078379994</v>
      </c>
      <c r="AY87" s="1334">
        <f t="shared" si="147"/>
        <v>5349676.3078379994</v>
      </c>
      <c r="AZ87" s="1334">
        <f>O87*AI87</f>
        <v>5692772.1956160003</v>
      </c>
      <c r="BA87" s="1334">
        <f>P87*AJ87</f>
        <v>332079.74037000001</v>
      </c>
      <c r="BB87" s="1334">
        <f>Q87*AK87</f>
        <v>0</v>
      </c>
      <c r="BC87" s="1334">
        <f>R87*AL87</f>
        <v>0</v>
      </c>
      <c r="BD87" s="1334">
        <f>S87*AM87</f>
        <v>0</v>
      </c>
      <c r="BE87" s="1334">
        <f t="shared" si="148"/>
        <v>6024851.9359860001</v>
      </c>
      <c r="BF87" s="1396">
        <f t="shared" si="149"/>
        <v>6024851.9359860001</v>
      </c>
      <c r="BG87" s="1397">
        <f>(H87-J87)/1.2*U87/1000+(H87-K87)/1.2*V87/1000</f>
        <v>19.358406664999972</v>
      </c>
      <c r="BH87" s="1398">
        <f>(O87-P87)*AB87/1000/1.2+(O87-Q87)/1.2*AC87/1000</f>
        <v>30.99854839999999</v>
      </c>
      <c r="BI87" s="1399">
        <f>BG87+BH87</f>
        <v>50.356955064999966</v>
      </c>
      <c r="BJ87" s="1392"/>
      <c r="BK87" s="1646"/>
      <c r="BL87" s="1334">
        <f t="shared" si="153"/>
        <v>3155885.5075679994</v>
      </c>
      <c r="BM87" s="1334">
        <f t="shared" si="153"/>
        <v>187890.02427000002</v>
      </c>
      <c r="BN87" s="1334">
        <f t="shared" si="153"/>
        <v>0</v>
      </c>
      <c r="BO87" s="1334">
        <f t="shared" si="153"/>
        <v>0</v>
      </c>
      <c r="BP87" s="1334">
        <f t="shared" si="153"/>
        <v>0</v>
      </c>
      <c r="BQ87" s="1334">
        <f t="shared" si="203"/>
        <v>3343775.5318379994</v>
      </c>
      <c r="BR87" s="1334">
        <f t="shared" si="204"/>
        <v>3343775.5318379994</v>
      </c>
      <c r="BS87" s="1334">
        <f t="shared" si="154"/>
        <v>2114570.3567999997</v>
      </c>
      <c r="BT87" s="1334">
        <f t="shared" si="154"/>
        <v>142310.94959999999</v>
      </c>
      <c r="BU87" s="1334">
        <f t="shared" si="154"/>
        <v>0</v>
      </c>
      <c r="BV87" s="1334">
        <f t="shared" si="205"/>
        <v>0</v>
      </c>
      <c r="BW87" s="1334">
        <f t="shared" si="157"/>
        <v>0</v>
      </c>
      <c r="BX87" s="1334">
        <f t="shared" si="206"/>
        <v>2256881.3063999997</v>
      </c>
      <c r="BY87" s="1334">
        <f t="shared" si="207"/>
        <v>2256881.3063999997</v>
      </c>
      <c r="BZ87" s="1389">
        <f t="shared" si="155"/>
        <v>330200.97386999999</v>
      </c>
      <c r="CA87" s="1389">
        <f t="shared" si="155"/>
        <v>0</v>
      </c>
      <c r="CB87" s="1389">
        <f t="shared" si="208"/>
        <v>330200.97386999999</v>
      </c>
      <c r="CC87" s="1420">
        <f t="shared" si="156"/>
        <v>2962.8520630434195</v>
      </c>
      <c r="CD87" s="1420" t="e">
        <f t="shared" si="156"/>
        <v>#DIV/0!</v>
      </c>
      <c r="CE87" s="1420">
        <f t="shared" si="178"/>
        <v>2962.8520630434195</v>
      </c>
      <c r="CF87" s="1420">
        <f t="shared" si="158"/>
        <v>2962.8520630434195</v>
      </c>
      <c r="CG87" s="1421">
        <f t="shared" si="159"/>
        <v>390629.31994800002</v>
      </c>
      <c r="CH87" s="1421">
        <f t="shared" si="179"/>
        <v>3505.0680587902771</v>
      </c>
      <c r="CI87" s="1389"/>
      <c r="CJ87" s="1756">
        <f>H87*Z87/1000</f>
        <v>3367.0056198359994</v>
      </c>
      <c r="CK87" s="1756">
        <f t="shared" si="160"/>
        <v>2294.0795644799996</v>
      </c>
      <c r="CL87" s="1756">
        <f>CJ87+CK87</f>
        <v>5661.085184315999</v>
      </c>
      <c r="CM87" s="1334">
        <f t="shared" si="180"/>
        <v>6111.6533235119987</v>
      </c>
      <c r="CN87" s="1334">
        <f t="shared" si="181"/>
        <v>450.56813919599972</v>
      </c>
      <c r="CO87" s="1334">
        <f t="shared" si="161"/>
        <v>5661085.184315999</v>
      </c>
      <c r="CP87" s="1334">
        <f t="shared" si="162"/>
        <v>5349676.3078379994</v>
      </c>
      <c r="CQ87" s="1334">
        <f t="shared" si="163"/>
        <v>5349676.3078379994</v>
      </c>
      <c r="CR87" s="1334">
        <f t="shared" si="164"/>
        <v>3343775.5318379994</v>
      </c>
      <c r="CS87" s="1334">
        <f t="shared" si="165"/>
        <v>6024851.9359860001</v>
      </c>
      <c r="CT87" s="1334">
        <f t="shared" si="166"/>
        <v>6024851.9359860001</v>
      </c>
      <c r="CU87" s="1334">
        <f t="shared" si="167"/>
        <v>2256881.3063999997</v>
      </c>
      <c r="CV87" s="1334">
        <f t="shared" si="182"/>
        <v>11374528.243824</v>
      </c>
      <c r="CW87" s="1422">
        <f t="shared" si="183"/>
        <v>6995.1510024076615</v>
      </c>
      <c r="CX87" s="1334">
        <f t="shared" si="168"/>
        <v>328792.05387</v>
      </c>
      <c r="CY87" s="1334">
        <f t="shared" si="169"/>
        <v>332079.74037000001</v>
      </c>
      <c r="CZ87" s="1334"/>
      <c r="DA87" s="1334">
        <f t="shared" si="170"/>
        <v>5390327.0468759993</v>
      </c>
      <c r="DB87" s="1334">
        <f t="shared" si="171"/>
        <v>6111653.323512</v>
      </c>
      <c r="DC87" s="1223"/>
      <c r="DD87" s="1224">
        <f t="shared" si="184"/>
        <v>127.40001559211038</v>
      </c>
      <c r="DE87" s="1223"/>
      <c r="DF87" s="1223"/>
      <c r="DG87" s="1223"/>
      <c r="DH87" s="1494"/>
      <c r="DI87" s="1494"/>
      <c r="DJ87" s="1494"/>
      <c r="DK87" s="1389"/>
      <c r="DL87" s="1419">
        <f t="shared" si="172"/>
        <v>0</v>
      </c>
      <c r="DM87" s="1419">
        <f t="shared" si="173"/>
        <v>0</v>
      </c>
      <c r="DN87" s="1419">
        <f t="shared" si="174"/>
        <v>0</v>
      </c>
      <c r="DO87" s="819"/>
      <c r="DP87" s="1315"/>
      <c r="DQ87" s="1315"/>
      <c r="DR87" s="1315"/>
      <c r="DS87" s="1315"/>
      <c r="DT87" s="1315"/>
      <c r="DU87" s="1315"/>
      <c r="DV87" s="1315"/>
      <c r="DW87" s="1315"/>
      <c r="DX87" s="1315"/>
      <c r="DY87" s="1315"/>
      <c r="DZ87" s="1315"/>
      <c r="EA87" s="1315"/>
      <c r="EB87" s="1315"/>
      <c r="EC87" s="1315"/>
      <c r="ED87" s="1315"/>
      <c r="EE87" s="1315"/>
      <c r="EF87" s="1315"/>
      <c r="EG87" s="1315"/>
      <c r="EH87" s="1315"/>
      <c r="EI87" s="1315"/>
      <c r="EJ87" s="1315"/>
      <c r="EK87" s="1315"/>
      <c r="EL87" s="1315"/>
    </row>
    <row r="88" spans="1:191" s="50" customFormat="1" ht="69" hidden="1" customHeight="1">
      <c r="A88" s="6">
        <f t="shared" si="185"/>
        <v>75</v>
      </c>
      <c r="B88" s="1400"/>
      <c r="C88" s="1330"/>
      <c r="D88" s="1650" t="s">
        <v>187</v>
      </c>
      <c r="E88" s="1651">
        <v>4620014875</v>
      </c>
      <c r="F88" s="1330" t="s">
        <v>8</v>
      </c>
      <c r="G88" s="1332" t="s">
        <v>1002</v>
      </c>
      <c r="H88" s="1698">
        <v>2051.0100000000002</v>
      </c>
      <c r="I88" s="1699">
        <v>2051.0100000000002</v>
      </c>
      <c r="J88" s="1335">
        <v>1896.4239000000002</v>
      </c>
      <c r="K88" s="1335">
        <v>1896.4239000000002</v>
      </c>
      <c r="L88" s="1338">
        <v>0</v>
      </c>
      <c r="M88" s="1416">
        <v>0</v>
      </c>
      <c r="N88" s="1337">
        <v>2282.5100000000002</v>
      </c>
      <c r="O88" s="1338">
        <v>2282.5100000000002</v>
      </c>
      <c r="P88" s="1335">
        <v>2169.3200000000002</v>
      </c>
      <c r="Q88" s="1335">
        <v>2169.3200000000002</v>
      </c>
      <c r="R88" s="1335">
        <v>0</v>
      </c>
      <c r="S88" s="1416">
        <v>0</v>
      </c>
      <c r="T88" s="1448">
        <v>104.03</v>
      </c>
      <c r="U88" s="1334">
        <v>858.12</v>
      </c>
      <c r="V88" s="1334">
        <v>137.61000000000001</v>
      </c>
      <c r="W88" s="1334">
        <v>0</v>
      </c>
      <c r="X88" s="1334">
        <v>0</v>
      </c>
      <c r="Y88" s="1334">
        <v>0</v>
      </c>
      <c r="Z88" s="1393">
        <f t="shared" si="175"/>
        <v>1099.76</v>
      </c>
      <c r="AA88" s="1394">
        <v>91.58</v>
      </c>
      <c r="AB88" s="1334">
        <v>643.6</v>
      </c>
      <c r="AC88" s="1334">
        <v>140.09</v>
      </c>
      <c r="AD88" s="1334">
        <v>0</v>
      </c>
      <c r="AE88" s="1334">
        <v>0</v>
      </c>
      <c r="AF88" s="1334">
        <v>0</v>
      </c>
      <c r="AG88" s="1395">
        <f t="shared" si="176"/>
        <v>875.2700000000001</v>
      </c>
      <c r="AH88" s="1391">
        <f t="shared" si="200"/>
        <v>1975.0300000000002</v>
      </c>
      <c r="AI88" s="1334">
        <f t="shared" si="210"/>
        <v>195.61</v>
      </c>
      <c r="AJ88" s="1392">
        <f t="shared" si="210"/>
        <v>1501.72</v>
      </c>
      <c r="AK88" s="1392">
        <f t="shared" si="210"/>
        <v>277.70000000000005</v>
      </c>
      <c r="AL88" s="1334">
        <f t="shared" si="210"/>
        <v>0</v>
      </c>
      <c r="AM88" s="1334">
        <f t="shared" si="210"/>
        <v>0</v>
      </c>
      <c r="AN88" s="1334"/>
      <c r="AO88" s="1334">
        <f>SUM(AI88:AN88)</f>
        <v>1975.03</v>
      </c>
      <c r="AP88" s="1334">
        <f>SUM(AI88:AM88)</f>
        <v>1975.03</v>
      </c>
      <c r="AQ88" s="1396">
        <f>SUM(AI88:AL88)</f>
        <v>1975.03</v>
      </c>
      <c r="AR88" s="1346"/>
      <c r="AS88" s="1347">
        <f t="shared" ref="AS88:AW103" si="212">I88*AI88</f>
        <v>401198.06610000005</v>
      </c>
      <c r="AT88" s="1341">
        <f t="shared" si="212"/>
        <v>2847897.6991080004</v>
      </c>
      <c r="AU88" s="1341">
        <f t="shared" si="212"/>
        <v>526636.91703000013</v>
      </c>
      <c r="AV88" s="1341">
        <f t="shared" si="212"/>
        <v>0</v>
      </c>
      <c r="AW88" s="1341">
        <f t="shared" si="212"/>
        <v>0</v>
      </c>
      <c r="AX88" s="1341">
        <f t="shared" ref="AX88:AX89" si="213">SUM(AS88:AW88)</f>
        <v>3775732.6822380004</v>
      </c>
      <c r="AY88" s="1341">
        <f t="shared" ref="AY88:AY89" si="214">SUM(AS88:AV88)</f>
        <v>3775732.6822380004</v>
      </c>
      <c r="AZ88" s="1341">
        <f t="shared" ref="AZ88:BD103" si="215">O88*AI88</f>
        <v>446481.78110000008</v>
      </c>
      <c r="BA88" s="1341">
        <f t="shared" si="215"/>
        <v>3257711.2304000002</v>
      </c>
      <c r="BB88" s="1341">
        <f t="shared" si="215"/>
        <v>602420.16400000011</v>
      </c>
      <c r="BC88" s="1341">
        <f t="shared" si="215"/>
        <v>0</v>
      </c>
      <c r="BD88" s="1341">
        <f t="shared" si="215"/>
        <v>0</v>
      </c>
      <c r="BE88" s="1341">
        <f t="shared" ref="BE88:BE89" si="216">SUM(AZ88:BD88)</f>
        <v>4306613.1755000008</v>
      </c>
      <c r="BF88" s="1345">
        <f t="shared" ref="BF88:BF89" si="217">SUM(AZ88:BC88)</f>
        <v>4306613.1755000008</v>
      </c>
      <c r="BG88" s="1397">
        <v>153.929</v>
      </c>
      <c r="BH88" s="1451">
        <v>88.704999999999998</v>
      </c>
      <c r="BI88" s="1392">
        <v>242.63399999999999</v>
      </c>
      <c r="BJ88" s="1392">
        <v>4253.43</v>
      </c>
      <c r="BK88" s="1646">
        <v>11956.18</v>
      </c>
      <c r="BL88" s="1334">
        <f t="shared" si="153"/>
        <v>213366.57030000002</v>
      </c>
      <c r="BM88" s="1334">
        <f t="shared" si="153"/>
        <v>1627359.2770680003</v>
      </c>
      <c r="BN88" s="1334">
        <f t="shared" si="153"/>
        <v>260966.89287900005</v>
      </c>
      <c r="BO88" s="1334">
        <f t="shared" si="153"/>
        <v>0</v>
      </c>
      <c r="BP88" s="1334">
        <f t="shared" si="153"/>
        <v>0</v>
      </c>
      <c r="BQ88" s="1334">
        <f t="shared" si="203"/>
        <v>2101692.7402470005</v>
      </c>
      <c r="BR88" s="1334">
        <f t="shared" si="204"/>
        <v>2101692.7402470005</v>
      </c>
      <c r="BS88" s="1334">
        <f t="shared" si="154"/>
        <v>209032.26580000002</v>
      </c>
      <c r="BT88" s="1334">
        <f t="shared" si="154"/>
        <v>1396174.3520000002</v>
      </c>
      <c r="BU88" s="1334">
        <f t="shared" si="154"/>
        <v>303900.03880000004</v>
      </c>
      <c r="BV88" s="1334">
        <f t="shared" si="205"/>
        <v>0</v>
      </c>
      <c r="BW88" s="1334">
        <f t="shared" si="157"/>
        <v>0</v>
      </c>
      <c r="BX88" s="1334">
        <f t="shared" si="206"/>
        <v>1909106.6566000001</v>
      </c>
      <c r="BY88" s="1334">
        <f t="shared" si="207"/>
        <v>1909106.6566000001</v>
      </c>
      <c r="BZ88" s="1389">
        <f t="shared" si="155"/>
        <v>3023533.6290680002</v>
      </c>
      <c r="CA88" s="1389">
        <f t="shared" si="155"/>
        <v>564866.93167900015</v>
      </c>
      <c r="CB88" s="1389">
        <f t="shared" si="208"/>
        <v>3588400.5607470004</v>
      </c>
      <c r="CC88" s="1420">
        <f t="shared" si="156"/>
        <v>2013.3804098420478</v>
      </c>
      <c r="CD88" s="1420">
        <f t="shared" si="156"/>
        <v>2034.0904993842278</v>
      </c>
      <c r="CE88" s="1420">
        <f t="shared" si="178"/>
        <v>2016.6124696513473</v>
      </c>
      <c r="CF88" s="1420">
        <f t="shared" si="158"/>
        <v>2016.6124696513475</v>
      </c>
      <c r="CG88" s="1421">
        <f t="shared" si="159"/>
        <v>3831032.4492000006</v>
      </c>
      <c r="CH88" s="1421">
        <f t="shared" si="179"/>
        <v>2152.966949455441</v>
      </c>
      <c r="CI88" s="1389"/>
      <c r="CJ88" s="1419">
        <f t="shared" si="211"/>
        <v>2510.2131976000001</v>
      </c>
      <c r="CK88" s="1419">
        <f t="shared" si="160"/>
        <v>1997.8125277000004</v>
      </c>
      <c r="CL88" s="1419">
        <f>CJ88+CK88</f>
        <v>4508.0257253</v>
      </c>
      <c r="CM88" s="1341">
        <f t="shared" si="180"/>
        <v>4508.0257253000009</v>
      </c>
      <c r="CN88" s="1341">
        <f t="shared" si="181"/>
        <v>0</v>
      </c>
      <c r="CO88" s="1334">
        <f t="shared" si="161"/>
        <v>4253431.2853000006</v>
      </c>
      <c r="CP88" s="1334">
        <f t="shared" si="162"/>
        <v>3775732.6822380004</v>
      </c>
      <c r="CQ88" s="1334">
        <f t="shared" si="163"/>
        <v>3775732.6822380004</v>
      </c>
      <c r="CR88" s="1334">
        <f t="shared" si="164"/>
        <v>2101692.7402470005</v>
      </c>
      <c r="CS88" s="1334">
        <f t="shared" si="165"/>
        <v>4306613.1755000008</v>
      </c>
      <c r="CT88" s="1334">
        <f t="shared" si="166"/>
        <v>4306613.1755000008</v>
      </c>
      <c r="CU88" s="1334">
        <f t="shared" si="167"/>
        <v>1909106.6566000001</v>
      </c>
      <c r="CV88" s="1334">
        <f t="shared" si="182"/>
        <v>8082345.8577380013</v>
      </c>
      <c r="CW88" s="1350">
        <f t="shared" si="183"/>
        <v>4092.2648555910546</v>
      </c>
      <c r="CX88" s="1334">
        <f t="shared" si="168"/>
        <v>3374534.6161380005</v>
      </c>
      <c r="CY88" s="1334">
        <f t="shared" si="169"/>
        <v>3860131.3944000006</v>
      </c>
      <c r="CZ88" s="1334"/>
      <c r="DA88" s="1334">
        <f t="shared" si="170"/>
        <v>4050806.2803000007</v>
      </c>
      <c r="DB88" s="1334">
        <f t="shared" si="171"/>
        <v>4508025.725300001</v>
      </c>
      <c r="DC88" s="1223"/>
      <c r="DD88" s="1224"/>
      <c r="DE88" s="1223"/>
      <c r="DF88" s="1223"/>
      <c r="DG88" s="1223"/>
      <c r="DH88" s="1487">
        <v>1580.405</v>
      </c>
      <c r="DI88" s="1487">
        <v>111.42</v>
      </c>
      <c r="DJ88" s="1487">
        <f t="shared" ref="DJ88" si="218">DH88-DI88</f>
        <v>1468.9849999999999</v>
      </c>
      <c r="DK88" s="1389"/>
      <c r="DL88" s="1352">
        <f t="shared" si="172"/>
        <v>0</v>
      </c>
      <c r="DM88" s="1352">
        <f t="shared" si="173"/>
        <v>0</v>
      </c>
      <c r="DN88" s="1352">
        <f t="shared" si="174"/>
        <v>0</v>
      </c>
      <c r="DO88" s="819"/>
      <c r="DP88" s="819"/>
      <c r="DQ88" s="819"/>
      <c r="DR88" s="819"/>
      <c r="DS88" s="819"/>
      <c r="DT88" s="819"/>
      <c r="DU88" s="819"/>
      <c r="DV88" s="819"/>
      <c r="DW88" s="819"/>
      <c r="DX88" s="819"/>
      <c r="DY88" s="819"/>
      <c r="DZ88" s="819"/>
      <c r="EA88" s="819"/>
      <c r="EB88" s="819"/>
      <c r="EC88" s="819"/>
      <c r="ED88" s="819"/>
      <c r="EE88" s="819"/>
      <c r="EF88" s="819"/>
      <c r="EG88" s="819"/>
      <c r="EH88" s="819"/>
      <c r="EI88" s="819"/>
      <c r="EJ88" s="819"/>
      <c r="EK88" s="819"/>
      <c r="EL88" s="819"/>
      <c r="EM88" s="1190"/>
      <c r="EN88" s="1190"/>
      <c r="EO88" s="1190"/>
      <c r="EP88" s="1190"/>
      <c r="EQ88" s="1190"/>
      <c r="ER88" s="1190"/>
      <c r="ES88" s="1190"/>
      <c r="ET88" s="1190"/>
      <c r="EU88" s="1190"/>
      <c r="EV88" s="1190"/>
      <c r="EW88" s="1190"/>
      <c r="EX88" s="1190"/>
      <c r="EY88" s="1190"/>
      <c r="EZ88" s="1190"/>
      <c r="FA88" s="1190"/>
      <c r="FB88" s="1190"/>
      <c r="FC88" s="1190"/>
      <c r="FD88" s="1190"/>
      <c r="FE88" s="1190"/>
      <c r="FF88" s="1190"/>
      <c r="FG88" s="1190"/>
      <c r="FH88" s="1190"/>
      <c r="FI88" s="1190"/>
      <c r="FJ88" s="1190"/>
      <c r="FK88" s="1190"/>
      <c r="FL88" s="1190"/>
      <c r="FM88" s="1190"/>
      <c r="FN88" s="1190"/>
      <c r="FO88" s="1190"/>
      <c r="FP88" s="1190"/>
      <c r="FQ88" s="1190"/>
      <c r="FR88" s="1190"/>
      <c r="FS88" s="1190"/>
      <c r="FT88" s="1190"/>
      <c r="FU88" s="1190"/>
      <c r="FV88" s="1190"/>
      <c r="FW88" s="1190"/>
      <c r="FX88" s="1190"/>
      <c r="FY88" s="1190"/>
      <c r="FZ88" s="1190"/>
      <c r="GA88" s="1190"/>
      <c r="GB88" s="1190"/>
      <c r="GC88" s="1190"/>
      <c r="GD88" s="1190"/>
      <c r="GE88" s="1190"/>
      <c r="GF88" s="1190"/>
      <c r="GG88" s="1190"/>
      <c r="GH88" s="1190"/>
      <c r="GI88" s="1190"/>
    </row>
    <row r="89" spans="1:191" s="50" customFormat="1" ht="77.25" hidden="1" customHeight="1">
      <c r="A89" s="6">
        <f t="shared" si="185"/>
        <v>76</v>
      </c>
      <c r="B89" s="1330"/>
      <c r="C89" s="1330" t="s">
        <v>59</v>
      </c>
      <c r="D89" s="1650" t="s">
        <v>187</v>
      </c>
      <c r="E89" s="1651">
        <v>4620014875</v>
      </c>
      <c r="F89" s="1330" t="s">
        <v>8</v>
      </c>
      <c r="G89" s="1332" t="s">
        <v>1002</v>
      </c>
      <c r="H89" s="1685">
        <v>4670.43</v>
      </c>
      <c r="I89" s="1686">
        <v>4670.43</v>
      </c>
      <c r="J89" s="1335">
        <v>3738.2056635000004</v>
      </c>
      <c r="K89" s="1335">
        <v>0</v>
      </c>
      <c r="L89" s="1335">
        <v>4670.43</v>
      </c>
      <c r="M89" s="1390">
        <v>0</v>
      </c>
      <c r="N89" s="1403">
        <v>4680.88</v>
      </c>
      <c r="O89" s="1335">
        <v>4680.88</v>
      </c>
      <c r="P89" s="1335">
        <v>3745.68</v>
      </c>
      <c r="Q89" s="1335">
        <v>0</v>
      </c>
      <c r="R89" s="1335">
        <v>4680.88</v>
      </c>
      <c r="S89" s="1390">
        <v>0</v>
      </c>
      <c r="T89" s="1391">
        <v>291.10000000000002</v>
      </c>
      <c r="U89" s="1338">
        <v>138.76</v>
      </c>
      <c r="V89" s="1334">
        <v>0</v>
      </c>
      <c r="W89" s="1338">
        <v>3.36</v>
      </c>
      <c r="X89" s="1334">
        <v>0</v>
      </c>
      <c r="Y89" s="1334">
        <v>0</v>
      </c>
      <c r="Z89" s="1393">
        <f>SUM(T89:W89)</f>
        <v>433.22</v>
      </c>
      <c r="AA89" s="1394">
        <v>191.81</v>
      </c>
      <c r="AB89" s="1338">
        <v>114.34</v>
      </c>
      <c r="AC89" s="1334">
        <v>0</v>
      </c>
      <c r="AD89" s="1334">
        <v>2.52</v>
      </c>
      <c r="AE89" s="1334">
        <v>0</v>
      </c>
      <c r="AF89" s="1334">
        <v>0</v>
      </c>
      <c r="AG89" s="1395">
        <f>SUM(AA89:AD89)</f>
        <v>308.66999999999996</v>
      </c>
      <c r="AH89" s="1391">
        <f>Z89+AG89</f>
        <v>741.89</v>
      </c>
      <c r="AI89" s="1392">
        <f>T89+AA89</f>
        <v>482.91</v>
      </c>
      <c r="AJ89" s="1338">
        <f t="shared" si="210"/>
        <v>253.1</v>
      </c>
      <c r="AK89" s="1334">
        <f t="shared" si="210"/>
        <v>0</v>
      </c>
      <c r="AL89" s="1334">
        <f t="shared" si="210"/>
        <v>5.88</v>
      </c>
      <c r="AM89" s="1334">
        <f t="shared" si="210"/>
        <v>0</v>
      </c>
      <c r="AN89" s="1334">
        <v>0</v>
      </c>
      <c r="AO89" s="1392">
        <f>SUM(AI89:AN89)</f>
        <v>741.89</v>
      </c>
      <c r="AP89" s="1392">
        <f>SUM(AI89:AM89)</f>
        <v>741.89</v>
      </c>
      <c r="AQ89" s="1396">
        <f t="shared" si="145"/>
        <v>741.89</v>
      </c>
      <c r="AR89" s="1417">
        <f t="shared" si="177"/>
        <v>0</v>
      </c>
      <c r="AS89" s="1347">
        <f t="shared" si="212"/>
        <v>2255397.3513000002</v>
      </c>
      <c r="AT89" s="1341">
        <f t="shared" si="212"/>
        <v>946139.85343185009</v>
      </c>
      <c r="AU89" s="1341">
        <f t="shared" si="212"/>
        <v>0</v>
      </c>
      <c r="AV89" s="1341">
        <f t="shared" si="212"/>
        <v>27462.128400000001</v>
      </c>
      <c r="AW89" s="1341">
        <f t="shared" si="212"/>
        <v>0</v>
      </c>
      <c r="AX89" s="1341">
        <f t="shared" si="213"/>
        <v>3228999.3331318502</v>
      </c>
      <c r="AY89" s="1341">
        <f t="shared" si="214"/>
        <v>3228999.3331318502</v>
      </c>
      <c r="AZ89" s="1341">
        <f t="shared" si="215"/>
        <v>2260443.7608000003</v>
      </c>
      <c r="BA89" s="1341">
        <f t="shared" si="215"/>
        <v>948031.60799999989</v>
      </c>
      <c r="BB89" s="1341">
        <f t="shared" si="215"/>
        <v>0</v>
      </c>
      <c r="BC89" s="1341">
        <f t="shared" si="215"/>
        <v>27523.574400000001</v>
      </c>
      <c r="BD89" s="1341">
        <f t="shared" si="215"/>
        <v>0</v>
      </c>
      <c r="BE89" s="1341">
        <f t="shared" si="216"/>
        <v>3235998.9432000001</v>
      </c>
      <c r="BF89" s="1345">
        <f t="shared" si="217"/>
        <v>3235998.9432000001</v>
      </c>
      <c r="BG89" s="1397">
        <v>129.35300000000001</v>
      </c>
      <c r="BH89" s="1398">
        <v>106.929</v>
      </c>
      <c r="BI89" s="1392">
        <v>236.28200000000001</v>
      </c>
      <c r="BJ89" s="1338">
        <v>3468.15</v>
      </c>
      <c r="BK89" s="1644">
        <v>5592.76</v>
      </c>
      <c r="BL89" s="1341">
        <f>I89*T89</f>
        <v>1359562.1730000002</v>
      </c>
      <c r="BM89" s="1341">
        <f>J89*U89</f>
        <v>518713.41786726</v>
      </c>
      <c r="BN89" s="1341">
        <f t="shared" si="153"/>
        <v>0</v>
      </c>
      <c r="BO89" s="1341">
        <f>L89*W89</f>
        <v>15692.6448</v>
      </c>
      <c r="BP89" s="1341">
        <f t="shared" si="153"/>
        <v>0</v>
      </c>
      <c r="BQ89" s="1341">
        <f>BL89+BM89+BN89+BO89+BP89</f>
        <v>1893968.2356672601</v>
      </c>
      <c r="BR89" s="1341">
        <f>BQ89-BP89</f>
        <v>1893968.2356672601</v>
      </c>
      <c r="BS89" s="1341">
        <f>O89*AA89</f>
        <v>897839.59279999998</v>
      </c>
      <c r="BT89" s="1341">
        <f>P89*AB89</f>
        <v>428281.05119999999</v>
      </c>
      <c r="BU89" s="1341">
        <f t="shared" si="154"/>
        <v>0</v>
      </c>
      <c r="BV89" s="1341">
        <f>R89*W89</f>
        <v>15727.756799999999</v>
      </c>
      <c r="BW89" s="1341">
        <f t="shared" si="157"/>
        <v>0</v>
      </c>
      <c r="BX89" s="1341">
        <f>BS89+BT89+BU89+BV89+BW89</f>
        <v>1341848.4007999999</v>
      </c>
      <c r="BY89" s="1341">
        <f>BX89-BW89</f>
        <v>1341848.4007999999</v>
      </c>
      <c r="BZ89" s="1349">
        <f t="shared" si="155"/>
        <v>946994.46906725992</v>
      </c>
      <c r="CA89" s="1349">
        <f t="shared" si="155"/>
        <v>0</v>
      </c>
      <c r="CB89" s="1349">
        <f t="shared" si="208"/>
        <v>946994.46906725992</v>
      </c>
      <c r="CC89" s="1351">
        <f t="shared" si="156"/>
        <v>3741.5822562910312</v>
      </c>
      <c r="CD89" s="1351" t="e">
        <f t="shared" si="156"/>
        <v>#DIV/0!</v>
      </c>
      <c r="CE89" s="1351">
        <f t="shared" si="178"/>
        <v>3741.5822562910312</v>
      </c>
      <c r="CF89" s="1351">
        <f t="shared" si="158"/>
        <v>3741.5822562910312</v>
      </c>
      <c r="CG89" s="1367">
        <f t="shared" si="159"/>
        <v>1183280.686</v>
      </c>
      <c r="CH89" s="1367">
        <f t="shared" si="179"/>
        <v>4675.150873172659</v>
      </c>
      <c r="CI89" s="1389"/>
      <c r="CJ89" s="1341">
        <f t="shared" si="211"/>
        <v>2027.8508336000002</v>
      </c>
      <c r="CK89" s="1341">
        <f t="shared" si="160"/>
        <v>1444.8472295999998</v>
      </c>
      <c r="CL89" s="1341">
        <f t="shared" si="194"/>
        <v>3472.6980632</v>
      </c>
      <c r="CM89" s="1341">
        <f t="shared" si="180"/>
        <v>3472.6980632000004</v>
      </c>
      <c r="CN89" s="1341">
        <f t="shared" si="181"/>
        <v>0</v>
      </c>
      <c r="CO89" s="1341">
        <f t="shared" si="161"/>
        <v>3468170.9142</v>
      </c>
      <c r="CP89" s="1341">
        <f t="shared" si="162"/>
        <v>3228999.3331318502</v>
      </c>
      <c r="CQ89" s="1341">
        <f t="shared" si="163"/>
        <v>3228999.3331318502</v>
      </c>
      <c r="CR89" s="1341">
        <f t="shared" si="164"/>
        <v>1893968.2356672601</v>
      </c>
      <c r="CS89" s="1341">
        <f t="shared" si="165"/>
        <v>3235998.9432000001</v>
      </c>
      <c r="CT89" s="1341">
        <f t="shared" si="166"/>
        <v>3235998.9432000001</v>
      </c>
      <c r="CU89" s="1341">
        <f t="shared" si="167"/>
        <v>1337916.4615999998</v>
      </c>
      <c r="CV89" s="1341">
        <f t="shared" si="182"/>
        <v>6464998.2763318503</v>
      </c>
      <c r="CW89" s="1350">
        <f t="shared" si="183"/>
        <v>8714.2275490057164</v>
      </c>
      <c r="CX89" s="1341">
        <f t="shared" si="168"/>
        <v>946139.85343185009</v>
      </c>
      <c r="CY89" s="1341">
        <f t="shared" si="169"/>
        <v>948031.60799999989</v>
      </c>
      <c r="CZ89" s="1341"/>
      <c r="DA89" s="1341">
        <f t="shared" si="170"/>
        <v>3464945.3127000001</v>
      </c>
      <c r="DB89" s="1341">
        <f t="shared" si="171"/>
        <v>3472698.0632000002</v>
      </c>
      <c r="DC89" s="1223"/>
      <c r="DD89" s="40">
        <f t="shared" si="184"/>
        <v>125.21729464230158</v>
      </c>
      <c r="DE89" s="1223"/>
      <c r="DF89" s="1223"/>
      <c r="DG89" s="1223"/>
      <c r="DH89" s="1487">
        <v>849.95</v>
      </c>
      <c r="DI89" s="1487">
        <v>343</v>
      </c>
      <c r="DJ89" s="1487">
        <f t="shared" si="195"/>
        <v>506.95000000000005</v>
      </c>
      <c r="DK89" s="1389"/>
      <c r="DL89" s="1352">
        <f t="shared" si="172"/>
        <v>0</v>
      </c>
      <c r="DM89" s="1352">
        <f t="shared" si="173"/>
        <v>0</v>
      </c>
      <c r="DN89" s="1352">
        <f t="shared" si="174"/>
        <v>0</v>
      </c>
      <c r="DO89" s="81"/>
      <c r="DP89" s="81"/>
      <c r="DQ89" s="81"/>
      <c r="DR89" s="81"/>
      <c r="DS89" s="81"/>
      <c r="DT89" s="81"/>
      <c r="DU89" s="81"/>
      <c r="DV89" s="81"/>
      <c r="DW89" s="81"/>
      <c r="DX89" s="81"/>
      <c r="DY89" s="81"/>
      <c r="DZ89" s="81"/>
      <c r="EA89" s="81"/>
      <c r="EB89" s="81"/>
      <c r="EC89" s="81"/>
      <c r="ED89" s="81"/>
      <c r="EE89" s="81"/>
      <c r="EF89" s="81"/>
      <c r="EG89" s="81"/>
      <c r="EH89" s="81"/>
      <c r="EI89" s="81"/>
      <c r="EJ89" s="81"/>
      <c r="EK89" s="81"/>
      <c r="EL89" s="81"/>
    </row>
    <row r="90" spans="1:191" s="1313" customFormat="1" ht="76.5" hidden="1" customHeight="1">
      <c r="A90" s="6">
        <f t="shared" si="185"/>
        <v>77</v>
      </c>
      <c r="B90" s="1330"/>
      <c r="C90" s="1753" t="s">
        <v>182</v>
      </c>
      <c r="D90" s="1706" t="s">
        <v>141</v>
      </c>
      <c r="E90" s="1331">
        <v>4632024035</v>
      </c>
      <c r="F90" s="1330" t="s">
        <v>8</v>
      </c>
      <c r="G90" s="1682" t="s">
        <v>1034</v>
      </c>
      <c r="H90" s="1700">
        <v>3314.9639999999995</v>
      </c>
      <c r="I90" s="1701">
        <f>H90</f>
        <v>3314.9639999999995</v>
      </c>
      <c r="J90" s="1335"/>
      <c r="K90" s="1335"/>
      <c r="L90" s="1700">
        <v>3314.9639999999995</v>
      </c>
      <c r="M90" s="1390"/>
      <c r="N90" s="1703">
        <f>3132.14*1.2</f>
        <v>3758.5679999999998</v>
      </c>
      <c r="O90" s="1704">
        <f>N90</f>
        <v>3758.5679999999998</v>
      </c>
      <c r="P90" s="1335"/>
      <c r="Q90" s="1335"/>
      <c r="R90" s="1335">
        <f>O90</f>
        <v>3758.5679999999998</v>
      </c>
      <c r="S90" s="1390"/>
      <c r="T90" s="1751">
        <v>191.774</v>
      </c>
      <c r="U90" s="1810"/>
      <c r="V90" s="1810"/>
      <c r="W90" s="1334"/>
      <c r="X90" s="1334"/>
      <c r="Y90" s="1334"/>
      <c r="Z90" s="1393">
        <f t="shared" si="175"/>
        <v>191.774</v>
      </c>
      <c r="AA90" s="1752">
        <v>111.36</v>
      </c>
      <c r="AB90" s="1810"/>
      <c r="AC90" s="1810"/>
      <c r="AD90" s="1334"/>
      <c r="AE90" s="1334"/>
      <c r="AF90" s="1334"/>
      <c r="AG90" s="1395">
        <f t="shared" si="176"/>
        <v>111.36</v>
      </c>
      <c r="AH90" s="1391">
        <f t="shared" si="200"/>
        <v>303.13400000000001</v>
      </c>
      <c r="AI90" s="1334">
        <f t="shared" si="210"/>
        <v>303.13400000000001</v>
      </c>
      <c r="AJ90" s="1334">
        <f t="shared" si="210"/>
        <v>0</v>
      </c>
      <c r="AK90" s="1334">
        <f t="shared" si="210"/>
        <v>0</v>
      </c>
      <c r="AL90" s="1334">
        <f t="shared" si="210"/>
        <v>0</v>
      </c>
      <c r="AM90" s="1334">
        <f t="shared" si="210"/>
        <v>0</v>
      </c>
      <c r="AN90" s="1334"/>
      <c r="AO90" s="1334">
        <f t="shared" si="79"/>
        <v>303.13400000000001</v>
      </c>
      <c r="AP90" s="1334">
        <f t="shared" si="80"/>
        <v>303.13400000000001</v>
      </c>
      <c r="AQ90" s="1396">
        <f t="shared" si="145"/>
        <v>303.13400000000001</v>
      </c>
      <c r="AR90" s="1417">
        <f t="shared" si="177"/>
        <v>0</v>
      </c>
      <c r="AS90" s="1333">
        <f t="shared" si="212"/>
        <v>1004878.2971759998</v>
      </c>
      <c r="AT90" s="1334">
        <f t="shared" si="212"/>
        <v>0</v>
      </c>
      <c r="AU90" s="1334">
        <f t="shared" si="212"/>
        <v>0</v>
      </c>
      <c r="AV90" s="1334">
        <f t="shared" si="212"/>
        <v>0</v>
      </c>
      <c r="AW90" s="1334">
        <f t="shared" si="212"/>
        <v>0</v>
      </c>
      <c r="AX90" s="1334">
        <f t="shared" si="146"/>
        <v>1004878.2971759998</v>
      </c>
      <c r="AY90" s="1334">
        <f t="shared" si="147"/>
        <v>1004878.2971759998</v>
      </c>
      <c r="AZ90" s="1334">
        <f t="shared" si="215"/>
        <v>1139349.752112</v>
      </c>
      <c r="BA90" s="1334">
        <f t="shared" si="215"/>
        <v>0</v>
      </c>
      <c r="BB90" s="1334">
        <f t="shared" si="215"/>
        <v>0</v>
      </c>
      <c r="BC90" s="1334">
        <f t="shared" si="215"/>
        <v>0</v>
      </c>
      <c r="BD90" s="1334">
        <f t="shared" si="215"/>
        <v>0</v>
      </c>
      <c r="BE90" s="1334">
        <f t="shared" si="148"/>
        <v>1139349.752112</v>
      </c>
      <c r="BF90" s="1396">
        <f t="shared" si="149"/>
        <v>1139349.752112</v>
      </c>
      <c r="BG90" s="1397">
        <f>(H90-J90)/1.2*U90/1000+(H90-K90)/1.2*V90/1000</f>
        <v>0</v>
      </c>
      <c r="BH90" s="1398">
        <f>(O90-P90)*AB90/1000/1.2+(O90-Q90)/1.2*AC90/1000</f>
        <v>0</v>
      </c>
      <c r="BI90" s="1399">
        <f>BG90+BH90</f>
        <v>0</v>
      </c>
      <c r="BJ90" s="1399"/>
      <c r="BK90" s="1641"/>
      <c r="BL90" s="1334">
        <f t="shared" si="153"/>
        <v>635723.90613599995</v>
      </c>
      <c r="BM90" s="1334">
        <f t="shared" si="153"/>
        <v>0</v>
      </c>
      <c r="BN90" s="1334">
        <f t="shared" si="153"/>
        <v>0</v>
      </c>
      <c r="BO90" s="1334">
        <f t="shared" si="153"/>
        <v>0</v>
      </c>
      <c r="BP90" s="1334">
        <f t="shared" si="153"/>
        <v>0</v>
      </c>
      <c r="BQ90" s="1334">
        <f t="shared" si="203"/>
        <v>635723.90613599995</v>
      </c>
      <c r="BR90" s="1334">
        <f t="shared" si="204"/>
        <v>635723.90613599995</v>
      </c>
      <c r="BS90" s="1334">
        <f t="shared" si="154"/>
        <v>418554.13247999997</v>
      </c>
      <c r="BT90" s="1334">
        <f t="shared" si="154"/>
        <v>0</v>
      </c>
      <c r="BU90" s="1334">
        <f t="shared" si="154"/>
        <v>0</v>
      </c>
      <c r="BV90" s="1334">
        <f t="shared" si="205"/>
        <v>0</v>
      </c>
      <c r="BW90" s="1334">
        <f t="shared" si="157"/>
        <v>0</v>
      </c>
      <c r="BX90" s="1334">
        <f t="shared" si="206"/>
        <v>418554.13247999997</v>
      </c>
      <c r="BY90" s="1334">
        <f t="shared" si="207"/>
        <v>418554.13247999997</v>
      </c>
      <c r="BZ90" s="1389">
        <f t="shared" si="155"/>
        <v>0</v>
      </c>
      <c r="CA90" s="1389">
        <f t="shared" si="155"/>
        <v>0</v>
      </c>
      <c r="CB90" s="1389">
        <f t="shared" si="208"/>
        <v>0</v>
      </c>
      <c r="CC90" s="1420" t="e">
        <f t="shared" si="156"/>
        <v>#DIV/0!</v>
      </c>
      <c r="CD90" s="1420" t="e">
        <f t="shared" si="156"/>
        <v>#DIV/0!</v>
      </c>
      <c r="CE90" s="1420" t="e">
        <f t="shared" si="178"/>
        <v>#DIV/0!</v>
      </c>
      <c r="CF90" s="1389" t="e">
        <f t="shared" si="158"/>
        <v>#DIV/0!</v>
      </c>
      <c r="CG90" s="1421">
        <f t="shared" si="159"/>
        <v>0</v>
      </c>
      <c r="CH90" s="1421" t="e">
        <f t="shared" si="179"/>
        <v>#DIV/0!</v>
      </c>
      <c r="CI90" s="1389"/>
      <c r="CJ90" s="1756">
        <f>H90*Z90/1000</f>
        <v>635.72390613599998</v>
      </c>
      <c r="CK90" s="1756">
        <f t="shared" si="160"/>
        <v>418.55413247999996</v>
      </c>
      <c r="CL90" s="1756">
        <f>CJ90+CK90</f>
        <v>1054.278038616</v>
      </c>
      <c r="CM90" s="1334">
        <f t="shared" si="180"/>
        <v>1139.349752112</v>
      </c>
      <c r="CN90" s="1334">
        <f t="shared" si="181"/>
        <v>85.071713496000029</v>
      </c>
      <c r="CO90" s="1334">
        <f t="shared" si="161"/>
        <v>1054278.038616</v>
      </c>
      <c r="CP90" s="1334">
        <f t="shared" si="162"/>
        <v>1004878.2971759998</v>
      </c>
      <c r="CQ90" s="1334">
        <f t="shared" si="163"/>
        <v>1004878.2971759998</v>
      </c>
      <c r="CR90" s="1334">
        <f t="shared" si="164"/>
        <v>635723.90613599995</v>
      </c>
      <c r="CS90" s="1334">
        <f t="shared" si="165"/>
        <v>1139349.752112</v>
      </c>
      <c r="CT90" s="1334">
        <f t="shared" si="166"/>
        <v>1139349.752112</v>
      </c>
      <c r="CU90" s="1334">
        <f t="shared" si="167"/>
        <v>418554.13247999997</v>
      </c>
      <c r="CV90" s="1334">
        <f t="shared" si="182"/>
        <v>2144228.049288</v>
      </c>
      <c r="CW90" s="1422">
        <f t="shared" si="183"/>
        <v>7073.5319999999992</v>
      </c>
      <c r="CX90" s="1334">
        <f t="shared" si="168"/>
        <v>0</v>
      </c>
      <c r="CY90" s="1334">
        <f t="shared" si="169"/>
        <v>0</v>
      </c>
      <c r="CZ90" s="1334"/>
      <c r="DA90" s="1334">
        <f t="shared" si="170"/>
        <v>1004878.2971759998</v>
      </c>
      <c r="DB90" s="1334">
        <f t="shared" si="171"/>
        <v>1139349.752112</v>
      </c>
      <c r="DC90" s="1223"/>
      <c r="DD90" s="1224" t="e">
        <f t="shared" si="184"/>
        <v>#DIV/0!</v>
      </c>
      <c r="DE90" s="1223"/>
      <c r="DF90" s="1223"/>
      <c r="DG90" s="1223"/>
      <c r="DH90" s="1494"/>
      <c r="DI90" s="1494"/>
      <c r="DJ90" s="1494"/>
      <c r="DK90" s="1389"/>
      <c r="DL90" s="1419">
        <f t="shared" si="172"/>
        <v>0</v>
      </c>
      <c r="DM90" s="1419">
        <f t="shared" si="173"/>
        <v>0</v>
      </c>
      <c r="DN90" s="1419">
        <f t="shared" si="174"/>
        <v>0</v>
      </c>
      <c r="DO90" s="819"/>
      <c r="DP90" s="1315"/>
      <c r="DQ90" s="1315"/>
      <c r="DR90" s="1315"/>
      <c r="DS90" s="1315"/>
      <c r="DT90" s="1315"/>
      <c r="DU90" s="1315"/>
      <c r="DV90" s="1315"/>
      <c r="DW90" s="1315"/>
      <c r="DX90" s="1315"/>
      <c r="DY90" s="1315"/>
      <c r="DZ90" s="1315"/>
      <c r="EA90" s="1315"/>
      <c r="EB90" s="1315"/>
      <c r="EC90" s="1315"/>
      <c r="ED90" s="1315"/>
      <c r="EE90" s="1315"/>
      <c r="EF90" s="1315"/>
      <c r="EG90" s="1315"/>
      <c r="EH90" s="1315"/>
      <c r="EI90" s="1315"/>
      <c r="EJ90" s="1315"/>
      <c r="EK90" s="1315"/>
      <c r="EL90" s="1315"/>
    </row>
    <row r="91" spans="1:191" s="1313" customFormat="1" ht="76.5" hidden="1" customHeight="1">
      <c r="A91" s="6">
        <f t="shared" si="185"/>
        <v>78</v>
      </c>
      <c r="B91" s="1330" t="s">
        <v>32</v>
      </c>
      <c r="C91" s="1330" t="s">
        <v>65</v>
      </c>
      <c r="D91" s="1669" t="s">
        <v>986</v>
      </c>
      <c r="E91" s="1330">
        <v>4621009155</v>
      </c>
      <c r="F91" s="1330" t="s">
        <v>8</v>
      </c>
      <c r="G91" s="1332" t="s">
        <v>987</v>
      </c>
      <c r="H91" s="1695">
        <f>2581.45*1.2</f>
        <v>3097.74</v>
      </c>
      <c r="I91" s="1696">
        <v>0</v>
      </c>
      <c r="J91" s="1335">
        <v>3097.74</v>
      </c>
      <c r="K91" s="1335">
        <v>0</v>
      </c>
      <c r="L91" s="1454">
        <v>0</v>
      </c>
      <c r="M91" s="1390">
        <v>0</v>
      </c>
      <c r="N91" s="1403">
        <f>2917.04*1.2</f>
        <v>3500.4479999999999</v>
      </c>
      <c r="O91" s="1335">
        <v>0</v>
      </c>
      <c r="P91" s="1335">
        <v>3500.45</v>
      </c>
      <c r="Q91" s="1335">
        <v>0</v>
      </c>
      <c r="R91" s="1335">
        <v>0</v>
      </c>
      <c r="S91" s="1390">
        <v>0</v>
      </c>
      <c r="T91" s="1333">
        <v>0</v>
      </c>
      <c r="U91" s="1415">
        <v>31</v>
      </c>
      <c r="V91" s="1334">
        <v>0</v>
      </c>
      <c r="W91" s="1334">
        <v>0</v>
      </c>
      <c r="X91" s="1334">
        <v>0</v>
      </c>
      <c r="Y91" s="1334">
        <v>0</v>
      </c>
      <c r="Z91" s="1393">
        <f>SUM(T91:Y91)</f>
        <v>31</v>
      </c>
      <c r="AA91" s="1418">
        <v>0</v>
      </c>
      <c r="AB91" s="1334">
        <v>26.116</v>
      </c>
      <c r="AC91" s="1334">
        <v>0</v>
      </c>
      <c r="AD91" s="1334">
        <v>0</v>
      </c>
      <c r="AE91" s="1334">
        <v>0</v>
      </c>
      <c r="AF91" s="1334">
        <v>0</v>
      </c>
      <c r="AG91" s="1395">
        <f t="shared" si="176"/>
        <v>26.116</v>
      </c>
      <c r="AH91" s="1391">
        <f t="shared" si="200"/>
        <v>57.116</v>
      </c>
      <c r="AI91" s="1334">
        <f t="shared" si="210"/>
        <v>0</v>
      </c>
      <c r="AJ91" s="1452">
        <f t="shared" si="210"/>
        <v>57.116</v>
      </c>
      <c r="AK91" s="1334">
        <f t="shared" si="210"/>
        <v>0</v>
      </c>
      <c r="AL91" s="1334">
        <f t="shared" si="210"/>
        <v>0</v>
      </c>
      <c r="AM91" s="1334">
        <f t="shared" si="210"/>
        <v>0</v>
      </c>
      <c r="AN91" s="1334"/>
      <c r="AO91" s="1334">
        <f t="shared" ref="AO91" si="219">SUM(AI91:AN91)</f>
        <v>57.116</v>
      </c>
      <c r="AP91" s="1334">
        <f t="shared" ref="AP91" si="220">SUM(AI91:AM91)</f>
        <v>57.116</v>
      </c>
      <c r="AQ91" s="1396">
        <f t="shared" ref="AQ91" si="221">SUM(AI91:AL91)</f>
        <v>57.116</v>
      </c>
      <c r="AR91" s="1417">
        <f t="shared" si="177"/>
        <v>0</v>
      </c>
      <c r="AS91" s="1333">
        <f t="shared" si="212"/>
        <v>0</v>
      </c>
      <c r="AT91" s="1334">
        <f t="shared" si="212"/>
        <v>176930.51783999999</v>
      </c>
      <c r="AU91" s="1334">
        <f t="shared" si="212"/>
        <v>0</v>
      </c>
      <c r="AV91" s="1334">
        <f t="shared" si="212"/>
        <v>0</v>
      </c>
      <c r="AW91" s="1334">
        <f t="shared" si="212"/>
        <v>0</v>
      </c>
      <c r="AX91" s="1334">
        <f t="shared" si="146"/>
        <v>176930.51783999999</v>
      </c>
      <c r="AY91" s="1334">
        <f t="shared" si="147"/>
        <v>176930.51783999999</v>
      </c>
      <c r="AZ91" s="1334">
        <f t="shared" si="215"/>
        <v>0</v>
      </c>
      <c r="BA91" s="1334">
        <f t="shared" si="215"/>
        <v>199931.7022</v>
      </c>
      <c r="BB91" s="1334">
        <f t="shared" si="215"/>
        <v>0</v>
      </c>
      <c r="BC91" s="1334">
        <f t="shared" si="215"/>
        <v>0</v>
      </c>
      <c r="BD91" s="1334">
        <f t="shared" si="215"/>
        <v>0</v>
      </c>
      <c r="BE91" s="1334">
        <f t="shared" si="148"/>
        <v>199931.7022</v>
      </c>
      <c r="BF91" s="1396">
        <f t="shared" si="149"/>
        <v>199931.7022</v>
      </c>
      <c r="BG91" s="1418">
        <v>0</v>
      </c>
      <c r="BH91" s="1334">
        <v>0</v>
      </c>
      <c r="BI91" s="1334">
        <v>0</v>
      </c>
      <c r="BJ91" s="1334">
        <v>162.11000000000001</v>
      </c>
      <c r="BK91" s="1643"/>
      <c r="BL91" s="1334">
        <f t="shared" si="153"/>
        <v>0</v>
      </c>
      <c r="BM91" s="1334">
        <f t="shared" si="153"/>
        <v>96029.939999999988</v>
      </c>
      <c r="BN91" s="1334">
        <f t="shared" si="153"/>
        <v>0</v>
      </c>
      <c r="BO91" s="1334">
        <f t="shared" si="153"/>
        <v>0</v>
      </c>
      <c r="BP91" s="1334">
        <f t="shared" si="153"/>
        <v>0</v>
      </c>
      <c r="BQ91" s="1334">
        <f t="shared" si="203"/>
        <v>96029.939999999988</v>
      </c>
      <c r="BR91" s="1334">
        <f t="shared" si="204"/>
        <v>96029.939999999988</v>
      </c>
      <c r="BS91" s="1334">
        <f t="shared" si="154"/>
        <v>0</v>
      </c>
      <c r="BT91" s="1334">
        <f>P91*AB91</f>
        <v>91417.752199999988</v>
      </c>
      <c r="BU91" s="1334">
        <f t="shared" si="154"/>
        <v>0</v>
      </c>
      <c r="BV91" s="1334">
        <f t="shared" si="205"/>
        <v>0</v>
      </c>
      <c r="BW91" s="1334">
        <f t="shared" si="157"/>
        <v>0</v>
      </c>
      <c r="BX91" s="1334">
        <f t="shared" si="206"/>
        <v>91417.752199999988</v>
      </c>
      <c r="BY91" s="1334">
        <f t="shared" si="207"/>
        <v>91417.752199999988</v>
      </c>
      <c r="BZ91" s="1389">
        <f t="shared" si="155"/>
        <v>187447.69219999999</v>
      </c>
      <c r="CA91" s="1389">
        <f t="shared" si="155"/>
        <v>0</v>
      </c>
      <c r="CB91" s="1389">
        <f t="shared" si="208"/>
        <v>187447.69219999999</v>
      </c>
      <c r="CC91" s="1420">
        <f t="shared" si="156"/>
        <v>3281.8770957349952</v>
      </c>
      <c r="CD91" s="1420" t="e">
        <f t="shared" si="156"/>
        <v>#DIV/0!</v>
      </c>
      <c r="CE91" s="1420">
        <f t="shared" si="178"/>
        <v>3281.8770957349952</v>
      </c>
      <c r="CF91" s="1420">
        <f t="shared" si="158"/>
        <v>3281.8770957349952</v>
      </c>
      <c r="CG91" s="1421">
        <f t="shared" si="159"/>
        <v>0</v>
      </c>
      <c r="CH91" s="1421">
        <f t="shared" si="179"/>
        <v>0</v>
      </c>
      <c r="CI91" s="1453"/>
      <c r="CJ91" s="1334">
        <f t="shared" ref="CJ91" si="222">N91*Z91/1000</f>
        <v>108.51388799999999</v>
      </c>
      <c r="CK91" s="1334">
        <f t="shared" si="160"/>
        <v>91.417699967999994</v>
      </c>
      <c r="CL91" s="1334">
        <f>CJ91+CK91</f>
        <v>199.93158796799997</v>
      </c>
      <c r="CM91" s="1334">
        <f t="shared" si="180"/>
        <v>199.93158796799997</v>
      </c>
      <c r="CN91" s="1334">
        <f t="shared" si="181"/>
        <v>0</v>
      </c>
      <c r="CO91" s="1334">
        <f t="shared" si="161"/>
        <v>187447.639968</v>
      </c>
      <c r="CP91" s="1334">
        <f t="shared" si="162"/>
        <v>176930.51783999999</v>
      </c>
      <c r="CQ91" s="1334">
        <f t="shared" si="163"/>
        <v>176930.51783999999</v>
      </c>
      <c r="CR91" s="1334">
        <f t="shared" si="164"/>
        <v>96029.939999999988</v>
      </c>
      <c r="CS91" s="1334">
        <f t="shared" si="165"/>
        <v>199931.7022</v>
      </c>
      <c r="CT91" s="1334">
        <f t="shared" si="166"/>
        <v>199931.7022</v>
      </c>
      <c r="CU91" s="1334">
        <f t="shared" si="167"/>
        <v>91417.752199999988</v>
      </c>
      <c r="CV91" s="1334">
        <f t="shared" si="182"/>
        <v>376862.22003999999</v>
      </c>
      <c r="CW91" s="1422">
        <f t="shared" si="183"/>
        <v>6598.19</v>
      </c>
      <c r="CX91" s="1334">
        <f t="shared" si="168"/>
        <v>176930.51783999999</v>
      </c>
      <c r="CY91" s="1334">
        <f t="shared" si="169"/>
        <v>199931.7022</v>
      </c>
      <c r="CZ91" s="1334"/>
      <c r="DA91" s="1334">
        <f t="shared" si="170"/>
        <v>176930.51783999999</v>
      </c>
      <c r="DB91" s="1334">
        <f t="shared" si="171"/>
        <v>199931.58796799998</v>
      </c>
      <c r="DC91" s="1576"/>
      <c r="DD91" s="1224">
        <f t="shared" si="184"/>
        <v>113.00005810687792</v>
      </c>
      <c r="DE91" s="1576"/>
      <c r="DF91" s="1576"/>
      <c r="DG91" s="1576"/>
      <c r="DH91" s="1580">
        <f>AH91</f>
        <v>57.116</v>
      </c>
      <c r="DI91" s="1580">
        <f>AH91</f>
        <v>57.116</v>
      </c>
      <c r="DJ91" s="1494">
        <f t="shared" ref="DJ91" si="223">DH91-DI91</f>
        <v>0</v>
      </c>
      <c r="DK91" s="1453"/>
      <c r="DL91" s="1419">
        <f t="shared" si="172"/>
        <v>0</v>
      </c>
      <c r="DM91" s="1419">
        <f t="shared" si="173"/>
        <v>0</v>
      </c>
      <c r="DN91" s="1419">
        <f t="shared" si="174"/>
        <v>0</v>
      </c>
      <c r="DO91" s="1315"/>
      <c r="DP91" s="1315"/>
      <c r="DQ91" s="1315"/>
      <c r="DR91" s="1315"/>
      <c r="DS91" s="1315"/>
      <c r="DT91" s="1315"/>
      <c r="DU91" s="1315"/>
      <c r="DV91" s="1315"/>
      <c r="DW91" s="1315"/>
      <c r="DX91" s="1315"/>
      <c r="DY91" s="1315"/>
      <c r="DZ91" s="1315"/>
      <c r="EA91" s="1315"/>
      <c r="EB91" s="1315"/>
      <c r="EC91" s="1315"/>
      <c r="ED91" s="1315"/>
      <c r="EE91" s="1315"/>
      <c r="EF91" s="1315"/>
      <c r="EG91" s="1315"/>
      <c r="EH91" s="1315"/>
      <c r="EI91" s="1315"/>
      <c r="EJ91" s="1315"/>
      <c r="EK91" s="1315"/>
      <c r="EL91" s="1315"/>
    </row>
    <row r="92" spans="1:191" s="1313" customFormat="1" ht="78.75" hidden="1" customHeight="1">
      <c r="A92" s="6">
        <f t="shared" si="185"/>
        <v>79</v>
      </c>
      <c r="B92" s="1330" t="s">
        <v>32</v>
      </c>
      <c r="C92" s="1753" t="s">
        <v>65</v>
      </c>
      <c r="D92" s="1706" t="s">
        <v>141</v>
      </c>
      <c r="E92" s="1331">
        <v>4632024035</v>
      </c>
      <c r="F92" s="1330" t="s">
        <v>8</v>
      </c>
      <c r="G92" s="1682" t="s">
        <v>1034</v>
      </c>
      <c r="H92" s="1700">
        <v>3314.9639999999995</v>
      </c>
      <c r="I92" s="1701">
        <f t="shared" ref="I92:I96" si="224">H92</f>
        <v>3314.9639999999995</v>
      </c>
      <c r="J92" s="1707">
        <v>2950.21</v>
      </c>
      <c r="K92" s="1335"/>
      <c r="L92" s="1700">
        <v>3314.9639999999995</v>
      </c>
      <c r="M92" s="1390"/>
      <c r="N92" s="1703">
        <f t="shared" ref="N92:N96" si="225">3132.14*1.2</f>
        <v>3758.5679999999998</v>
      </c>
      <c r="O92" s="1704">
        <f t="shared" ref="O92:O96" si="226">N92</f>
        <v>3758.5679999999998</v>
      </c>
      <c r="P92" s="1708">
        <v>2979.71</v>
      </c>
      <c r="Q92" s="1335"/>
      <c r="R92" s="1335">
        <f t="shared" ref="R92:R96" si="227">O92</f>
        <v>3758.5679999999998</v>
      </c>
      <c r="S92" s="1390"/>
      <c r="T92" s="1829">
        <v>2113.643</v>
      </c>
      <c r="U92" s="1828">
        <v>412.79400000000004</v>
      </c>
      <c r="V92" s="1828"/>
      <c r="W92" s="1338"/>
      <c r="X92" s="1338"/>
      <c r="Y92" s="1338"/>
      <c r="Z92" s="1416">
        <f t="shared" si="175"/>
        <v>2526.4369999999999</v>
      </c>
      <c r="AA92" s="1830">
        <v>1221.3319999999999</v>
      </c>
      <c r="AB92" s="1828">
        <v>241</v>
      </c>
      <c r="AC92" s="1810"/>
      <c r="AD92" s="1334"/>
      <c r="AE92" s="1334"/>
      <c r="AF92" s="1334"/>
      <c r="AG92" s="1395">
        <f t="shared" si="176"/>
        <v>1462.3319999999999</v>
      </c>
      <c r="AH92" s="1391">
        <f t="shared" si="200"/>
        <v>3988.7689999999998</v>
      </c>
      <c r="AI92" s="1334">
        <f t="shared" si="210"/>
        <v>3334.9749999999999</v>
      </c>
      <c r="AJ92" s="1334">
        <f t="shared" si="210"/>
        <v>653.7940000000001</v>
      </c>
      <c r="AK92" s="1334">
        <f t="shared" si="210"/>
        <v>0</v>
      </c>
      <c r="AL92" s="1334">
        <f t="shared" si="210"/>
        <v>0</v>
      </c>
      <c r="AM92" s="1334">
        <f t="shared" si="210"/>
        <v>0</v>
      </c>
      <c r="AN92" s="1334"/>
      <c r="AO92" s="1334">
        <f t="shared" ref="AO92:AO137" si="228">SUM(AI92:AN92)</f>
        <v>3988.7690000000002</v>
      </c>
      <c r="AP92" s="1334">
        <f t="shared" ref="AP92:AP139" si="229">SUM(AI92:AM92)</f>
        <v>3988.7690000000002</v>
      </c>
      <c r="AQ92" s="1396">
        <f t="shared" si="145"/>
        <v>3988.7690000000002</v>
      </c>
      <c r="AR92" s="1417">
        <f t="shared" si="177"/>
        <v>0</v>
      </c>
      <c r="AS92" s="1333">
        <f t="shared" si="212"/>
        <v>11055322.065899998</v>
      </c>
      <c r="AT92" s="1334">
        <f t="shared" si="212"/>
        <v>1928829.5967400004</v>
      </c>
      <c r="AU92" s="1334">
        <f t="shared" si="212"/>
        <v>0</v>
      </c>
      <c r="AV92" s="1334">
        <f t="shared" si="212"/>
        <v>0</v>
      </c>
      <c r="AW92" s="1334">
        <f t="shared" si="212"/>
        <v>0</v>
      </c>
      <c r="AX92" s="1334">
        <f t="shared" si="146"/>
        <v>12984151.662639998</v>
      </c>
      <c r="AY92" s="1334">
        <f t="shared" si="147"/>
        <v>12984151.662639998</v>
      </c>
      <c r="AZ92" s="1334">
        <f t="shared" si="215"/>
        <v>12534730.315799998</v>
      </c>
      <c r="BA92" s="1334">
        <f t="shared" si="215"/>
        <v>1948116.5197400004</v>
      </c>
      <c r="BB92" s="1334">
        <f t="shared" si="215"/>
        <v>0</v>
      </c>
      <c r="BC92" s="1334">
        <f t="shared" si="215"/>
        <v>0</v>
      </c>
      <c r="BD92" s="1334">
        <f t="shared" si="215"/>
        <v>0</v>
      </c>
      <c r="BE92" s="1334">
        <f t="shared" si="148"/>
        <v>14482846.835539998</v>
      </c>
      <c r="BF92" s="1396">
        <f t="shared" si="149"/>
        <v>14482846.835539998</v>
      </c>
      <c r="BG92" s="1397">
        <f t="shared" ref="BG92:BG96" si="230">(H92-J92)/1.2*U92/1000+(H92-K92)/1.2*V92/1000</f>
        <v>125.47355222999984</v>
      </c>
      <c r="BH92" s="1398">
        <f t="shared" ref="BH92:BH96" si="231">(O92-P92)*AB92/1000/1.2+(O92-Q92)/1.2*AC92/1000</f>
        <v>156.42064833333328</v>
      </c>
      <c r="BI92" s="1399">
        <f t="shared" ref="BI92:BI96" si="232">BG92+BH92</f>
        <v>281.89420056333313</v>
      </c>
      <c r="BJ92" s="1399"/>
      <c r="BK92" s="1641"/>
      <c r="BL92" s="1334">
        <f t="shared" si="153"/>
        <v>7006650.4538519988</v>
      </c>
      <c r="BM92" s="1334">
        <f t="shared" si="153"/>
        <v>1217828.9867400001</v>
      </c>
      <c r="BN92" s="1334">
        <f t="shared" si="153"/>
        <v>0</v>
      </c>
      <c r="BO92" s="1334">
        <f t="shared" si="153"/>
        <v>0</v>
      </c>
      <c r="BP92" s="1334">
        <f t="shared" si="153"/>
        <v>0</v>
      </c>
      <c r="BQ92" s="1334">
        <f t="shared" si="203"/>
        <v>8224479.4405919984</v>
      </c>
      <c r="BR92" s="1334">
        <f t="shared" si="204"/>
        <v>8224479.4405919984</v>
      </c>
      <c r="BS92" s="1334">
        <f t="shared" si="154"/>
        <v>4590459.3725759992</v>
      </c>
      <c r="BT92" s="1334">
        <f t="shared" si="154"/>
        <v>718110.11</v>
      </c>
      <c r="BU92" s="1334">
        <f t="shared" si="154"/>
        <v>0</v>
      </c>
      <c r="BV92" s="1334">
        <f t="shared" si="205"/>
        <v>0</v>
      </c>
      <c r="BW92" s="1334">
        <f t="shared" si="157"/>
        <v>0</v>
      </c>
      <c r="BX92" s="1334">
        <f t="shared" si="206"/>
        <v>5308569.4825759996</v>
      </c>
      <c r="BY92" s="1334">
        <f t="shared" si="207"/>
        <v>5308569.4825759996</v>
      </c>
      <c r="BZ92" s="1389">
        <f t="shared" si="155"/>
        <v>1935939.0967399999</v>
      </c>
      <c r="CA92" s="1389">
        <f t="shared" si="155"/>
        <v>0</v>
      </c>
      <c r="CB92" s="1389">
        <f t="shared" si="208"/>
        <v>1935939.0967399999</v>
      </c>
      <c r="CC92" s="1420">
        <f t="shared" si="156"/>
        <v>2961.0842203201614</v>
      </c>
      <c r="CD92" s="1420" t="e">
        <f t="shared" si="156"/>
        <v>#DIV/0!</v>
      </c>
      <c r="CE92" s="1420">
        <f t="shared" si="178"/>
        <v>2961.0842203201614</v>
      </c>
      <c r="CF92" s="1420">
        <f t="shared" si="158"/>
        <v>2961.0842203201614</v>
      </c>
      <c r="CG92" s="1421">
        <f t="shared" si="159"/>
        <v>2274212.137416</v>
      </c>
      <c r="CH92" s="1421">
        <f t="shared" si="179"/>
        <v>3478.4842586747504</v>
      </c>
      <c r="CI92" s="1389"/>
      <c r="CJ92" s="1756">
        <f t="shared" ref="CJ92:CJ96" si="233">H92*Z92/1000</f>
        <v>8375.0477032679973</v>
      </c>
      <c r="CK92" s="1756">
        <f t="shared" si="160"/>
        <v>5496.2742605759995</v>
      </c>
      <c r="CL92" s="1756">
        <f t="shared" ref="CL92:CL96" si="234">CJ92+CK92</f>
        <v>13871.321963843997</v>
      </c>
      <c r="CM92" s="1334">
        <f t="shared" si="180"/>
        <v>14992.059522791998</v>
      </c>
      <c r="CN92" s="1334">
        <f t="shared" si="181"/>
        <v>1120.7375589480016</v>
      </c>
      <c r="CO92" s="1334">
        <f t="shared" si="161"/>
        <v>13871321.963843998</v>
      </c>
      <c r="CP92" s="1334">
        <f t="shared" si="162"/>
        <v>12984151.662639998</v>
      </c>
      <c r="CQ92" s="1334">
        <f t="shared" si="163"/>
        <v>12984151.662639998</v>
      </c>
      <c r="CR92" s="1334">
        <f t="shared" si="164"/>
        <v>8224479.4405919984</v>
      </c>
      <c r="CS92" s="1334">
        <f t="shared" si="165"/>
        <v>14482846.835539998</v>
      </c>
      <c r="CT92" s="1334">
        <f t="shared" si="166"/>
        <v>14482846.835539998</v>
      </c>
      <c r="CU92" s="1334">
        <f t="shared" si="167"/>
        <v>5308569.4825759996</v>
      </c>
      <c r="CV92" s="1334">
        <f t="shared" si="182"/>
        <v>27466998.498179995</v>
      </c>
      <c r="CW92" s="1422">
        <f t="shared" si="183"/>
        <v>6886.0840269717291</v>
      </c>
      <c r="CX92" s="1334">
        <f t="shared" si="168"/>
        <v>1928829.5967400004</v>
      </c>
      <c r="CY92" s="1334">
        <f t="shared" si="169"/>
        <v>1948116.5197400004</v>
      </c>
      <c r="CZ92" s="1334"/>
      <c r="DA92" s="1334">
        <f t="shared" si="170"/>
        <v>13222625.639315998</v>
      </c>
      <c r="DB92" s="1334">
        <f t="shared" si="171"/>
        <v>14992059.522791998</v>
      </c>
      <c r="DC92" s="1223"/>
      <c r="DD92" s="1224">
        <f t="shared" si="184"/>
        <v>127.40001559211038</v>
      </c>
      <c r="DE92" s="1223"/>
      <c r="DF92" s="1223"/>
      <c r="DG92" s="1223"/>
      <c r="DH92" s="1494"/>
      <c r="DI92" s="1494"/>
      <c r="DJ92" s="1494"/>
      <c r="DK92" s="1389"/>
      <c r="DL92" s="1419">
        <f t="shared" si="172"/>
        <v>0</v>
      </c>
      <c r="DM92" s="1419">
        <f t="shared" si="173"/>
        <v>0</v>
      </c>
      <c r="DN92" s="1419">
        <f t="shared" si="174"/>
        <v>0</v>
      </c>
      <c r="DO92" s="819"/>
      <c r="DP92" s="1315"/>
      <c r="DQ92" s="1315"/>
      <c r="DR92" s="1315"/>
      <c r="DS92" s="1315"/>
      <c r="DT92" s="1315"/>
      <c r="DU92" s="1315"/>
      <c r="DV92" s="1315"/>
      <c r="DW92" s="1315"/>
      <c r="DX92" s="1315"/>
      <c r="DY92" s="1315"/>
      <c r="DZ92" s="1315"/>
      <c r="EA92" s="1315"/>
      <c r="EB92" s="1315"/>
      <c r="EC92" s="1315"/>
      <c r="ED92" s="1315"/>
      <c r="EE92" s="1315"/>
      <c r="EF92" s="1315"/>
      <c r="EG92" s="1315"/>
      <c r="EH92" s="1315"/>
      <c r="EI92" s="1315"/>
      <c r="EJ92" s="1315"/>
      <c r="EK92" s="1315"/>
      <c r="EL92" s="1315"/>
    </row>
    <row r="93" spans="1:191" s="1313" customFormat="1" ht="77.25" hidden="1" customHeight="1">
      <c r="A93" s="6">
        <f t="shared" si="185"/>
        <v>80</v>
      </c>
      <c r="B93" s="1330"/>
      <c r="C93" s="1753" t="s">
        <v>115</v>
      </c>
      <c r="D93" s="1706" t="s">
        <v>142</v>
      </c>
      <c r="E93" s="1331">
        <v>4632024035</v>
      </c>
      <c r="F93" s="1330" t="s">
        <v>8</v>
      </c>
      <c r="G93" s="1682" t="s">
        <v>1034</v>
      </c>
      <c r="H93" s="1700">
        <v>3314.9639999999995</v>
      </c>
      <c r="I93" s="1701">
        <f t="shared" si="224"/>
        <v>3314.9639999999995</v>
      </c>
      <c r="J93" s="1335"/>
      <c r="K93" s="1335"/>
      <c r="L93" s="1700">
        <v>3314.9639999999995</v>
      </c>
      <c r="M93" s="1390"/>
      <c r="N93" s="1703">
        <f t="shared" si="225"/>
        <v>3758.5679999999998</v>
      </c>
      <c r="O93" s="1704">
        <f t="shared" si="226"/>
        <v>3758.5679999999998</v>
      </c>
      <c r="P93" s="1335"/>
      <c r="Q93" s="1335"/>
      <c r="R93" s="1335">
        <f t="shared" si="227"/>
        <v>3758.5679999999998</v>
      </c>
      <c r="S93" s="1390"/>
      <c r="T93" s="1829">
        <v>251.70200000000003</v>
      </c>
      <c r="U93" s="1828"/>
      <c r="V93" s="1828"/>
      <c r="W93" s="1338"/>
      <c r="X93" s="1338"/>
      <c r="Y93" s="1338"/>
      <c r="Z93" s="1416">
        <f t="shared" si="175"/>
        <v>251.70200000000003</v>
      </c>
      <c r="AA93" s="1830">
        <v>146.16</v>
      </c>
      <c r="AB93" s="1810"/>
      <c r="AC93" s="1810"/>
      <c r="AD93" s="1334"/>
      <c r="AE93" s="1334"/>
      <c r="AF93" s="1334"/>
      <c r="AG93" s="1395">
        <f t="shared" si="176"/>
        <v>146.16</v>
      </c>
      <c r="AH93" s="1391">
        <f t="shared" si="200"/>
        <v>397.86200000000002</v>
      </c>
      <c r="AI93" s="1334">
        <f t="shared" si="210"/>
        <v>397.86200000000002</v>
      </c>
      <c r="AJ93" s="1334">
        <f t="shared" si="210"/>
        <v>0</v>
      </c>
      <c r="AK93" s="1334">
        <f t="shared" si="210"/>
        <v>0</v>
      </c>
      <c r="AL93" s="1334">
        <f t="shared" si="210"/>
        <v>0</v>
      </c>
      <c r="AM93" s="1334">
        <f t="shared" si="210"/>
        <v>0</v>
      </c>
      <c r="AN93" s="1334"/>
      <c r="AO93" s="1334">
        <f t="shared" si="228"/>
        <v>397.86200000000002</v>
      </c>
      <c r="AP93" s="1334">
        <f t="shared" si="229"/>
        <v>397.86200000000002</v>
      </c>
      <c r="AQ93" s="1396">
        <f t="shared" si="145"/>
        <v>397.86200000000002</v>
      </c>
      <c r="AR93" s="1417">
        <f t="shared" si="177"/>
        <v>0</v>
      </c>
      <c r="AS93" s="1333">
        <f t="shared" si="212"/>
        <v>1318898.2069679999</v>
      </c>
      <c r="AT93" s="1334">
        <f t="shared" si="212"/>
        <v>0</v>
      </c>
      <c r="AU93" s="1334">
        <f t="shared" si="212"/>
        <v>0</v>
      </c>
      <c r="AV93" s="1334">
        <f t="shared" si="212"/>
        <v>0</v>
      </c>
      <c r="AW93" s="1334">
        <f t="shared" si="212"/>
        <v>0</v>
      </c>
      <c r="AX93" s="1334">
        <f t="shared" si="146"/>
        <v>1318898.2069679999</v>
      </c>
      <c r="AY93" s="1334">
        <f t="shared" si="147"/>
        <v>1318898.2069679999</v>
      </c>
      <c r="AZ93" s="1334">
        <f t="shared" si="215"/>
        <v>1495391.3816160001</v>
      </c>
      <c r="BA93" s="1334">
        <f t="shared" si="215"/>
        <v>0</v>
      </c>
      <c r="BB93" s="1334">
        <f t="shared" si="215"/>
        <v>0</v>
      </c>
      <c r="BC93" s="1334">
        <f t="shared" si="215"/>
        <v>0</v>
      </c>
      <c r="BD93" s="1334">
        <f t="shared" si="215"/>
        <v>0</v>
      </c>
      <c r="BE93" s="1334">
        <f t="shared" si="148"/>
        <v>1495391.3816160001</v>
      </c>
      <c r="BF93" s="1396">
        <f t="shared" si="149"/>
        <v>1495391.3816160001</v>
      </c>
      <c r="BG93" s="1397">
        <f t="shared" si="230"/>
        <v>0</v>
      </c>
      <c r="BH93" s="1398">
        <f t="shared" si="231"/>
        <v>0</v>
      </c>
      <c r="BI93" s="1399">
        <f t="shared" si="232"/>
        <v>0</v>
      </c>
      <c r="BJ93" s="1334"/>
      <c r="BK93" s="1643"/>
      <c r="BL93" s="1334">
        <f t="shared" si="153"/>
        <v>834383.06872799993</v>
      </c>
      <c r="BM93" s="1334">
        <f t="shared" si="153"/>
        <v>0</v>
      </c>
      <c r="BN93" s="1334">
        <f t="shared" si="153"/>
        <v>0</v>
      </c>
      <c r="BO93" s="1334">
        <f t="shared" si="153"/>
        <v>0</v>
      </c>
      <c r="BP93" s="1334">
        <f t="shared" si="153"/>
        <v>0</v>
      </c>
      <c r="BQ93" s="1334">
        <f t="shared" si="203"/>
        <v>834383.06872799993</v>
      </c>
      <c r="BR93" s="1334">
        <f t="shared" si="204"/>
        <v>834383.06872799993</v>
      </c>
      <c r="BS93" s="1334">
        <f t="shared" si="154"/>
        <v>549352.2988799999</v>
      </c>
      <c r="BT93" s="1334">
        <f t="shared" si="154"/>
        <v>0</v>
      </c>
      <c r="BU93" s="1334">
        <f t="shared" si="154"/>
        <v>0</v>
      </c>
      <c r="BV93" s="1334">
        <f t="shared" si="205"/>
        <v>0</v>
      </c>
      <c r="BW93" s="1334">
        <f t="shared" si="157"/>
        <v>0</v>
      </c>
      <c r="BX93" s="1334">
        <f t="shared" si="206"/>
        <v>549352.2988799999</v>
      </c>
      <c r="BY93" s="1334">
        <f t="shared" si="207"/>
        <v>549352.2988799999</v>
      </c>
      <c r="BZ93" s="1389">
        <f t="shared" si="155"/>
        <v>0</v>
      </c>
      <c r="CA93" s="1389">
        <f t="shared" si="155"/>
        <v>0</v>
      </c>
      <c r="CB93" s="1389">
        <f t="shared" si="208"/>
        <v>0</v>
      </c>
      <c r="CC93" s="1420" t="e">
        <f t="shared" si="156"/>
        <v>#DIV/0!</v>
      </c>
      <c r="CD93" s="1420" t="e">
        <f t="shared" si="156"/>
        <v>#DIV/0!</v>
      </c>
      <c r="CE93" s="1420" t="e">
        <f t="shared" si="178"/>
        <v>#DIV/0!</v>
      </c>
      <c r="CF93" s="1389" t="e">
        <f t="shared" si="158"/>
        <v>#DIV/0!</v>
      </c>
      <c r="CG93" s="1421">
        <f t="shared" si="159"/>
        <v>0</v>
      </c>
      <c r="CH93" s="1421" t="e">
        <f t="shared" si="179"/>
        <v>#DIV/0!</v>
      </c>
      <c r="CI93" s="1389"/>
      <c r="CJ93" s="1756">
        <f t="shared" si="233"/>
        <v>834.3830687279999</v>
      </c>
      <c r="CK93" s="1756">
        <f t="shared" si="160"/>
        <v>549.35229887999992</v>
      </c>
      <c r="CL93" s="1756">
        <f t="shared" si="234"/>
        <v>1383.7353676079997</v>
      </c>
      <c r="CM93" s="1334">
        <f t="shared" si="180"/>
        <v>1495.391381616</v>
      </c>
      <c r="CN93" s="1334">
        <f t="shared" si="181"/>
        <v>111.65601400800028</v>
      </c>
      <c r="CO93" s="1334">
        <f t="shared" si="161"/>
        <v>1383735.3676079998</v>
      </c>
      <c r="CP93" s="1334">
        <f t="shared" si="162"/>
        <v>1318898.2069679999</v>
      </c>
      <c r="CQ93" s="1334">
        <f t="shared" si="163"/>
        <v>1318898.2069679999</v>
      </c>
      <c r="CR93" s="1334">
        <f t="shared" si="164"/>
        <v>834383.06872799993</v>
      </c>
      <c r="CS93" s="1334">
        <f t="shared" si="165"/>
        <v>1495391.3816160001</v>
      </c>
      <c r="CT93" s="1334">
        <f t="shared" si="166"/>
        <v>1495391.3816160001</v>
      </c>
      <c r="CU93" s="1334">
        <f t="shared" si="167"/>
        <v>549352.2988799999</v>
      </c>
      <c r="CV93" s="1334">
        <f t="shared" si="182"/>
        <v>2814289.5885840002</v>
      </c>
      <c r="CW93" s="1422">
        <f t="shared" si="183"/>
        <v>7073.5320000000002</v>
      </c>
      <c r="CX93" s="1334">
        <f t="shared" si="168"/>
        <v>0</v>
      </c>
      <c r="CY93" s="1334">
        <f t="shared" si="169"/>
        <v>0</v>
      </c>
      <c r="CZ93" s="1334"/>
      <c r="DA93" s="1334">
        <f t="shared" si="170"/>
        <v>1318898.2069679999</v>
      </c>
      <c r="DB93" s="1334">
        <f t="shared" si="171"/>
        <v>1495391.3816160001</v>
      </c>
      <c r="DC93" s="1223"/>
      <c r="DD93" s="1224" t="e">
        <f t="shared" si="184"/>
        <v>#DIV/0!</v>
      </c>
      <c r="DE93" s="1223"/>
      <c r="DF93" s="1223"/>
      <c r="DG93" s="1223"/>
      <c r="DH93" s="1494"/>
      <c r="DI93" s="1494"/>
      <c r="DJ93" s="1494"/>
      <c r="DK93" s="1389"/>
      <c r="DL93" s="1419">
        <f t="shared" si="172"/>
        <v>0</v>
      </c>
      <c r="DM93" s="1419">
        <f t="shared" si="173"/>
        <v>0</v>
      </c>
      <c r="DN93" s="1419">
        <f t="shared" si="174"/>
        <v>0</v>
      </c>
      <c r="DO93" s="819"/>
      <c r="DP93" s="1315"/>
      <c r="DQ93" s="1315"/>
      <c r="DR93" s="1315"/>
      <c r="DS93" s="1315"/>
      <c r="DT93" s="1315"/>
      <c r="DU93" s="1315"/>
      <c r="DV93" s="1315"/>
      <c r="DW93" s="1315"/>
      <c r="DX93" s="1315"/>
      <c r="DY93" s="1315"/>
      <c r="DZ93" s="1315"/>
      <c r="EA93" s="1315"/>
      <c r="EB93" s="1315"/>
      <c r="EC93" s="1315"/>
      <c r="ED93" s="1315"/>
      <c r="EE93" s="1315"/>
      <c r="EF93" s="1315"/>
      <c r="EG93" s="1315"/>
      <c r="EH93" s="1315"/>
      <c r="EI93" s="1315"/>
      <c r="EJ93" s="1315"/>
      <c r="EK93" s="1315"/>
      <c r="EL93" s="1315"/>
    </row>
    <row r="94" spans="1:191" s="1313" customFormat="1" ht="77.25" hidden="1" customHeight="1">
      <c r="A94" s="6">
        <f t="shared" si="185"/>
        <v>81</v>
      </c>
      <c r="B94" s="1330"/>
      <c r="C94" s="1753" t="s">
        <v>116</v>
      </c>
      <c r="D94" s="1706" t="s">
        <v>141</v>
      </c>
      <c r="E94" s="1331">
        <v>4632024035</v>
      </c>
      <c r="F94" s="1330" t="s">
        <v>8</v>
      </c>
      <c r="G94" s="1682" t="s">
        <v>1034</v>
      </c>
      <c r="H94" s="1700">
        <v>3314.9639999999995</v>
      </c>
      <c r="I94" s="1701">
        <f t="shared" si="224"/>
        <v>3314.9639999999995</v>
      </c>
      <c r="J94" s="1335"/>
      <c r="K94" s="1335"/>
      <c r="L94" s="1700">
        <v>3314.9639999999995</v>
      </c>
      <c r="M94" s="1390"/>
      <c r="N94" s="1703">
        <f t="shared" si="225"/>
        <v>3758.5679999999998</v>
      </c>
      <c r="O94" s="1704">
        <f t="shared" si="226"/>
        <v>3758.5679999999998</v>
      </c>
      <c r="P94" s="1335"/>
      <c r="Q94" s="1335"/>
      <c r="R94" s="1335">
        <f t="shared" si="227"/>
        <v>3758.5679999999998</v>
      </c>
      <c r="S94" s="1390"/>
      <c r="T94" s="1751">
        <v>1107.5940000000001</v>
      </c>
      <c r="U94" s="1810"/>
      <c r="V94" s="1810"/>
      <c r="W94" s="1334"/>
      <c r="X94" s="1334"/>
      <c r="Y94" s="1334"/>
      <c r="Z94" s="1393">
        <f t="shared" si="175"/>
        <v>1107.5940000000001</v>
      </c>
      <c r="AA94" s="1752">
        <v>667.43200000000002</v>
      </c>
      <c r="AB94" s="1810"/>
      <c r="AC94" s="1810"/>
      <c r="AD94" s="1334"/>
      <c r="AE94" s="1334"/>
      <c r="AF94" s="1334"/>
      <c r="AG94" s="1395">
        <f t="shared" si="176"/>
        <v>667.43200000000002</v>
      </c>
      <c r="AH94" s="1391">
        <f t="shared" si="200"/>
        <v>1775.0260000000001</v>
      </c>
      <c r="AI94" s="1334">
        <f t="shared" si="210"/>
        <v>1775.0260000000001</v>
      </c>
      <c r="AJ94" s="1334">
        <f t="shared" si="210"/>
        <v>0</v>
      </c>
      <c r="AK94" s="1334">
        <f t="shared" si="210"/>
        <v>0</v>
      </c>
      <c r="AL94" s="1334">
        <f t="shared" si="210"/>
        <v>0</v>
      </c>
      <c r="AM94" s="1334">
        <f t="shared" si="210"/>
        <v>0</v>
      </c>
      <c r="AN94" s="1334"/>
      <c r="AO94" s="1334">
        <f t="shared" si="228"/>
        <v>1775.0260000000001</v>
      </c>
      <c r="AP94" s="1334">
        <f t="shared" si="229"/>
        <v>1775.0260000000001</v>
      </c>
      <c r="AQ94" s="1396">
        <f t="shared" si="145"/>
        <v>1775.0260000000001</v>
      </c>
      <c r="AR94" s="1417">
        <f t="shared" si="177"/>
        <v>0</v>
      </c>
      <c r="AS94" s="1333">
        <f t="shared" si="212"/>
        <v>5884147.2890639994</v>
      </c>
      <c r="AT94" s="1334">
        <f t="shared" si="212"/>
        <v>0</v>
      </c>
      <c r="AU94" s="1334">
        <f t="shared" si="212"/>
        <v>0</v>
      </c>
      <c r="AV94" s="1334">
        <f t="shared" si="212"/>
        <v>0</v>
      </c>
      <c r="AW94" s="1334">
        <f t="shared" si="212"/>
        <v>0</v>
      </c>
      <c r="AX94" s="1334">
        <f t="shared" si="146"/>
        <v>5884147.2890639994</v>
      </c>
      <c r="AY94" s="1334">
        <f t="shared" si="147"/>
        <v>5884147.2890639994</v>
      </c>
      <c r="AZ94" s="1334">
        <f t="shared" si="215"/>
        <v>6671555.9227679996</v>
      </c>
      <c r="BA94" s="1334">
        <f t="shared" si="215"/>
        <v>0</v>
      </c>
      <c r="BB94" s="1334">
        <f t="shared" si="215"/>
        <v>0</v>
      </c>
      <c r="BC94" s="1334">
        <f t="shared" si="215"/>
        <v>0</v>
      </c>
      <c r="BD94" s="1334">
        <f t="shared" si="215"/>
        <v>0</v>
      </c>
      <c r="BE94" s="1334">
        <f t="shared" si="148"/>
        <v>6671555.9227679996</v>
      </c>
      <c r="BF94" s="1396">
        <f t="shared" si="149"/>
        <v>6671555.9227679996</v>
      </c>
      <c r="BG94" s="1397">
        <f t="shared" si="230"/>
        <v>0</v>
      </c>
      <c r="BH94" s="1398">
        <f t="shared" si="231"/>
        <v>0</v>
      </c>
      <c r="BI94" s="1399">
        <f t="shared" si="232"/>
        <v>0</v>
      </c>
      <c r="BJ94" s="1334"/>
      <c r="BK94" s="1643"/>
      <c r="BL94" s="1334">
        <f t="shared" si="153"/>
        <v>3671634.2366159996</v>
      </c>
      <c r="BM94" s="1334">
        <f t="shared" si="153"/>
        <v>0</v>
      </c>
      <c r="BN94" s="1334">
        <f t="shared" si="153"/>
        <v>0</v>
      </c>
      <c r="BO94" s="1334">
        <f t="shared" si="153"/>
        <v>0</v>
      </c>
      <c r="BP94" s="1334">
        <f t="shared" si="153"/>
        <v>0</v>
      </c>
      <c r="BQ94" s="1334">
        <f t="shared" si="203"/>
        <v>3671634.2366159996</v>
      </c>
      <c r="BR94" s="1334">
        <f t="shared" si="204"/>
        <v>3671634.2366159996</v>
      </c>
      <c r="BS94" s="1334">
        <f t="shared" si="154"/>
        <v>2508588.5573760001</v>
      </c>
      <c r="BT94" s="1334">
        <f t="shared" si="154"/>
        <v>0</v>
      </c>
      <c r="BU94" s="1334">
        <f t="shared" si="154"/>
        <v>0</v>
      </c>
      <c r="BV94" s="1334">
        <f t="shared" si="205"/>
        <v>0</v>
      </c>
      <c r="BW94" s="1334">
        <f t="shared" si="157"/>
        <v>0</v>
      </c>
      <c r="BX94" s="1334">
        <f t="shared" si="206"/>
        <v>2508588.5573760001</v>
      </c>
      <c r="BY94" s="1334">
        <f t="shared" si="207"/>
        <v>2508588.5573760001</v>
      </c>
      <c r="BZ94" s="1389">
        <f t="shared" si="155"/>
        <v>0</v>
      </c>
      <c r="CA94" s="1389">
        <f t="shared" si="155"/>
        <v>0</v>
      </c>
      <c r="CB94" s="1389">
        <f t="shared" si="208"/>
        <v>0</v>
      </c>
      <c r="CC94" s="1420" t="e">
        <f t="shared" si="156"/>
        <v>#DIV/0!</v>
      </c>
      <c r="CD94" s="1420" t="e">
        <f t="shared" si="156"/>
        <v>#DIV/0!</v>
      </c>
      <c r="CE94" s="1420" t="e">
        <f t="shared" si="178"/>
        <v>#DIV/0!</v>
      </c>
      <c r="CF94" s="1389" t="e">
        <f t="shared" si="158"/>
        <v>#DIV/0!</v>
      </c>
      <c r="CG94" s="1421">
        <f t="shared" si="159"/>
        <v>0</v>
      </c>
      <c r="CH94" s="1421" t="e">
        <f t="shared" si="179"/>
        <v>#DIV/0!</v>
      </c>
      <c r="CI94" s="1389"/>
      <c r="CJ94" s="1756">
        <f t="shared" si="233"/>
        <v>3671.6342366159997</v>
      </c>
      <c r="CK94" s="1756">
        <f t="shared" si="160"/>
        <v>2508.5885573760002</v>
      </c>
      <c r="CL94" s="1756">
        <f t="shared" si="234"/>
        <v>6180.2227939919994</v>
      </c>
      <c r="CM94" s="1334">
        <f t="shared" si="180"/>
        <v>6671.5559227679996</v>
      </c>
      <c r="CN94" s="1334">
        <f t="shared" si="181"/>
        <v>491.33312877600019</v>
      </c>
      <c r="CO94" s="1334">
        <f t="shared" si="161"/>
        <v>6180222.7939919997</v>
      </c>
      <c r="CP94" s="1334">
        <f t="shared" si="162"/>
        <v>5884147.2890639994</v>
      </c>
      <c r="CQ94" s="1334">
        <f t="shared" si="163"/>
        <v>5884147.2890639994</v>
      </c>
      <c r="CR94" s="1334">
        <f t="shared" si="164"/>
        <v>3671634.2366159996</v>
      </c>
      <c r="CS94" s="1334">
        <f t="shared" si="165"/>
        <v>6671555.9227679996</v>
      </c>
      <c r="CT94" s="1334">
        <f t="shared" si="166"/>
        <v>6671555.9227679996</v>
      </c>
      <c r="CU94" s="1334">
        <f t="shared" si="167"/>
        <v>2508588.5573760001</v>
      </c>
      <c r="CV94" s="1334">
        <f t="shared" si="182"/>
        <v>12555703.211831998</v>
      </c>
      <c r="CW94" s="1422">
        <f t="shared" si="183"/>
        <v>7073.5319999999983</v>
      </c>
      <c r="CX94" s="1334">
        <f t="shared" si="168"/>
        <v>0</v>
      </c>
      <c r="CY94" s="1334">
        <f t="shared" si="169"/>
        <v>0</v>
      </c>
      <c r="CZ94" s="1334"/>
      <c r="DA94" s="1334">
        <f t="shared" si="170"/>
        <v>5884147.2890639994</v>
      </c>
      <c r="DB94" s="1334">
        <f t="shared" si="171"/>
        <v>6671555.9227679996</v>
      </c>
      <c r="DC94" s="1223"/>
      <c r="DD94" s="1224" t="e">
        <f t="shared" si="184"/>
        <v>#DIV/0!</v>
      </c>
      <c r="DE94" s="1223"/>
      <c r="DF94" s="1223"/>
      <c r="DG94" s="1223"/>
      <c r="DH94" s="1494"/>
      <c r="DI94" s="1494"/>
      <c r="DJ94" s="1494"/>
      <c r="DK94" s="1389"/>
      <c r="DL94" s="1419">
        <f t="shared" si="172"/>
        <v>0</v>
      </c>
      <c r="DM94" s="1419">
        <f t="shared" si="173"/>
        <v>0</v>
      </c>
      <c r="DN94" s="1419">
        <f t="shared" si="174"/>
        <v>0</v>
      </c>
      <c r="DO94" s="819"/>
      <c r="DP94" s="1315"/>
      <c r="DQ94" s="1315"/>
      <c r="DR94" s="1315"/>
      <c r="DS94" s="1315"/>
      <c r="DT94" s="1315"/>
      <c r="DU94" s="1315"/>
      <c r="DV94" s="1315"/>
      <c r="DW94" s="1315"/>
      <c r="DX94" s="1315"/>
      <c r="DY94" s="1315"/>
      <c r="DZ94" s="1315"/>
      <c r="EA94" s="1315"/>
      <c r="EB94" s="1315"/>
      <c r="EC94" s="1315"/>
      <c r="ED94" s="1315"/>
      <c r="EE94" s="1315"/>
      <c r="EF94" s="1315"/>
      <c r="EG94" s="1315"/>
      <c r="EH94" s="1315"/>
      <c r="EI94" s="1315"/>
      <c r="EJ94" s="1315"/>
      <c r="EK94" s="1315"/>
      <c r="EL94" s="1315"/>
    </row>
    <row r="95" spans="1:191" s="1313" customFormat="1" ht="78" hidden="1" customHeight="1">
      <c r="A95" s="6">
        <f t="shared" si="185"/>
        <v>82</v>
      </c>
      <c r="B95" s="1330"/>
      <c r="C95" s="1753" t="s">
        <v>117</v>
      </c>
      <c r="D95" s="1706" t="s">
        <v>141</v>
      </c>
      <c r="E95" s="1331">
        <v>4632024035</v>
      </c>
      <c r="F95" s="1330" t="s">
        <v>8</v>
      </c>
      <c r="G95" s="1682" t="s">
        <v>1034</v>
      </c>
      <c r="H95" s="1700">
        <v>3314.9639999999995</v>
      </c>
      <c r="I95" s="1701">
        <f t="shared" si="224"/>
        <v>3314.9639999999995</v>
      </c>
      <c r="J95" s="1335"/>
      <c r="K95" s="1335"/>
      <c r="L95" s="1700">
        <v>3314.9639999999995</v>
      </c>
      <c r="M95" s="1390"/>
      <c r="N95" s="1703">
        <f t="shared" si="225"/>
        <v>3758.5679999999998</v>
      </c>
      <c r="O95" s="1704">
        <f t="shared" si="226"/>
        <v>3758.5679999999998</v>
      </c>
      <c r="P95" s="1335"/>
      <c r="Q95" s="1335"/>
      <c r="R95" s="1335">
        <f t="shared" si="227"/>
        <v>3758.5679999999998</v>
      </c>
      <c r="S95" s="1390"/>
      <c r="T95" s="1751">
        <v>119.858</v>
      </c>
      <c r="U95" s="1810"/>
      <c r="V95" s="1810"/>
      <c r="W95" s="1334"/>
      <c r="X95" s="1334"/>
      <c r="Y95" s="1334"/>
      <c r="Z95" s="1393">
        <f t="shared" si="175"/>
        <v>119.858</v>
      </c>
      <c r="AA95" s="1752">
        <v>69.599999999999994</v>
      </c>
      <c r="AB95" s="1810"/>
      <c r="AC95" s="1810"/>
      <c r="AD95" s="1334"/>
      <c r="AE95" s="1334"/>
      <c r="AF95" s="1334"/>
      <c r="AG95" s="1395">
        <f t="shared" si="176"/>
        <v>69.599999999999994</v>
      </c>
      <c r="AH95" s="1391">
        <f t="shared" si="200"/>
        <v>189.458</v>
      </c>
      <c r="AI95" s="1334">
        <f t="shared" si="210"/>
        <v>189.458</v>
      </c>
      <c r="AJ95" s="1334">
        <f t="shared" si="210"/>
        <v>0</v>
      </c>
      <c r="AK95" s="1334">
        <f t="shared" si="210"/>
        <v>0</v>
      </c>
      <c r="AL95" s="1334">
        <f t="shared" si="210"/>
        <v>0</v>
      </c>
      <c r="AM95" s="1334">
        <f t="shared" si="210"/>
        <v>0</v>
      </c>
      <c r="AN95" s="1334"/>
      <c r="AO95" s="1334">
        <f t="shared" si="228"/>
        <v>189.458</v>
      </c>
      <c r="AP95" s="1334">
        <f t="shared" si="229"/>
        <v>189.458</v>
      </c>
      <c r="AQ95" s="1396">
        <f t="shared" si="145"/>
        <v>189.458</v>
      </c>
      <c r="AR95" s="1417">
        <f t="shared" si="177"/>
        <v>0</v>
      </c>
      <c r="AS95" s="1333">
        <f t="shared" si="212"/>
        <v>628046.44951199985</v>
      </c>
      <c r="AT95" s="1334">
        <f t="shared" si="212"/>
        <v>0</v>
      </c>
      <c r="AU95" s="1334">
        <f t="shared" si="212"/>
        <v>0</v>
      </c>
      <c r="AV95" s="1334">
        <f t="shared" si="212"/>
        <v>0</v>
      </c>
      <c r="AW95" s="1334">
        <f t="shared" si="212"/>
        <v>0</v>
      </c>
      <c r="AX95" s="1334">
        <f t="shared" si="146"/>
        <v>628046.44951199985</v>
      </c>
      <c r="AY95" s="1334">
        <f t="shared" si="147"/>
        <v>628046.44951199985</v>
      </c>
      <c r="AZ95" s="1334">
        <f t="shared" si="215"/>
        <v>712090.776144</v>
      </c>
      <c r="BA95" s="1334">
        <f t="shared" si="215"/>
        <v>0</v>
      </c>
      <c r="BB95" s="1334">
        <f t="shared" si="215"/>
        <v>0</v>
      </c>
      <c r="BC95" s="1334">
        <f t="shared" si="215"/>
        <v>0</v>
      </c>
      <c r="BD95" s="1334">
        <f t="shared" si="215"/>
        <v>0</v>
      </c>
      <c r="BE95" s="1334">
        <f t="shared" si="148"/>
        <v>712090.776144</v>
      </c>
      <c r="BF95" s="1396">
        <f t="shared" si="149"/>
        <v>712090.776144</v>
      </c>
      <c r="BG95" s="1397">
        <f t="shared" si="230"/>
        <v>0</v>
      </c>
      <c r="BH95" s="1398">
        <f t="shared" si="231"/>
        <v>0</v>
      </c>
      <c r="BI95" s="1399">
        <f t="shared" si="232"/>
        <v>0</v>
      </c>
      <c r="BJ95" s="1334"/>
      <c r="BK95" s="1643"/>
      <c r="BL95" s="1334">
        <f t="shared" si="153"/>
        <v>397324.95511199994</v>
      </c>
      <c r="BM95" s="1334">
        <f t="shared" si="153"/>
        <v>0</v>
      </c>
      <c r="BN95" s="1334">
        <f t="shared" si="153"/>
        <v>0</v>
      </c>
      <c r="BO95" s="1334">
        <f t="shared" si="153"/>
        <v>0</v>
      </c>
      <c r="BP95" s="1334">
        <f t="shared" si="153"/>
        <v>0</v>
      </c>
      <c r="BQ95" s="1334">
        <f t="shared" si="203"/>
        <v>397324.95511199994</v>
      </c>
      <c r="BR95" s="1334">
        <f t="shared" si="204"/>
        <v>397324.95511199994</v>
      </c>
      <c r="BS95" s="1334">
        <f t="shared" si="154"/>
        <v>261596.33279999997</v>
      </c>
      <c r="BT95" s="1334">
        <f t="shared" si="154"/>
        <v>0</v>
      </c>
      <c r="BU95" s="1334">
        <f t="shared" si="154"/>
        <v>0</v>
      </c>
      <c r="BV95" s="1334">
        <f t="shared" si="205"/>
        <v>0</v>
      </c>
      <c r="BW95" s="1334">
        <f t="shared" si="157"/>
        <v>0</v>
      </c>
      <c r="BX95" s="1334">
        <f t="shared" si="206"/>
        <v>261596.33279999997</v>
      </c>
      <c r="BY95" s="1334">
        <f t="shared" si="207"/>
        <v>261596.33279999997</v>
      </c>
      <c r="BZ95" s="1389">
        <f t="shared" si="155"/>
        <v>0</v>
      </c>
      <c r="CA95" s="1389">
        <f t="shared" si="155"/>
        <v>0</v>
      </c>
      <c r="CB95" s="1389">
        <f t="shared" si="208"/>
        <v>0</v>
      </c>
      <c r="CC95" s="1420" t="e">
        <f t="shared" si="156"/>
        <v>#DIV/0!</v>
      </c>
      <c r="CD95" s="1420" t="e">
        <f t="shared" si="156"/>
        <v>#DIV/0!</v>
      </c>
      <c r="CE95" s="1420" t="e">
        <f t="shared" si="178"/>
        <v>#DIV/0!</v>
      </c>
      <c r="CF95" s="1389" t="e">
        <f t="shared" si="158"/>
        <v>#DIV/0!</v>
      </c>
      <c r="CG95" s="1421">
        <f t="shared" si="159"/>
        <v>0</v>
      </c>
      <c r="CH95" s="1421" t="e">
        <f t="shared" si="179"/>
        <v>#DIV/0!</v>
      </c>
      <c r="CI95" s="1389"/>
      <c r="CJ95" s="1756">
        <f t="shared" si="233"/>
        <v>397.32495511199994</v>
      </c>
      <c r="CK95" s="1756">
        <f t="shared" si="160"/>
        <v>261.59633279999997</v>
      </c>
      <c r="CL95" s="1756">
        <f t="shared" si="234"/>
        <v>658.92128791199991</v>
      </c>
      <c r="CM95" s="1334">
        <f t="shared" si="180"/>
        <v>712.09077614399996</v>
      </c>
      <c r="CN95" s="1334">
        <f t="shared" si="181"/>
        <v>53.169488232000049</v>
      </c>
      <c r="CO95" s="1334">
        <f t="shared" si="161"/>
        <v>658921.28791199997</v>
      </c>
      <c r="CP95" s="1334">
        <f t="shared" si="162"/>
        <v>628046.44951199985</v>
      </c>
      <c r="CQ95" s="1334">
        <f t="shared" si="163"/>
        <v>628046.44951199985</v>
      </c>
      <c r="CR95" s="1334">
        <f t="shared" si="164"/>
        <v>397324.95511199994</v>
      </c>
      <c r="CS95" s="1334">
        <f t="shared" si="165"/>
        <v>712090.776144</v>
      </c>
      <c r="CT95" s="1334">
        <f t="shared" si="166"/>
        <v>712090.776144</v>
      </c>
      <c r="CU95" s="1334">
        <f t="shared" si="167"/>
        <v>261596.33279999997</v>
      </c>
      <c r="CV95" s="1334">
        <f t="shared" si="182"/>
        <v>1340137.225656</v>
      </c>
      <c r="CW95" s="1422">
        <f t="shared" si="183"/>
        <v>7073.5320000000002</v>
      </c>
      <c r="CX95" s="1334">
        <f t="shared" si="168"/>
        <v>0</v>
      </c>
      <c r="CY95" s="1334">
        <f t="shared" si="169"/>
        <v>0</v>
      </c>
      <c r="CZ95" s="1334"/>
      <c r="DA95" s="1334">
        <f t="shared" si="170"/>
        <v>628046.44951199985</v>
      </c>
      <c r="DB95" s="1334">
        <f t="shared" si="171"/>
        <v>712090.776144</v>
      </c>
      <c r="DC95" s="1223"/>
      <c r="DD95" s="1224" t="e">
        <f t="shared" si="184"/>
        <v>#DIV/0!</v>
      </c>
      <c r="DE95" s="1223"/>
      <c r="DF95" s="1223"/>
      <c r="DG95" s="1223"/>
      <c r="DH95" s="1494"/>
      <c r="DI95" s="1494"/>
      <c r="DJ95" s="1494"/>
      <c r="DK95" s="1389"/>
      <c r="DL95" s="1419">
        <f t="shared" si="172"/>
        <v>0</v>
      </c>
      <c r="DM95" s="1419">
        <f t="shared" si="173"/>
        <v>0</v>
      </c>
      <c r="DN95" s="1419">
        <f t="shared" si="174"/>
        <v>0</v>
      </c>
      <c r="DO95" s="819"/>
      <c r="DP95" s="1315"/>
      <c r="DQ95" s="1315"/>
      <c r="DR95" s="1315"/>
      <c r="DS95" s="1315"/>
      <c r="DT95" s="1315"/>
      <c r="DU95" s="1315"/>
      <c r="DV95" s="1315"/>
      <c r="DW95" s="1315"/>
      <c r="DX95" s="1315"/>
      <c r="DY95" s="1315"/>
      <c r="DZ95" s="1315"/>
      <c r="EA95" s="1315"/>
      <c r="EB95" s="1315"/>
      <c r="EC95" s="1315"/>
      <c r="ED95" s="1315"/>
      <c r="EE95" s="1315"/>
      <c r="EF95" s="1315"/>
      <c r="EG95" s="1315"/>
      <c r="EH95" s="1315"/>
      <c r="EI95" s="1315"/>
      <c r="EJ95" s="1315"/>
      <c r="EK95" s="1315"/>
      <c r="EL95" s="1315"/>
    </row>
    <row r="96" spans="1:191" s="1313" customFormat="1" ht="82.5" hidden="1" customHeight="1">
      <c r="A96" s="6">
        <f t="shared" si="185"/>
        <v>83</v>
      </c>
      <c r="B96" s="1353" t="s">
        <v>169</v>
      </c>
      <c r="C96" s="1753" t="s">
        <v>118</v>
      </c>
      <c r="D96" s="1706" t="s">
        <v>141</v>
      </c>
      <c r="E96" s="1331">
        <v>4632024035</v>
      </c>
      <c r="F96" s="1330" t="s">
        <v>8</v>
      </c>
      <c r="G96" s="1682" t="s">
        <v>1034</v>
      </c>
      <c r="H96" s="1700">
        <v>3314.9639999999995</v>
      </c>
      <c r="I96" s="1701">
        <f t="shared" si="224"/>
        <v>3314.9639999999995</v>
      </c>
      <c r="J96" s="1335"/>
      <c r="K96" s="1335"/>
      <c r="L96" s="1700">
        <v>3314.9639999999995</v>
      </c>
      <c r="M96" s="1390"/>
      <c r="N96" s="1703">
        <f t="shared" si="225"/>
        <v>3758.5679999999998</v>
      </c>
      <c r="O96" s="1704">
        <f t="shared" si="226"/>
        <v>3758.5679999999998</v>
      </c>
      <c r="P96" s="1335"/>
      <c r="Q96" s="1335"/>
      <c r="R96" s="1335">
        <f t="shared" si="227"/>
        <v>3758.5679999999998</v>
      </c>
      <c r="S96" s="1390"/>
      <c r="T96" s="1751">
        <v>659.22</v>
      </c>
      <c r="U96" s="1810"/>
      <c r="V96" s="1810"/>
      <c r="W96" s="1334"/>
      <c r="X96" s="1334"/>
      <c r="Y96" s="1334"/>
      <c r="Z96" s="1393">
        <f t="shared" si="175"/>
        <v>659.22</v>
      </c>
      <c r="AA96" s="1752">
        <v>382.8</v>
      </c>
      <c r="AB96" s="1810"/>
      <c r="AC96" s="1810"/>
      <c r="AD96" s="1334"/>
      <c r="AE96" s="1334"/>
      <c r="AF96" s="1334"/>
      <c r="AG96" s="1395">
        <f t="shared" si="176"/>
        <v>382.8</v>
      </c>
      <c r="AH96" s="1391">
        <f t="shared" si="200"/>
        <v>1042.02</v>
      </c>
      <c r="AI96" s="1334">
        <f t="shared" si="210"/>
        <v>1042.02</v>
      </c>
      <c r="AJ96" s="1334">
        <f t="shared" si="210"/>
        <v>0</v>
      </c>
      <c r="AK96" s="1334">
        <f t="shared" si="210"/>
        <v>0</v>
      </c>
      <c r="AL96" s="1334">
        <f t="shared" si="210"/>
        <v>0</v>
      </c>
      <c r="AM96" s="1334">
        <f t="shared" si="210"/>
        <v>0</v>
      </c>
      <c r="AN96" s="1334"/>
      <c r="AO96" s="1334">
        <f t="shared" si="228"/>
        <v>1042.02</v>
      </c>
      <c r="AP96" s="1334">
        <f t="shared" si="229"/>
        <v>1042.02</v>
      </c>
      <c r="AQ96" s="1396">
        <f t="shared" si="145"/>
        <v>1042.02</v>
      </c>
      <c r="AR96" s="1417">
        <f t="shared" si="177"/>
        <v>0</v>
      </c>
      <c r="AS96" s="1333">
        <f t="shared" si="212"/>
        <v>3454258.7872799993</v>
      </c>
      <c r="AT96" s="1334">
        <f t="shared" si="212"/>
        <v>0</v>
      </c>
      <c r="AU96" s="1334">
        <f t="shared" si="212"/>
        <v>0</v>
      </c>
      <c r="AV96" s="1334">
        <f t="shared" si="212"/>
        <v>0</v>
      </c>
      <c r="AW96" s="1334">
        <f t="shared" si="212"/>
        <v>0</v>
      </c>
      <c r="AX96" s="1334">
        <f t="shared" si="146"/>
        <v>3454258.7872799993</v>
      </c>
      <c r="AY96" s="1334">
        <f t="shared" si="147"/>
        <v>3454258.7872799993</v>
      </c>
      <c r="AZ96" s="1334">
        <f t="shared" si="215"/>
        <v>3916503.0273599997</v>
      </c>
      <c r="BA96" s="1334">
        <f t="shared" si="215"/>
        <v>0</v>
      </c>
      <c r="BB96" s="1334">
        <f t="shared" si="215"/>
        <v>0</v>
      </c>
      <c r="BC96" s="1334">
        <f t="shared" si="215"/>
        <v>0</v>
      </c>
      <c r="BD96" s="1334">
        <f t="shared" si="215"/>
        <v>0</v>
      </c>
      <c r="BE96" s="1334">
        <f t="shared" si="148"/>
        <v>3916503.0273599997</v>
      </c>
      <c r="BF96" s="1396">
        <f t="shared" si="149"/>
        <v>3916503.0273599997</v>
      </c>
      <c r="BG96" s="1397">
        <f t="shared" si="230"/>
        <v>0</v>
      </c>
      <c r="BH96" s="1398">
        <f t="shared" si="231"/>
        <v>0</v>
      </c>
      <c r="BI96" s="1399">
        <f t="shared" si="232"/>
        <v>0</v>
      </c>
      <c r="BJ96" s="1334"/>
      <c r="BK96" s="1643"/>
      <c r="BL96" s="1334">
        <f t="shared" si="153"/>
        <v>2185290.5680799996</v>
      </c>
      <c r="BM96" s="1334">
        <f t="shared" si="153"/>
        <v>0</v>
      </c>
      <c r="BN96" s="1334">
        <f t="shared" si="153"/>
        <v>0</v>
      </c>
      <c r="BO96" s="1334">
        <f t="shared" si="153"/>
        <v>0</v>
      </c>
      <c r="BP96" s="1334">
        <f t="shared" si="153"/>
        <v>0</v>
      </c>
      <c r="BQ96" s="1334">
        <f t="shared" si="203"/>
        <v>2185290.5680799996</v>
      </c>
      <c r="BR96" s="1334">
        <f t="shared" si="204"/>
        <v>2185290.5680799996</v>
      </c>
      <c r="BS96" s="1334">
        <f t="shared" si="154"/>
        <v>1438779.8303999999</v>
      </c>
      <c r="BT96" s="1334">
        <f t="shared" si="154"/>
        <v>0</v>
      </c>
      <c r="BU96" s="1334">
        <f t="shared" si="154"/>
        <v>0</v>
      </c>
      <c r="BV96" s="1334">
        <f t="shared" si="205"/>
        <v>0</v>
      </c>
      <c r="BW96" s="1334">
        <f t="shared" si="157"/>
        <v>0</v>
      </c>
      <c r="BX96" s="1334">
        <f t="shared" si="206"/>
        <v>1438779.8303999999</v>
      </c>
      <c r="BY96" s="1334">
        <f t="shared" si="207"/>
        <v>1438779.8303999999</v>
      </c>
      <c r="BZ96" s="1389">
        <f t="shared" si="155"/>
        <v>0</v>
      </c>
      <c r="CA96" s="1389">
        <f t="shared" si="155"/>
        <v>0</v>
      </c>
      <c r="CB96" s="1389">
        <f t="shared" si="208"/>
        <v>0</v>
      </c>
      <c r="CC96" s="1420" t="e">
        <f t="shared" si="156"/>
        <v>#DIV/0!</v>
      </c>
      <c r="CD96" s="1420" t="e">
        <f t="shared" si="156"/>
        <v>#DIV/0!</v>
      </c>
      <c r="CE96" s="1420" t="e">
        <f t="shared" si="178"/>
        <v>#DIV/0!</v>
      </c>
      <c r="CF96" s="1389" t="e">
        <f t="shared" si="158"/>
        <v>#DIV/0!</v>
      </c>
      <c r="CG96" s="1421">
        <f t="shared" si="159"/>
        <v>0</v>
      </c>
      <c r="CH96" s="1421" t="e">
        <f t="shared" si="179"/>
        <v>#DIV/0!</v>
      </c>
      <c r="CI96" s="1389"/>
      <c r="CJ96" s="1756">
        <f t="shared" si="233"/>
        <v>2185.2905680799995</v>
      </c>
      <c r="CK96" s="1756">
        <f t="shared" si="160"/>
        <v>1438.7798303999998</v>
      </c>
      <c r="CL96" s="1756">
        <f t="shared" si="234"/>
        <v>3624.0703984799993</v>
      </c>
      <c r="CM96" s="1334">
        <f t="shared" si="180"/>
        <v>3916.5030273599996</v>
      </c>
      <c r="CN96" s="1334">
        <f t="shared" si="181"/>
        <v>292.43262888000027</v>
      </c>
      <c r="CO96" s="1334">
        <f t="shared" si="161"/>
        <v>3624070.3984799995</v>
      </c>
      <c r="CP96" s="1334">
        <f t="shared" si="162"/>
        <v>3454258.7872799993</v>
      </c>
      <c r="CQ96" s="1334">
        <f t="shared" si="163"/>
        <v>3454258.7872799993</v>
      </c>
      <c r="CR96" s="1334">
        <f t="shared" si="164"/>
        <v>2185290.5680799996</v>
      </c>
      <c r="CS96" s="1334">
        <f t="shared" si="165"/>
        <v>3916503.0273599997</v>
      </c>
      <c r="CT96" s="1334">
        <f t="shared" si="166"/>
        <v>3916503.0273599997</v>
      </c>
      <c r="CU96" s="1334">
        <f t="shared" si="167"/>
        <v>1438779.8303999999</v>
      </c>
      <c r="CV96" s="1334">
        <f t="shared" si="182"/>
        <v>7370761.8146399986</v>
      </c>
      <c r="CW96" s="1422">
        <f t="shared" si="183"/>
        <v>7073.5319999999983</v>
      </c>
      <c r="CX96" s="1334">
        <f t="shared" si="168"/>
        <v>0</v>
      </c>
      <c r="CY96" s="1334">
        <f t="shared" si="169"/>
        <v>0</v>
      </c>
      <c r="CZ96" s="1334"/>
      <c r="DA96" s="1334">
        <f t="shared" si="170"/>
        <v>3454258.7872799993</v>
      </c>
      <c r="DB96" s="1334">
        <f t="shared" si="171"/>
        <v>3916503.0273599997</v>
      </c>
      <c r="DC96" s="1223"/>
      <c r="DD96" s="1224" t="e">
        <f t="shared" si="184"/>
        <v>#DIV/0!</v>
      </c>
      <c r="DE96" s="1223"/>
      <c r="DF96" s="1223"/>
      <c r="DG96" s="1223"/>
      <c r="DH96" s="1494"/>
      <c r="DI96" s="1494"/>
      <c r="DJ96" s="1494"/>
      <c r="DK96" s="1389"/>
      <c r="DL96" s="1419">
        <f t="shared" si="172"/>
        <v>0</v>
      </c>
      <c r="DM96" s="1419">
        <f t="shared" si="173"/>
        <v>0</v>
      </c>
      <c r="DN96" s="1419">
        <f t="shared" si="174"/>
        <v>0</v>
      </c>
      <c r="DO96" s="819"/>
      <c r="DP96" s="1315"/>
      <c r="DQ96" s="1315"/>
      <c r="DR96" s="1315"/>
      <c r="DS96" s="1315"/>
      <c r="DT96" s="1315"/>
      <c r="DU96" s="1315"/>
      <c r="DV96" s="1315"/>
      <c r="DW96" s="1315"/>
      <c r="DX96" s="1315"/>
      <c r="DY96" s="1315"/>
      <c r="DZ96" s="1315"/>
      <c r="EA96" s="1315"/>
      <c r="EB96" s="1315"/>
      <c r="EC96" s="1315"/>
      <c r="ED96" s="1315"/>
      <c r="EE96" s="1315"/>
      <c r="EF96" s="1315"/>
      <c r="EG96" s="1315"/>
      <c r="EH96" s="1315"/>
      <c r="EI96" s="1315"/>
      <c r="EJ96" s="1315"/>
      <c r="EK96" s="1315"/>
      <c r="EL96" s="1315"/>
    </row>
    <row r="97" spans="1:142" s="50" customFormat="1" ht="78" hidden="1" customHeight="1">
      <c r="A97" s="6">
        <f t="shared" si="185"/>
        <v>84</v>
      </c>
      <c r="B97" s="1353"/>
      <c r="C97" s="1330"/>
      <c r="D97" s="1669" t="s">
        <v>140</v>
      </c>
      <c r="E97" s="1330">
        <v>4622005001</v>
      </c>
      <c r="F97" s="1330" t="s">
        <v>8</v>
      </c>
      <c r="G97" s="1332" t="s">
        <v>1018</v>
      </c>
      <c r="H97" s="1693">
        <v>3727.67</v>
      </c>
      <c r="I97" s="1694">
        <v>3727.67</v>
      </c>
      <c r="J97" s="1335">
        <v>3727.67</v>
      </c>
      <c r="K97" s="1335">
        <v>0</v>
      </c>
      <c r="L97" s="1335">
        <v>0</v>
      </c>
      <c r="M97" s="1336">
        <v>0</v>
      </c>
      <c r="N97" s="1667">
        <v>4263.22</v>
      </c>
      <c r="O97" s="1428">
        <v>4263.22</v>
      </c>
      <c r="P97" s="1428">
        <v>4263.22</v>
      </c>
      <c r="Q97" s="1339">
        <v>0</v>
      </c>
      <c r="R97" s="1335">
        <v>0</v>
      </c>
      <c r="S97" s="1336">
        <v>0</v>
      </c>
      <c r="T97" s="1404">
        <v>726</v>
      </c>
      <c r="U97" s="1363">
        <v>82.8</v>
      </c>
      <c r="V97" s="1341">
        <v>0</v>
      </c>
      <c r="W97" s="1341">
        <v>0</v>
      </c>
      <c r="X97" s="1341">
        <v>0</v>
      </c>
      <c r="Y97" s="1341">
        <v>0</v>
      </c>
      <c r="Z97" s="1364">
        <f>SUM(T97:W97)</f>
        <v>808.8</v>
      </c>
      <c r="AA97" s="1405">
        <v>484</v>
      </c>
      <c r="AB97" s="1363">
        <v>55.2</v>
      </c>
      <c r="AC97" s="1341">
        <v>0</v>
      </c>
      <c r="AD97" s="1341">
        <v>0</v>
      </c>
      <c r="AE97" s="1341">
        <v>0</v>
      </c>
      <c r="AF97" s="1341">
        <v>0</v>
      </c>
      <c r="AG97" s="1458">
        <f t="shared" si="176"/>
        <v>539.20000000000005</v>
      </c>
      <c r="AH97" s="1404">
        <f t="shared" si="200"/>
        <v>1348</v>
      </c>
      <c r="AI97" s="1363">
        <f t="shared" si="210"/>
        <v>1210</v>
      </c>
      <c r="AJ97" s="1363">
        <f t="shared" si="210"/>
        <v>138</v>
      </c>
      <c r="AK97" s="1341">
        <f t="shared" si="210"/>
        <v>0</v>
      </c>
      <c r="AL97" s="1341">
        <f t="shared" si="210"/>
        <v>0</v>
      </c>
      <c r="AM97" s="1341">
        <f t="shared" si="210"/>
        <v>0</v>
      </c>
      <c r="AN97" s="1341"/>
      <c r="AO97" s="1363">
        <f t="shared" si="228"/>
        <v>1348</v>
      </c>
      <c r="AP97" s="1363">
        <f t="shared" si="229"/>
        <v>1348</v>
      </c>
      <c r="AQ97" s="1364">
        <f t="shared" si="145"/>
        <v>1348</v>
      </c>
      <c r="AR97" s="1346">
        <f t="shared" si="177"/>
        <v>0</v>
      </c>
      <c r="AS97" s="1404">
        <f t="shared" si="212"/>
        <v>4510480.7</v>
      </c>
      <c r="AT97" s="1341">
        <f t="shared" si="212"/>
        <v>514418.46</v>
      </c>
      <c r="AU97" s="1341">
        <f t="shared" si="212"/>
        <v>0</v>
      </c>
      <c r="AV97" s="1341">
        <f t="shared" si="212"/>
        <v>0</v>
      </c>
      <c r="AW97" s="1341">
        <f t="shared" si="212"/>
        <v>0</v>
      </c>
      <c r="AX97" s="1341">
        <f t="shared" si="146"/>
        <v>5024899.16</v>
      </c>
      <c r="AY97" s="1341">
        <f t="shared" si="147"/>
        <v>5024899.16</v>
      </c>
      <c r="AZ97" s="1363">
        <f t="shared" si="215"/>
        <v>5158496.2</v>
      </c>
      <c r="BA97" s="1341">
        <f t="shared" si="215"/>
        <v>588324.36</v>
      </c>
      <c r="BB97" s="1341">
        <f t="shared" si="215"/>
        <v>0</v>
      </c>
      <c r="BC97" s="1341">
        <f t="shared" si="215"/>
        <v>0</v>
      </c>
      <c r="BD97" s="1341">
        <f t="shared" si="215"/>
        <v>0</v>
      </c>
      <c r="BE97" s="1341">
        <f t="shared" si="148"/>
        <v>5746820.5600000005</v>
      </c>
      <c r="BF97" s="1345">
        <f t="shared" si="149"/>
        <v>5746820.5600000005</v>
      </c>
      <c r="BG97" s="1348">
        <v>0</v>
      </c>
      <c r="BH97" s="1341">
        <v>0</v>
      </c>
      <c r="BI97" s="1341">
        <f t="shared" si="143"/>
        <v>0</v>
      </c>
      <c r="BJ97" s="1341">
        <v>5313.67</v>
      </c>
      <c r="BK97" s="1638"/>
      <c r="BL97" s="1341">
        <f t="shared" si="153"/>
        <v>2706288.42</v>
      </c>
      <c r="BM97" s="1341">
        <f t="shared" si="153"/>
        <v>308651.076</v>
      </c>
      <c r="BN97" s="1341">
        <f t="shared" si="153"/>
        <v>0</v>
      </c>
      <c r="BO97" s="1341">
        <f t="shared" si="153"/>
        <v>0</v>
      </c>
      <c r="BP97" s="1341">
        <f t="shared" si="153"/>
        <v>0</v>
      </c>
      <c r="BQ97" s="1341">
        <f t="shared" si="203"/>
        <v>3014939.4959999998</v>
      </c>
      <c r="BR97" s="1341">
        <f t="shared" si="204"/>
        <v>3014939.4959999998</v>
      </c>
      <c r="BS97" s="1341">
        <f t="shared" si="154"/>
        <v>2063398.4800000002</v>
      </c>
      <c r="BT97" s="1341">
        <f t="shared" si="154"/>
        <v>235329.74400000004</v>
      </c>
      <c r="BU97" s="1341">
        <f t="shared" si="154"/>
        <v>0</v>
      </c>
      <c r="BV97" s="1341">
        <f t="shared" si="205"/>
        <v>0</v>
      </c>
      <c r="BW97" s="1341">
        <f t="shared" si="157"/>
        <v>0</v>
      </c>
      <c r="BX97" s="1341">
        <f t="shared" si="206"/>
        <v>2298728.2240000004</v>
      </c>
      <c r="BY97" s="1341">
        <f t="shared" si="207"/>
        <v>2298728.2240000004</v>
      </c>
      <c r="BZ97" s="1349">
        <f t="shared" si="155"/>
        <v>543980.82000000007</v>
      </c>
      <c r="CA97" s="1349">
        <f t="shared" si="155"/>
        <v>0</v>
      </c>
      <c r="CB97" s="1349">
        <f t="shared" si="208"/>
        <v>543980.82000000007</v>
      </c>
      <c r="CC97" s="1351">
        <f t="shared" si="156"/>
        <v>3941.8900000000003</v>
      </c>
      <c r="CD97" s="1351" t="e">
        <f t="shared" si="156"/>
        <v>#DIV/0!</v>
      </c>
      <c r="CE97" s="1351">
        <f t="shared" si="178"/>
        <v>3941.8900000000003</v>
      </c>
      <c r="CF97" s="1349">
        <f t="shared" si="158"/>
        <v>3941.8900000000003</v>
      </c>
      <c r="CG97" s="1367">
        <f t="shared" si="159"/>
        <v>543980.82000000007</v>
      </c>
      <c r="CH97" s="1367">
        <f t="shared" si="179"/>
        <v>3941.8900000000003</v>
      </c>
      <c r="CI97" s="1349"/>
      <c r="CJ97" s="1341">
        <f t="shared" si="211"/>
        <v>3448.0923360000002</v>
      </c>
      <c r="CK97" s="1341">
        <f t="shared" si="160"/>
        <v>2298.7282240000004</v>
      </c>
      <c r="CL97" s="1341">
        <f t="shared" si="194"/>
        <v>5746.8205600000001</v>
      </c>
      <c r="CM97" s="1341">
        <f t="shared" si="180"/>
        <v>5746.8205600000001</v>
      </c>
      <c r="CN97" s="1341">
        <f t="shared" si="181"/>
        <v>0</v>
      </c>
      <c r="CO97" s="1341">
        <f t="shared" si="161"/>
        <v>5313667.7200000007</v>
      </c>
      <c r="CP97" s="1341">
        <f t="shared" si="162"/>
        <v>5024899.16</v>
      </c>
      <c r="CQ97" s="1341">
        <f t="shared" si="163"/>
        <v>5024899.16</v>
      </c>
      <c r="CR97" s="1341">
        <f t="shared" si="164"/>
        <v>3014939.4959999998</v>
      </c>
      <c r="CS97" s="1341">
        <f t="shared" si="165"/>
        <v>5746820.5600000005</v>
      </c>
      <c r="CT97" s="1341">
        <f t="shared" si="166"/>
        <v>5746820.5600000005</v>
      </c>
      <c r="CU97" s="1341">
        <f t="shared" si="167"/>
        <v>2298728.2240000004</v>
      </c>
      <c r="CV97" s="1341">
        <f t="shared" si="182"/>
        <v>10771719.720000001</v>
      </c>
      <c r="CW97" s="1350">
        <f t="shared" si="183"/>
        <v>7990.89</v>
      </c>
      <c r="CX97" s="1341">
        <f t="shared" si="168"/>
        <v>514418.46</v>
      </c>
      <c r="CY97" s="1341">
        <f t="shared" si="169"/>
        <v>588324.36</v>
      </c>
      <c r="CZ97" s="1341"/>
      <c r="DA97" s="1341">
        <f t="shared" si="170"/>
        <v>5024899.16</v>
      </c>
      <c r="DB97" s="1341">
        <f t="shared" si="171"/>
        <v>5746820.5600000005</v>
      </c>
      <c r="DC97" s="27"/>
      <c r="DD97" s="40">
        <f t="shared" si="184"/>
        <v>114.36688333462995</v>
      </c>
      <c r="DE97" s="27"/>
      <c r="DF97" s="27"/>
      <c r="DG97" s="27"/>
      <c r="DH97" s="1487">
        <v>1348</v>
      </c>
      <c r="DI97" s="1487">
        <v>138</v>
      </c>
      <c r="DJ97" s="1487">
        <f t="shared" si="195"/>
        <v>1210</v>
      </c>
      <c r="DK97" s="1349"/>
      <c r="DL97" s="1352">
        <f t="shared" si="172"/>
        <v>0</v>
      </c>
      <c r="DM97" s="1352">
        <f t="shared" si="173"/>
        <v>0</v>
      </c>
      <c r="DN97" s="1352">
        <f t="shared" si="174"/>
        <v>0</v>
      </c>
      <c r="DO97" s="6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</row>
    <row r="98" spans="1:142" s="50" customFormat="1" ht="78.75" hidden="1" customHeight="1">
      <c r="A98" s="6">
        <f t="shared" si="185"/>
        <v>85</v>
      </c>
      <c r="B98" s="1400" t="s">
        <v>34</v>
      </c>
      <c r="C98" s="1400" t="s">
        <v>66</v>
      </c>
      <c r="D98" s="1669" t="s">
        <v>35</v>
      </c>
      <c r="E98" s="1330">
        <v>4623002116</v>
      </c>
      <c r="F98" s="1330" t="s">
        <v>8</v>
      </c>
      <c r="G98" s="1332" t="s">
        <v>1003</v>
      </c>
      <c r="H98" s="1369">
        <v>3470.07</v>
      </c>
      <c r="I98" s="1335">
        <v>3470.07</v>
      </c>
      <c r="J98" s="1335">
        <v>3470.07</v>
      </c>
      <c r="K98" s="1335">
        <v>0</v>
      </c>
      <c r="L98" s="1335">
        <v>3470.07</v>
      </c>
      <c r="M98" s="1390">
        <v>0</v>
      </c>
      <c r="N98" s="1403">
        <v>3700.05</v>
      </c>
      <c r="O98" s="1335">
        <v>3700.05</v>
      </c>
      <c r="P98" s="1335">
        <v>3700.05</v>
      </c>
      <c r="Q98" s="1335">
        <v>0</v>
      </c>
      <c r="R98" s="1335">
        <v>3700.05</v>
      </c>
      <c r="S98" s="1390">
        <v>0</v>
      </c>
      <c r="T98" s="1404">
        <v>2741.6</v>
      </c>
      <c r="U98" s="1341">
        <v>0</v>
      </c>
      <c r="V98" s="1341">
        <v>0</v>
      </c>
      <c r="W98" s="1363">
        <v>46.1</v>
      </c>
      <c r="X98" s="1341"/>
      <c r="Y98" s="1341"/>
      <c r="Z98" s="1364">
        <f>SUM(T98:W98)</f>
        <v>2787.7</v>
      </c>
      <c r="AA98" s="1404">
        <v>2179.8000000000002</v>
      </c>
      <c r="AB98" s="1341">
        <v>0</v>
      </c>
      <c r="AC98" s="1341">
        <v>0</v>
      </c>
      <c r="AD98" s="1363">
        <v>41.7</v>
      </c>
      <c r="AE98" s="1341"/>
      <c r="AF98" s="1341">
        <v>0</v>
      </c>
      <c r="AG98" s="1458">
        <f t="shared" si="176"/>
        <v>2221.5</v>
      </c>
      <c r="AH98" s="1404">
        <f t="shared" si="200"/>
        <v>5009.2</v>
      </c>
      <c r="AI98" s="1363">
        <f t="shared" si="210"/>
        <v>4921.3999999999996</v>
      </c>
      <c r="AJ98" s="1341">
        <f t="shared" si="210"/>
        <v>0</v>
      </c>
      <c r="AK98" s="1341">
        <f t="shared" si="210"/>
        <v>0</v>
      </c>
      <c r="AL98" s="1363">
        <f t="shared" si="210"/>
        <v>87.800000000000011</v>
      </c>
      <c r="AM98" s="1341">
        <f t="shared" si="210"/>
        <v>0</v>
      </c>
      <c r="AN98" s="1341"/>
      <c r="AO98" s="1363">
        <f t="shared" si="228"/>
        <v>5009.2</v>
      </c>
      <c r="AP98" s="1363">
        <f t="shared" si="229"/>
        <v>5009.2</v>
      </c>
      <c r="AQ98" s="1364">
        <f t="shared" si="145"/>
        <v>5009.2</v>
      </c>
      <c r="AR98" s="1346">
        <f t="shared" si="177"/>
        <v>0</v>
      </c>
      <c r="AS98" s="1347">
        <f t="shared" si="212"/>
        <v>17077602.498</v>
      </c>
      <c r="AT98" s="1341">
        <f t="shared" si="212"/>
        <v>0</v>
      </c>
      <c r="AU98" s="1341">
        <f t="shared" si="212"/>
        <v>0</v>
      </c>
      <c r="AV98" s="1341">
        <f t="shared" si="212"/>
        <v>304672.14600000007</v>
      </c>
      <c r="AW98" s="1341">
        <f t="shared" si="212"/>
        <v>0</v>
      </c>
      <c r="AX98" s="1341">
        <f t="shared" si="146"/>
        <v>17382274.644000001</v>
      </c>
      <c r="AY98" s="1341">
        <f t="shared" si="147"/>
        <v>17382274.644000001</v>
      </c>
      <c r="AZ98" s="1341">
        <f t="shared" si="215"/>
        <v>18209426.07</v>
      </c>
      <c r="BA98" s="1341">
        <f t="shared" si="215"/>
        <v>0</v>
      </c>
      <c r="BB98" s="1341">
        <f t="shared" si="215"/>
        <v>0</v>
      </c>
      <c r="BC98" s="1341">
        <f t="shared" si="215"/>
        <v>324864.39000000007</v>
      </c>
      <c r="BD98" s="1341">
        <f t="shared" si="215"/>
        <v>0</v>
      </c>
      <c r="BE98" s="1341">
        <f t="shared" si="148"/>
        <v>18534290.460000001</v>
      </c>
      <c r="BF98" s="1345">
        <f t="shared" si="149"/>
        <v>18534290.460000001</v>
      </c>
      <c r="BG98" s="1348">
        <v>0</v>
      </c>
      <c r="BH98" s="1341">
        <v>0</v>
      </c>
      <c r="BI98" s="1341">
        <f t="shared" si="143"/>
        <v>0</v>
      </c>
      <c r="BJ98" s="1341">
        <v>35083.42</v>
      </c>
      <c r="BK98" s="1638"/>
      <c r="BL98" s="1341">
        <f t="shared" si="153"/>
        <v>9513543.9120000005</v>
      </c>
      <c r="BM98" s="1341">
        <f t="shared" si="153"/>
        <v>0</v>
      </c>
      <c r="BN98" s="1341">
        <f t="shared" si="153"/>
        <v>0</v>
      </c>
      <c r="BO98" s="1341">
        <f t="shared" si="153"/>
        <v>159970.22700000001</v>
      </c>
      <c r="BP98" s="1341">
        <f t="shared" si="153"/>
        <v>0</v>
      </c>
      <c r="BQ98" s="1341">
        <f t="shared" si="203"/>
        <v>9673514.1390000004</v>
      </c>
      <c r="BR98" s="1341">
        <f t="shared" si="204"/>
        <v>9673514.1390000004</v>
      </c>
      <c r="BS98" s="1341">
        <f t="shared" si="154"/>
        <v>8065368.9900000012</v>
      </c>
      <c r="BT98" s="1341">
        <f t="shared" si="154"/>
        <v>0</v>
      </c>
      <c r="BU98" s="1341">
        <f t="shared" si="154"/>
        <v>0</v>
      </c>
      <c r="BV98" s="1341">
        <f t="shared" si="205"/>
        <v>170572.30500000002</v>
      </c>
      <c r="BW98" s="1341">
        <f t="shared" si="157"/>
        <v>0</v>
      </c>
      <c r="BX98" s="1341">
        <f t="shared" si="206"/>
        <v>8235941.2950000009</v>
      </c>
      <c r="BY98" s="1341">
        <f t="shared" si="207"/>
        <v>8235941.2950000009</v>
      </c>
      <c r="BZ98" s="1349">
        <f t="shared" si="155"/>
        <v>0</v>
      </c>
      <c r="CA98" s="1349">
        <f t="shared" si="155"/>
        <v>0</v>
      </c>
      <c r="CB98" s="1349">
        <f t="shared" si="208"/>
        <v>0</v>
      </c>
      <c r="CC98" s="1351" t="e">
        <f t="shared" si="156"/>
        <v>#DIV/0!</v>
      </c>
      <c r="CD98" s="1351" t="e">
        <f t="shared" si="156"/>
        <v>#DIV/0!</v>
      </c>
      <c r="CE98" s="1351" t="e">
        <f t="shared" si="178"/>
        <v>#DIV/0!</v>
      </c>
      <c r="CF98" s="1351" t="e">
        <f t="shared" si="158"/>
        <v>#DIV/0!</v>
      </c>
      <c r="CG98" s="1367">
        <f t="shared" si="159"/>
        <v>0</v>
      </c>
      <c r="CH98" s="1367" t="e">
        <f t="shared" si="179"/>
        <v>#DIV/0!</v>
      </c>
      <c r="CI98" s="1423"/>
      <c r="CJ98" s="1341">
        <f t="shared" si="211"/>
        <v>10314.629385</v>
      </c>
      <c r="CK98" s="1341">
        <f t="shared" si="160"/>
        <v>8219.661075</v>
      </c>
      <c r="CL98" s="1341">
        <f t="shared" si="194"/>
        <v>18534.29046</v>
      </c>
      <c r="CM98" s="1341">
        <f t="shared" si="180"/>
        <v>18534.29046</v>
      </c>
      <c r="CN98" s="1341">
        <f t="shared" si="181"/>
        <v>0</v>
      </c>
      <c r="CO98" s="1341">
        <f t="shared" si="161"/>
        <v>17893175.214000002</v>
      </c>
      <c r="CP98" s="1341">
        <f t="shared" si="162"/>
        <v>17382274.644000001</v>
      </c>
      <c r="CQ98" s="1341">
        <f t="shared" si="163"/>
        <v>17382274.644000001</v>
      </c>
      <c r="CR98" s="1341">
        <f t="shared" si="164"/>
        <v>9673514.1390000004</v>
      </c>
      <c r="CS98" s="1341">
        <f t="shared" si="165"/>
        <v>18534290.460000001</v>
      </c>
      <c r="CT98" s="1341">
        <f t="shared" si="166"/>
        <v>18534290.460000001</v>
      </c>
      <c r="CU98" s="1341">
        <f t="shared" si="167"/>
        <v>8219661.0750000011</v>
      </c>
      <c r="CV98" s="1341">
        <f t="shared" si="182"/>
        <v>35916565.104000002</v>
      </c>
      <c r="CW98" s="1350">
        <f t="shared" si="183"/>
        <v>7170.1200000000008</v>
      </c>
      <c r="CX98" s="1341">
        <f t="shared" si="168"/>
        <v>0</v>
      </c>
      <c r="CY98" s="1341">
        <f t="shared" si="169"/>
        <v>0</v>
      </c>
      <c r="CZ98" s="1341"/>
      <c r="DA98" s="1366">
        <f t="shared" si="170"/>
        <v>17382274.644000001</v>
      </c>
      <c r="DB98" s="1366">
        <f t="shared" si="171"/>
        <v>18534290.460000001</v>
      </c>
      <c r="DC98" s="1575"/>
      <c r="DD98" s="40">
        <f t="shared" si="184"/>
        <v>106.62753200944073</v>
      </c>
      <c r="DE98" s="1575"/>
      <c r="DF98" s="1575"/>
      <c r="DG98" s="1575"/>
      <c r="DH98" s="1579">
        <v>9835.7999999999993</v>
      </c>
      <c r="DI98" s="1487">
        <v>0</v>
      </c>
      <c r="DJ98" s="1579">
        <f t="shared" si="195"/>
        <v>9835.7999999999993</v>
      </c>
      <c r="DK98" s="1423"/>
      <c r="DL98" s="1352">
        <f t="shared" si="172"/>
        <v>0</v>
      </c>
      <c r="DM98" s="1352">
        <f t="shared" si="173"/>
        <v>0</v>
      </c>
      <c r="DN98" s="1352">
        <f t="shared" si="174"/>
        <v>0</v>
      </c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</row>
    <row r="99" spans="1:142" s="50" customFormat="1" ht="78" hidden="1" customHeight="1">
      <c r="A99" s="6">
        <f t="shared" si="185"/>
        <v>86</v>
      </c>
      <c r="B99" s="1400" t="s">
        <v>34</v>
      </c>
      <c r="C99" s="1400" t="s">
        <v>913</v>
      </c>
      <c r="D99" s="1669" t="s">
        <v>35</v>
      </c>
      <c r="E99" s="1330">
        <v>4623002116</v>
      </c>
      <c r="F99" s="1330" t="s">
        <v>8</v>
      </c>
      <c r="G99" s="1332" t="s">
        <v>1003</v>
      </c>
      <c r="H99" s="1448">
        <v>3470.07</v>
      </c>
      <c r="I99" s="1338">
        <v>3470.07</v>
      </c>
      <c r="J99" s="1338">
        <v>0</v>
      </c>
      <c r="K99" s="1338">
        <v>0</v>
      </c>
      <c r="L99" s="1338">
        <v>0</v>
      </c>
      <c r="M99" s="1416">
        <v>0</v>
      </c>
      <c r="N99" s="1403">
        <v>3700.05</v>
      </c>
      <c r="O99" s="1403">
        <v>3700.05</v>
      </c>
      <c r="P99" s="1338">
        <v>0</v>
      </c>
      <c r="Q99" s="1338">
        <v>0</v>
      </c>
      <c r="R99" s="1335">
        <v>0</v>
      </c>
      <c r="S99" s="1416">
        <v>0</v>
      </c>
      <c r="T99" s="1347">
        <v>2268.8000000000002</v>
      </c>
      <c r="U99" s="1341">
        <v>0</v>
      </c>
      <c r="V99" s="1341">
        <v>0</v>
      </c>
      <c r="W99" s="1341">
        <v>0</v>
      </c>
      <c r="X99" s="1341"/>
      <c r="Y99" s="1341"/>
      <c r="Z99" s="1342">
        <f t="shared" si="175"/>
        <v>2268.8000000000002</v>
      </c>
      <c r="AA99" s="1348">
        <v>1282.5</v>
      </c>
      <c r="AB99" s="1341">
        <v>0</v>
      </c>
      <c r="AC99" s="1341">
        <v>0</v>
      </c>
      <c r="AD99" s="1341">
        <v>0</v>
      </c>
      <c r="AE99" s="1341">
        <v>0</v>
      </c>
      <c r="AF99" s="1341"/>
      <c r="AG99" s="1344">
        <f t="shared" si="176"/>
        <v>1282.5</v>
      </c>
      <c r="AH99" s="1404">
        <f t="shared" si="200"/>
        <v>3551.3</v>
      </c>
      <c r="AI99" s="1341">
        <f t="shared" si="210"/>
        <v>3551.3</v>
      </c>
      <c r="AJ99" s="1341">
        <f t="shared" si="210"/>
        <v>0</v>
      </c>
      <c r="AK99" s="1341">
        <f t="shared" si="210"/>
        <v>0</v>
      </c>
      <c r="AL99" s="1341">
        <f t="shared" si="210"/>
        <v>0</v>
      </c>
      <c r="AM99" s="1341">
        <f t="shared" si="210"/>
        <v>0</v>
      </c>
      <c r="AN99" s="1341"/>
      <c r="AO99" s="1341">
        <f>SUM(AI99:AN99)</f>
        <v>3551.3</v>
      </c>
      <c r="AP99" s="1341">
        <f t="shared" si="229"/>
        <v>3551.3</v>
      </c>
      <c r="AQ99" s="1455">
        <f>SUM(AI99:AL99)</f>
        <v>3551.3</v>
      </c>
      <c r="AR99" s="1346"/>
      <c r="AS99" s="1347">
        <f t="shared" si="212"/>
        <v>12323259.591000002</v>
      </c>
      <c r="AT99" s="1341"/>
      <c r="AU99" s="1341"/>
      <c r="AV99" s="1341"/>
      <c r="AW99" s="1341"/>
      <c r="AX99" s="1341"/>
      <c r="AY99" s="1341"/>
      <c r="AZ99" s="1341">
        <f t="shared" si="215"/>
        <v>13139987.565000001</v>
      </c>
      <c r="BA99" s="1341"/>
      <c r="BB99" s="1341"/>
      <c r="BC99" s="1341"/>
      <c r="BD99" s="1341"/>
      <c r="BE99" s="1341"/>
      <c r="BF99" s="1345"/>
      <c r="BG99" s="1348"/>
      <c r="BH99" s="1341"/>
      <c r="BI99" s="1341"/>
      <c r="BJ99" s="1341"/>
      <c r="BK99" s="1638"/>
      <c r="BL99" s="1341">
        <f t="shared" si="153"/>
        <v>7872894.8160000006</v>
      </c>
      <c r="BM99" s="1341"/>
      <c r="BN99" s="1341"/>
      <c r="BO99" s="1341"/>
      <c r="BP99" s="1341"/>
      <c r="BQ99" s="1341"/>
      <c r="BR99" s="1341"/>
      <c r="BS99" s="1341">
        <f t="shared" si="154"/>
        <v>4745314.125</v>
      </c>
      <c r="BT99" s="1341"/>
      <c r="BU99" s="1341"/>
      <c r="BV99" s="1341"/>
      <c r="BW99" s="1341"/>
      <c r="BX99" s="1341"/>
      <c r="BY99" s="1341"/>
      <c r="BZ99" s="1349"/>
      <c r="CA99" s="1349"/>
      <c r="CB99" s="1349"/>
      <c r="CC99" s="1351"/>
      <c r="CD99" s="1351"/>
      <c r="CE99" s="1351"/>
      <c r="CF99" s="1351"/>
      <c r="CG99" s="1367"/>
      <c r="CH99" s="1367"/>
      <c r="CI99" s="1423"/>
      <c r="CJ99" s="1341">
        <f t="shared" si="211"/>
        <v>8394.6734400000005</v>
      </c>
      <c r="CK99" s="1341">
        <f t="shared" si="160"/>
        <v>4745.3141249999999</v>
      </c>
      <c r="CL99" s="1341">
        <f>CJ99+CK99</f>
        <v>13139.987564999999</v>
      </c>
      <c r="CM99" s="1341">
        <f t="shared" si="180"/>
        <v>13139.987565000001</v>
      </c>
      <c r="CN99" s="1341">
        <f t="shared" si="181"/>
        <v>0</v>
      </c>
      <c r="CO99" s="1341"/>
      <c r="CP99" s="1341"/>
      <c r="CQ99" s="1341"/>
      <c r="CR99" s="1341"/>
      <c r="CS99" s="1341"/>
      <c r="CT99" s="1341"/>
      <c r="CU99" s="1341"/>
      <c r="CV99" s="1341"/>
      <c r="CW99" s="1350">
        <f t="shared" si="183"/>
        <v>0</v>
      </c>
      <c r="CX99" s="1341"/>
      <c r="CY99" s="1341"/>
      <c r="CZ99" s="1341"/>
      <c r="DA99" s="1341"/>
      <c r="DB99" s="1341"/>
      <c r="DC99" s="1575"/>
      <c r="DD99" s="40"/>
      <c r="DE99" s="1575"/>
      <c r="DF99" s="1575"/>
      <c r="DG99" s="1575"/>
      <c r="DH99" s="1487">
        <v>2901.7</v>
      </c>
      <c r="DI99" s="1487">
        <v>0</v>
      </c>
      <c r="DJ99" s="1487">
        <f t="shared" si="195"/>
        <v>2901.7</v>
      </c>
      <c r="DK99" s="1423"/>
      <c r="DL99" s="1352"/>
      <c r="DM99" s="1352"/>
      <c r="DN99" s="1352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</row>
    <row r="100" spans="1:142" s="50" customFormat="1" ht="75.75" hidden="1" customHeight="1">
      <c r="A100" s="6">
        <f t="shared" si="185"/>
        <v>87</v>
      </c>
      <c r="B100" s="1400" t="s">
        <v>34</v>
      </c>
      <c r="C100" s="1400" t="s">
        <v>912</v>
      </c>
      <c r="D100" s="1669" t="s">
        <v>35</v>
      </c>
      <c r="E100" s="1330">
        <v>4623002116</v>
      </c>
      <c r="F100" s="1330" t="s">
        <v>8</v>
      </c>
      <c r="G100" s="1332" t="s">
        <v>1003</v>
      </c>
      <c r="H100" s="1687">
        <v>3470.07</v>
      </c>
      <c r="I100" s="1688">
        <v>3470.07</v>
      </c>
      <c r="J100" s="1338">
        <v>0</v>
      </c>
      <c r="K100" s="1338">
        <v>0</v>
      </c>
      <c r="L100" s="1338">
        <v>0</v>
      </c>
      <c r="M100" s="1416">
        <v>0</v>
      </c>
      <c r="N100" s="1403">
        <v>3700.05</v>
      </c>
      <c r="O100" s="1403">
        <v>3700.05</v>
      </c>
      <c r="P100" s="1338">
        <v>0</v>
      </c>
      <c r="Q100" s="1338">
        <v>0</v>
      </c>
      <c r="R100" s="1335">
        <v>0</v>
      </c>
      <c r="S100" s="1416">
        <v>0</v>
      </c>
      <c r="T100" s="1347">
        <v>637.6</v>
      </c>
      <c r="U100" s="1341">
        <v>0</v>
      </c>
      <c r="V100" s="1341">
        <v>0</v>
      </c>
      <c r="W100" s="1341">
        <v>0</v>
      </c>
      <c r="X100" s="1341"/>
      <c r="Y100" s="1341"/>
      <c r="Z100" s="1342">
        <f t="shared" si="175"/>
        <v>637.6</v>
      </c>
      <c r="AA100" s="1348">
        <v>637.70000000000005</v>
      </c>
      <c r="AB100" s="1341">
        <v>0</v>
      </c>
      <c r="AC100" s="1341">
        <v>0</v>
      </c>
      <c r="AD100" s="1341">
        <v>0</v>
      </c>
      <c r="AE100" s="1341"/>
      <c r="AF100" s="1341"/>
      <c r="AG100" s="1344">
        <f t="shared" si="176"/>
        <v>637.70000000000005</v>
      </c>
      <c r="AH100" s="1404">
        <f t="shared" si="200"/>
        <v>1275.3000000000002</v>
      </c>
      <c r="AI100" s="1341">
        <f t="shared" si="210"/>
        <v>1275.3000000000002</v>
      </c>
      <c r="AJ100" s="1341">
        <f t="shared" si="210"/>
        <v>0</v>
      </c>
      <c r="AK100" s="1341">
        <f t="shared" si="210"/>
        <v>0</v>
      </c>
      <c r="AL100" s="1341">
        <f t="shared" si="210"/>
        <v>0</v>
      </c>
      <c r="AM100" s="1341">
        <f t="shared" si="210"/>
        <v>0</v>
      </c>
      <c r="AN100" s="1341"/>
      <c r="AO100" s="1341">
        <f>SUM(AI100:AN100)</f>
        <v>1275.3000000000002</v>
      </c>
      <c r="AP100" s="1341">
        <f t="shared" si="229"/>
        <v>1275.3000000000002</v>
      </c>
      <c r="AQ100" s="1455">
        <f>SUM(AI100:AL100)</f>
        <v>1275.3000000000002</v>
      </c>
      <c r="AR100" s="1346"/>
      <c r="AS100" s="1347"/>
      <c r="AT100" s="1341"/>
      <c r="AU100" s="1341"/>
      <c r="AV100" s="1341"/>
      <c r="AW100" s="1341"/>
      <c r="AX100" s="1341"/>
      <c r="AY100" s="1341"/>
      <c r="AZ100" s="1341"/>
      <c r="BA100" s="1341"/>
      <c r="BB100" s="1341"/>
      <c r="BC100" s="1341"/>
      <c r="BD100" s="1341"/>
      <c r="BE100" s="1341"/>
      <c r="BF100" s="1345"/>
      <c r="BG100" s="1348"/>
      <c r="BH100" s="1341"/>
      <c r="BI100" s="1341"/>
      <c r="BJ100" s="1341"/>
      <c r="BK100" s="1638"/>
      <c r="BL100" s="1341"/>
      <c r="BM100" s="1341"/>
      <c r="BN100" s="1341"/>
      <c r="BO100" s="1341"/>
      <c r="BP100" s="1341"/>
      <c r="BQ100" s="1341"/>
      <c r="BR100" s="1341"/>
      <c r="BS100" s="1341"/>
      <c r="BT100" s="1341"/>
      <c r="BU100" s="1341"/>
      <c r="BV100" s="1341"/>
      <c r="BW100" s="1341"/>
      <c r="BX100" s="1341"/>
      <c r="BY100" s="1341"/>
      <c r="BZ100" s="1349"/>
      <c r="CA100" s="1349"/>
      <c r="CB100" s="1349"/>
      <c r="CC100" s="1351"/>
      <c r="CD100" s="1351"/>
      <c r="CE100" s="1351"/>
      <c r="CF100" s="1351"/>
      <c r="CG100" s="1367"/>
      <c r="CH100" s="1367"/>
      <c r="CI100" s="1423"/>
      <c r="CJ100" s="1341">
        <f t="shared" si="211"/>
        <v>2359.1518800000003</v>
      </c>
      <c r="CK100" s="1341">
        <f t="shared" si="160"/>
        <v>2359.5218850000001</v>
      </c>
      <c r="CL100" s="1341">
        <f>CJ100+CK100</f>
        <v>4718.6737650000005</v>
      </c>
      <c r="CM100" s="1341">
        <f t="shared" si="180"/>
        <v>4718.6737650000005</v>
      </c>
      <c r="CN100" s="1341">
        <f t="shared" si="181"/>
        <v>0</v>
      </c>
      <c r="CO100" s="1341"/>
      <c r="CP100" s="1341"/>
      <c r="CQ100" s="1341"/>
      <c r="CR100" s="1341"/>
      <c r="CS100" s="1341"/>
      <c r="CT100" s="1341"/>
      <c r="CU100" s="1341"/>
      <c r="CV100" s="1341"/>
      <c r="CW100" s="1350">
        <f t="shared" si="183"/>
        <v>0</v>
      </c>
      <c r="CX100" s="1341"/>
      <c r="CY100" s="1341"/>
      <c r="CZ100" s="1341"/>
      <c r="DA100" s="1341"/>
      <c r="DB100" s="1341"/>
      <c r="DC100" s="1575"/>
      <c r="DD100" s="40"/>
      <c r="DE100" s="1575"/>
      <c r="DF100" s="1575"/>
      <c r="DG100" s="1575"/>
      <c r="DH100" s="1487">
        <v>1278.5999999999999</v>
      </c>
      <c r="DI100" s="1487">
        <v>0</v>
      </c>
      <c r="DJ100" s="1487">
        <f t="shared" si="195"/>
        <v>1278.5999999999999</v>
      </c>
      <c r="DK100" s="1423"/>
      <c r="DL100" s="1352"/>
      <c r="DM100" s="1352"/>
      <c r="DN100" s="1352"/>
      <c r="DO100" s="81"/>
      <c r="DP100" s="81"/>
      <c r="DQ100" s="81"/>
      <c r="DR100" s="81"/>
      <c r="DS100" s="81"/>
      <c r="DT100" s="81"/>
      <c r="DU100" s="81"/>
      <c r="DV100" s="81"/>
      <c r="DW100" s="81"/>
      <c r="DX100" s="81"/>
      <c r="DY100" s="81"/>
      <c r="DZ100" s="81"/>
      <c r="EA100" s="81"/>
      <c r="EB100" s="81"/>
      <c r="EC100" s="81"/>
      <c r="ED100" s="81"/>
      <c r="EE100" s="81"/>
      <c r="EF100" s="81"/>
      <c r="EG100" s="81"/>
      <c r="EH100" s="81"/>
      <c r="EI100" s="81"/>
      <c r="EJ100" s="81"/>
      <c r="EK100" s="81"/>
      <c r="EL100" s="81"/>
    </row>
    <row r="101" spans="1:142" s="1313" customFormat="1" ht="75.75" hidden="1" customHeight="1">
      <c r="A101" s="6">
        <f t="shared" si="185"/>
        <v>88</v>
      </c>
      <c r="B101" s="1400" t="s">
        <v>36</v>
      </c>
      <c r="C101" s="1753" t="s">
        <v>119</v>
      </c>
      <c r="D101" s="1706" t="s">
        <v>146</v>
      </c>
      <c r="E101" s="1331">
        <v>4632024035</v>
      </c>
      <c r="F101" s="1330" t="s">
        <v>8</v>
      </c>
      <c r="G101" s="1682" t="s">
        <v>1034</v>
      </c>
      <c r="H101" s="1700">
        <v>3314.9639999999995</v>
      </c>
      <c r="I101" s="1701">
        <f t="shared" ref="I101:I102" si="235">H101</f>
        <v>3314.9639999999995</v>
      </c>
      <c r="J101" s="1707">
        <v>2484</v>
      </c>
      <c r="K101" s="1335"/>
      <c r="L101" s="1700">
        <v>3314.9639999999995</v>
      </c>
      <c r="M101" s="1390"/>
      <c r="N101" s="1703">
        <f t="shared" ref="N101:N102" si="236">3132.14*1.2</f>
        <v>3758.5679999999998</v>
      </c>
      <c r="O101" s="1704">
        <f t="shared" ref="O101:O102" si="237">N101</f>
        <v>3758.5679999999998</v>
      </c>
      <c r="P101" s="1708">
        <v>2719.98</v>
      </c>
      <c r="Q101" s="1335"/>
      <c r="R101" s="1335">
        <f t="shared" ref="R101:R102" si="238">O101</f>
        <v>3758.5679999999998</v>
      </c>
      <c r="S101" s="1390"/>
      <c r="T101" s="1822">
        <v>2289.1999999999998</v>
      </c>
      <c r="U101" s="1741">
        <v>35.302999999999997</v>
      </c>
      <c r="V101" s="1736"/>
      <c r="W101" s="1392"/>
      <c r="X101" s="1392"/>
      <c r="Y101" s="1392"/>
      <c r="Z101" s="1393">
        <f t="shared" si="175"/>
        <v>2324.5029999999997</v>
      </c>
      <c r="AA101" s="1752">
        <v>1329.3</v>
      </c>
      <c r="AB101" s="1736">
        <v>46.8</v>
      </c>
      <c r="AC101" s="1810"/>
      <c r="AD101" s="1334"/>
      <c r="AE101" s="1334"/>
      <c r="AF101" s="1334"/>
      <c r="AG101" s="1395">
        <f t="shared" si="176"/>
        <v>1376.1</v>
      </c>
      <c r="AH101" s="1391">
        <f t="shared" si="200"/>
        <v>3700.6029999999996</v>
      </c>
      <c r="AI101" s="1334">
        <f t="shared" si="210"/>
        <v>3618.5</v>
      </c>
      <c r="AJ101" s="1334">
        <f t="shared" si="210"/>
        <v>82.102999999999994</v>
      </c>
      <c r="AK101" s="1334">
        <f t="shared" si="210"/>
        <v>0</v>
      </c>
      <c r="AL101" s="1334">
        <f t="shared" si="210"/>
        <v>0</v>
      </c>
      <c r="AM101" s="1334">
        <f t="shared" si="210"/>
        <v>0</v>
      </c>
      <c r="AN101" s="1334"/>
      <c r="AO101" s="1334">
        <f t="shared" si="228"/>
        <v>3700.6030000000001</v>
      </c>
      <c r="AP101" s="1334">
        <f t="shared" si="229"/>
        <v>3700.6030000000001</v>
      </c>
      <c r="AQ101" s="1396">
        <f t="shared" si="145"/>
        <v>3700.6030000000001</v>
      </c>
      <c r="AR101" s="1417">
        <f t="shared" si="177"/>
        <v>0</v>
      </c>
      <c r="AS101" s="1333">
        <f t="shared" ref="AS101:AW119" si="239">I101*AI101</f>
        <v>11995197.233999997</v>
      </c>
      <c r="AT101" s="1334">
        <f t="shared" si="212"/>
        <v>203943.85199999998</v>
      </c>
      <c r="AU101" s="1334">
        <f t="shared" si="212"/>
        <v>0</v>
      </c>
      <c r="AV101" s="1334">
        <f t="shared" si="212"/>
        <v>0</v>
      </c>
      <c r="AW101" s="1334">
        <f t="shared" si="212"/>
        <v>0</v>
      </c>
      <c r="AX101" s="1334">
        <f t="shared" si="146"/>
        <v>12199141.085999997</v>
      </c>
      <c r="AY101" s="1334">
        <f t="shared" si="147"/>
        <v>12199141.085999997</v>
      </c>
      <c r="AZ101" s="1334">
        <f t="shared" si="215"/>
        <v>13600378.307999998</v>
      </c>
      <c r="BA101" s="1334">
        <f t="shared" si="215"/>
        <v>223318.51793999999</v>
      </c>
      <c r="BB101" s="1334">
        <f t="shared" si="215"/>
        <v>0</v>
      </c>
      <c r="BC101" s="1334">
        <f t="shared" si="215"/>
        <v>0</v>
      </c>
      <c r="BD101" s="1334">
        <f t="shared" si="215"/>
        <v>0</v>
      </c>
      <c r="BE101" s="1334">
        <f t="shared" si="148"/>
        <v>13823696.825939998</v>
      </c>
      <c r="BF101" s="1396">
        <f t="shared" si="149"/>
        <v>13823696.825939998</v>
      </c>
      <c r="BG101" s="1397">
        <f t="shared" ref="BG101:BG102" si="240">(H101-J101)/1.2*U101/1000+(H101-K101)/1.2*V101/1000</f>
        <v>24.446268409999984</v>
      </c>
      <c r="BH101" s="1398">
        <f t="shared" ref="BH101:BH102" si="241">(O101-P101)*AB101/1000/1.2+(O101-Q101)/1.2*AC101/1000</f>
        <v>40.50493199999999</v>
      </c>
      <c r="BI101" s="1399">
        <f t="shared" ref="BI101:BI102" si="242">BG101+BH101</f>
        <v>64.95120040999997</v>
      </c>
      <c r="BJ101" s="1399"/>
      <c r="BK101" s="1641"/>
      <c r="BL101" s="1334">
        <f t="shared" si="153"/>
        <v>7588615.5887999982</v>
      </c>
      <c r="BM101" s="1334">
        <f t="shared" si="153"/>
        <v>87692.651999999987</v>
      </c>
      <c r="BN101" s="1334">
        <f t="shared" si="153"/>
        <v>0</v>
      </c>
      <c r="BO101" s="1334">
        <f t="shared" si="153"/>
        <v>0</v>
      </c>
      <c r="BP101" s="1334">
        <f t="shared" si="153"/>
        <v>0</v>
      </c>
      <c r="BQ101" s="1334">
        <f t="shared" si="203"/>
        <v>7676308.2407999979</v>
      </c>
      <c r="BR101" s="1334">
        <f t="shared" si="204"/>
        <v>7676308.2407999979</v>
      </c>
      <c r="BS101" s="1334">
        <f t="shared" si="154"/>
        <v>4996264.4423999991</v>
      </c>
      <c r="BT101" s="1334">
        <f t="shared" si="154"/>
        <v>127295.064</v>
      </c>
      <c r="BU101" s="1334">
        <f t="shared" si="154"/>
        <v>0</v>
      </c>
      <c r="BV101" s="1334">
        <f t="shared" si="205"/>
        <v>0</v>
      </c>
      <c r="BW101" s="1334">
        <f t="shared" si="157"/>
        <v>0</v>
      </c>
      <c r="BX101" s="1334">
        <f t="shared" si="206"/>
        <v>5123559.5063999994</v>
      </c>
      <c r="BY101" s="1334">
        <f t="shared" si="207"/>
        <v>5123559.5063999994</v>
      </c>
      <c r="BZ101" s="1389">
        <f t="shared" si="155"/>
        <v>214987.71599999999</v>
      </c>
      <c r="CA101" s="1389">
        <f t="shared" si="155"/>
        <v>0</v>
      </c>
      <c r="CB101" s="1389">
        <f t="shared" si="208"/>
        <v>214987.71599999999</v>
      </c>
      <c r="CC101" s="1420">
        <f t="shared" si="156"/>
        <v>2618.5123077110461</v>
      </c>
      <c r="CD101" s="1420" t="e">
        <f t="shared" si="156"/>
        <v>#DIV/0!</v>
      </c>
      <c r="CE101" s="1420">
        <f t="shared" si="178"/>
        <v>2618.5123077110461</v>
      </c>
      <c r="CF101" s="1420">
        <f t="shared" si="158"/>
        <v>2618.5123077110461</v>
      </c>
      <c r="CG101" s="1421">
        <f t="shared" si="159"/>
        <v>292929.15649199998</v>
      </c>
      <c r="CH101" s="1421">
        <f t="shared" si="179"/>
        <v>3567.8252498934266</v>
      </c>
      <c r="CI101" s="1389"/>
      <c r="CJ101" s="1756">
        <f t="shared" ref="CJ101:CJ102" si="243">H101*Z101/1000</f>
        <v>7705.6437628919975</v>
      </c>
      <c r="CK101" s="1756">
        <f t="shared" si="160"/>
        <v>5172.1654247999995</v>
      </c>
      <c r="CL101" s="1756">
        <f t="shared" ref="CL101:CL102" si="244">CJ101+CK101</f>
        <v>12877.809187691997</v>
      </c>
      <c r="CM101" s="1334">
        <f t="shared" si="180"/>
        <v>13908.968016503997</v>
      </c>
      <c r="CN101" s="1334">
        <f t="shared" si="181"/>
        <v>1031.1588288120001</v>
      </c>
      <c r="CO101" s="1334">
        <f t="shared" si="161"/>
        <v>12877809.187691998</v>
      </c>
      <c r="CP101" s="1334">
        <f t="shared" si="162"/>
        <v>12199141.085999997</v>
      </c>
      <c r="CQ101" s="1334">
        <f t="shared" si="163"/>
        <v>12199141.085999997</v>
      </c>
      <c r="CR101" s="1334">
        <f t="shared" si="164"/>
        <v>7676308.2407999979</v>
      </c>
      <c r="CS101" s="1334">
        <f t="shared" si="165"/>
        <v>13823696.825939998</v>
      </c>
      <c r="CT101" s="1334">
        <f t="shared" si="166"/>
        <v>13823696.825939998</v>
      </c>
      <c r="CU101" s="1334">
        <f t="shared" si="167"/>
        <v>5123559.5063999994</v>
      </c>
      <c r="CV101" s="1334">
        <f t="shared" si="182"/>
        <v>26022837.911939994</v>
      </c>
      <c r="CW101" s="1422">
        <f t="shared" si="183"/>
        <v>7032.0534010105912</v>
      </c>
      <c r="CX101" s="1334">
        <f t="shared" si="168"/>
        <v>203943.85199999998</v>
      </c>
      <c r="CY101" s="1334">
        <f t="shared" si="169"/>
        <v>223318.51793999999</v>
      </c>
      <c r="CZ101" s="1334"/>
      <c r="DA101" s="1334">
        <f t="shared" si="170"/>
        <v>12267365.723291997</v>
      </c>
      <c r="DB101" s="1334">
        <f t="shared" si="171"/>
        <v>13908968.016503999</v>
      </c>
      <c r="DC101" s="1223"/>
      <c r="DD101" s="1224">
        <f t="shared" si="184"/>
        <v>151.3111111111111</v>
      </c>
      <c r="DE101" s="1223"/>
      <c r="DF101" s="1223"/>
      <c r="DG101" s="1223"/>
      <c r="DH101" s="1494"/>
      <c r="DI101" s="1494"/>
      <c r="DJ101" s="1494"/>
      <c r="DK101" s="1389"/>
      <c r="DL101" s="1419">
        <f t="shared" si="172"/>
        <v>0</v>
      </c>
      <c r="DM101" s="1419">
        <f t="shared" si="173"/>
        <v>0</v>
      </c>
      <c r="DN101" s="1419">
        <f t="shared" si="174"/>
        <v>0</v>
      </c>
      <c r="DO101" s="819"/>
      <c r="DP101" s="1315"/>
      <c r="DQ101" s="1315"/>
      <c r="DR101" s="1315"/>
      <c r="DS101" s="1315"/>
      <c r="DT101" s="1315"/>
      <c r="DU101" s="1315"/>
      <c r="DV101" s="1315"/>
      <c r="DW101" s="1315"/>
      <c r="DX101" s="1315"/>
      <c r="DY101" s="1315"/>
      <c r="DZ101" s="1315"/>
      <c r="EA101" s="1315"/>
      <c r="EB101" s="1315"/>
      <c r="EC101" s="1315"/>
      <c r="ED101" s="1315"/>
      <c r="EE101" s="1315"/>
      <c r="EF101" s="1315"/>
      <c r="EG101" s="1315"/>
      <c r="EH101" s="1315"/>
      <c r="EI101" s="1315"/>
      <c r="EJ101" s="1315"/>
      <c r="EK101" s="1315"/>
      <c r="EL101" s="1315"/>
    </row>
    <row r="102" spans="1:142" s="1313" customFormat="1" ht="100.5" hidden="1" customHeight="1">
      <c r="A102" s="6">
        <f t="shared" si="185"/>
        <v>89</v>
      </c>
      <c r="B102" s="1330" t="s">
        <v>37</v>
      </c>
      <c r="C102" s="1753" t="s">
        <v>61</v>
      </c>
      <c r="D102" s="1706" t="s">
        <v>146</v>
      </c>
      <c r="E102" s="1331">
        <v>4632024035</v>
      </c>
      <c r="F102" s="1330" t="s">
        <v>8</v>
      </c>
      <c r="G102" s="1682" t="s">
        <v>1034</v>
      </c>
      <c r="H102" s="1700">
        <v>3314.9639999999995</v>
      </c>
      <c r="I102" s="1701">
        <f t="shared" si="235"/>
        <v>3314.9639999999995</v>
      </c>
      <c r="J102" s="1335"/>
      <c r="K102" s="1335"/>
      <c r="L102" s="1700">
        <v>3314.9639999999995</v>
      </c>
      <c r="M102" s="1390"/>
      <c r="N102" s="1703">
        <f t="shared" si="236"/>
        <v>3758.5679999999998</v>
      </c>
      <c r="O102" s="1704">
        <f t="shared" si="237"/>
        <v>3758.5679999999998</v>
      </c>
      <c r="P102" s="1335"/>
      <c r="Q102" s="1335"/>
      <c r="R102" s="1335">
        <f t="shared" si="238"/>
        <v>3758.5679999999998</v>
      </c>
      <c r="S102" s="1390"/>
      <c r="T102" s="1751">
        <v>612.97599999999989</v>
      </c>
      <c r="U102" s="1833"/>
      <c r="V102" s="1810"/>
      <c r="W102" s="1334"/>
      <c r="X102" s="1334"/>
      <c r="Y102" s="1334"/>
      <c r="Z102" s="1393">
        <f t="shared" si="175"/>
        <v>612.97599999999989</v>
      </c>
      <c r="AA102" s="1752">
        <v>222.73400000000001</v>
      </c>
      <c r="AB102" s="1810"/>
      <c r="AC102" s="1810"/>
      <c r="AD102" s="1334"/>
      <c r="AE102" s="1334"/>
      <c r="AF102" s="1334"/>
      <c r="AG102" s="1395">
        <f t="shared" si="176"/>
        <v>222.73400000000001</v>
      </c>
      <c r="AH102" s="1391">
        <f t="shared" si="200"/>
        <v>835.70999999999992</v>
      </c>
      <c r="AI102" s="1334">
        <f t="shared" si="210"/>
        <v>835.70999999999992</v>
      </c>
      <c r="AJ102" s="1334">
        <f t="shared" si="210"/>
        <v>0</v>
      </c>
      <c r="AK102" s="1334">
        <f t="shared" si="210"/>
        <v>0</v>
      </c>
      <c r="AL102" s="1334">
        <f t="shared" si="210"/>
        <v>0</v>
      </c>
      <c r="AM102" s="1334">
        <f t="shared" si="210"/>
        <v>0</v>
      </c>
      <c r="AN102" s="1334"/>
      <c r="AO102" s="1334">
        <f t="shared" si="228"/>
        <v>835.70999999999992</v>
      </c>
      <c r="AP102" s="1334">
        <f t="shared" si="229"/>
        <v>835.70999999999992</v>
      </c>
      <c r="AQ102" s="1396">
        <f>SUM(AI102:AL102)</f>
        <v>835.70999999999992</v>
      </c>
      <c r="AR102" s="1417">
        <f t="shared" si="177"/>
        <v>0</v>
      </c>
      <c r="AS102" s="1333">
        <f t="shared" si="239"/>
        <v>2770348.5644399994</v>
      </c>
      <c r="AT102" s="1334">
        <f t="shared" si="212"/>
        <v>0</v>
      </c>
      <c r="AU102" s="1334">
        <f t="shared" si="212"/>
        <v>0</v>
      </c>
      <c r="AV102" s="1334">
        <f t="shared" si="212"/>
        <v>0</v>
      </c>
      <c r="AW102" s="1334">
        <f t="shared" si="212"/>
        <v>0</v>
      </c>
      <c r="AX102" s="1334">
        <f t="shared" si="146"/>
        <v>2770348.5644399994</v>
      </c>
      <c r="AY102" s="1334">
        <f t="shared" si="147"/>
        <v>2770348.5644399994</v>
      </c>
      <c r="AZ102" s="1334">
        <f t="shared" si="215"/>
        <v>3141072.8632799997</v>
      </c>
      <c r="BA102" s="1334">
        <f t="shared" si="215"/>
        <v>0</v>
      </c>
      <c r="BB102" s="1334">
        <f t="shared" si="215"/>
        <v>0</v>
      </c>
      <c r="BC102" s="1334">
        <f t="shared" si="215"/>
        <v>0</v>
      </c>
      <c r="BD102" s="1334">
        <f t="shared" si="215"/>
        <v>0</v>
      </c>
      <c r="BE102" s="1334">
        <f t="shared" si="148"/>
        <v>3141072.8632799997</v>
      </c>
      <c r="BF102" s="1396">
        <f t="shared" si="149"/>
        <v>3141072.8632799997</v>
      </c>
      <c r="BG102" s="1397">
        <f t="shared" si="240"/>
        <v>0</v>
      </c>
      <c r="BH102" s="1398">
        <f t="shared" si="241"/>
        <v>0</v>
      </c>
      <c r="BI102" s="1399">
        <f t="shared" si="242"/>
        <v>0</v>
      </c>
      <c r="BJ102" s="1399"/>
      <c r="BK102" s="1641"/>
      <c r="BL102" s="1334">
        <f t="shared" si="153"/>
        <v>2031993.3728639993</v>
      </c>
      <c r="BM102" s="1334">
        <f t="shared" si="153"/>
        <v>0</v>
      </c>
      <c r="BN102" s="1334">
        <f t="shared" si="153"/>
        <v>0</v>
      </c>
      <c r="BO102" s="1334">
        <f t="shared" si="153"/>
        <v>0</v>
      </c>
      <c r="BP102" s="1334">
        <f t="shared" si="153"/>
        <v>0</v>
      </c>
      <c r="BQ102" s="1334">
        <f t="shared" si="203"/>
        <v>2031993.3728639993</v>
      </c>
      <c r="BR102" s="1334">
        <f t="shared" si="204"/>
        <v>2031993.3728639993</v>
      </c>
      <c r="BS102" s="1334">
        <f t="shared" si="154"/>
        <v>837160.88491199992</v>
      </c>
      <c r="BT102" s="1334">
        <f t="shared" si="154"/>
        <v>0</v>
      </c>
      <c r="BU102" s="1334">
        <f t="shared" si="154"/>
        <v>0</v>
      </c>
      <c r="BV102" s="1334">
        <f t="shared" si="205"/>
        <v>0</v>
      </c>
      <c r="BW102" s="1334">
        <f t="shared" si="157"/>
        <v>0</v>
      </c>
      <c r="BX102" s="1334">
        <f t="shared" si="206"/>
        <v>837160.88491199992</v>
      </c>
      <c r="BY102" s="1334">
        <f t="shared" si="207"/>
        <v>837160.88491199992</v>
      </c>
      <c r="BZ102" s="1389">
        <f t="shared" si="155"/>
        <v>0</v>
      </c>
      <c r="CA102" s="1389">
        <f t="shared" si="155"/>
        <v>0</v>
      </c>
      <c r="CB102" s="1389">
        <f t="shared" si="208"/>
        <v>0</v>
      </c>
      <c r="CC102" s="1420" t="e">
        <f t="shared" si="156"/>
        <v>#DIV/0!</v>
      </c>
      <c r="CD102" s="1420" t="e">
        <f t="shared" si="156"/>
        <v>#DIV/0!</v>
      </c>
      <c r="CE102" s="1420" t="e">
        <f t="shared" si="178"/>
        <v>#DIV/0!</v>
      </c>
      <c r="CF102" s="1389" t="e">
        <f t="shared" si="158"/>
        <v>#DIV/0!</v>
      </c>
      <c r="CG102" s="1421">
        <f t="shared" si="159"/>
        <v>0</v>
      </c>
      <c r="CH102" s="1421" t="e">
        <f t="shared" si="179"/>
        <v>#DIV/0!</v>
      </c>
      <c r="CI102" s="1389"/>
      <c r="CJ102" s="1756">
        <f t="shared" si="243"/>
        <v>2031.9933728639994</v>
      </c>
      <c r="CK102" s="1756">
        <f t="shared" si="160"/>
        <v>837.16088491199991</v>
      </c>
      <c r="CL102" s="1756">
        <f t="shared" si="244"/>
        <v>2869.1542577759992</v>
      </c>
      <c r="CM102" s="1334">
        <f t="shared" si="180"/>
        <v>3141.0728632799996</v>
      </c>
      <c r="CN102" s="1334">
        <f t="shared" si="181"/>
        <v>271.91860550400042</v>
      </c>
      <c r="CO102" s="1334">
        <f t="shared" si="161"/>
        <v>2869154.2577759991</v>
      </c>
      <c r="CP102" s="1334">
        <f t="shared" si="162"/>
        <v>2770348.5644399994</v>
      </c>
      <c r="CQ102" s="1334">
        <f t="shared" si="163"/>
        <v>2770348.5644399994</v>
      </c>
      <c r="CR102" s="1334">
        <f t="shared" si="164"/>
        <v>2031993.3728639993</v>
      </c>
      <c r="CS102" s="1334">
        <f t="shared" si="165"/>
        <v>3141072.8632799997</v>
      </c>
      <c r="CT102" s="1334">
        <f t="shared" si="166"/>
        <v>3141072.8632799997</v>
      </c>
      <c r="CU102" s="1334">
        <f t="shared" si="167"/>
        <v>837160.88491199992</v>
      </c>
      <c r="CV102" s="1334">
        <f t="shared" si="182"/>
        <v>5911421.4277199991</v>
      </c>
      <c r="CW102" s="1422">
        <f t="shared" si="183"/>
        <v>7073.5319999999992</v>
      </c>
      <c r="CX102" s="1334">
        <f t="shared" si="168"/>
        <v>0</v>
      </c>
      <c r="CY102" s="1334">
        <f t="shared" si="169"/>
        <v>0</v>
      </c>
      <c r="CZ102" s="1334"/>
      <c r="DA102" s="1334">
        <f t="shared" si="170"/>
        <v>2770348.5644399994</v>
      </c>
      <c r="DB102" s="1334">
        <f t="shared" si="171"/>
        <v>3141072.8632799997</v>
      </c>
      <c r="DC102" s="1223"/>
      <c r="DD102" s="1224" t="e">
        <f t="shared" si="184"/>
        <v>#DIV/0!</v>
      </c>
      <c r="DE102" s="1223"/>
      <c r="DF102" s="1223"/>
      <c r="DG102" s="1223"/>
      <c r="DH102" s="1494"/>
      <c r="DI102" s="1494"/>
      <c r="DJ102" s="1494"/>
      <c r="DK102" s="1389"/>
      <c r="DL102" s="1419">
        <f t="shared" si="172"/>
        <v>0</v>
      </c>
      <c r="DM102" s="1419">
        <f t="shared" si="173"/>
        <v>0</v>
      </c>
      <c r="DN102" s="1419">
        <f t="shared" si="174"/>
        <v>0</v>
      </c>
      <c r="DO102" s="819"/>
      <c r="DP102" s="1315"/>
      <c r="DQ102" s="1315"/>
      <c r="DR102" s="1315"/>
      <c r="DS102" s="1315"/>
      <c r="DT102" s="1315"/>
      <c r="DU102" s="1315"/>
      <c r="DV102" s="1315"/>
      <c r="DW102" s="1315"/>
      <c r="DX102" s="1315"/>
      <c r="DY102" s="1315"/>
      <c r="DZ102" s="1315"/>
      <c r="EA102" s="1315"/>
      <c r="EB102" s="1315"/>
      <c r="EC102" s="1315"/>
      <c r="ED102" s="1315"/>
      <c r="EE102" s="1315"/>
      <c r="EF102" s="1315"/>
      <c r="EG102" s="1315"/>
      <c r="EH102" s="1315"/>
      <c r="EI102" s="1315"/>
      <c r="EJ102" s="1315"/>
      <c r="EK102" s="1315"/>
      <c r="EL102" s="1315"/>
    </row>
    <row r="103" spans="1:142" s="50" customFormat="1" ht="72.75" hidden="1" customHeight="1">
      <c r="A103" s="6">
        <f t="shared" si="185"/>
        <v>90</v>
      </c>
      <c r="B103" s="1330" t="s">
        <v>37</v>
      </c>
      <c r="C103" s="1330" t="s">
        <v>975</v>
      </c>
      <c r="D103" s="1650" t="s">
        <v>38</v>
      </c>
      <c r="E103" s="1330">
        <v>4625004944</v>
      </c>
      <c r="F103" s="1330" t="s">
        <v>8</v>
      </c>
      <c r="G103" s="1332" t="s">
        <v>1009</v>
      </c>
      <c r="H103" s="1693">
        <v>2951.0829318332949</v>
      </c>
      <c r="I103" s="1694">
        <v>2951.0829318332949</v>
      </c>
      <c r="J103" s="1335">
        <v>2951.0829318332949</v>
      </c>
      <c r="K103" s="1335">
        <v>0</v>
      </c>
      <c r="L103" s="1335">
        <v>2951.0829318332949</v>
      </c>
      <c r="M103" s="1390">
        <v>0</v>
      </c>
      <c r="N103" s="1403">
        <v>3285.23</v>
      </c>
      <c r="O103" s="1403">
        <v>3285.23</v>
      </c>
      <c r="P103" s="1403">
        <v>3285.23</v>
      </c>
      <c r="Q103" s="1335">
        <v>0</v>
      </c>
      <c r="R103" s="1335">
        <v>3285.23</v>
      </c>
      <c r="S103" s="1390">
        <v>0</v>
      </c>
      <c r="T103" s="1379">
        <v>1125.7</v>
      </c>
      <c r="U103" s="1372">
        <v>17.37</v>
      </c>
      <c r="V103" s="1372">
        <v>0</v>
      </c>
      <c r="W103" s="1372">
        <v>0</v>
      </c>
      <c r="X103" s="1372">
        <v>0</v>
      </c>
      <c r="Y103" s="1372">
        <v>0</v>
      </c>
      <c r="Z103" s="1370">
        <f>T103+U103+V103+W103</f>
        <v>1143.07</v>
      </c>
      <c r="AA103" s="1371">
        <v>813.96</v>
      </c>
      <c r="AB103" s="1372">
        <v>13.02</v>
      </c>
      <c r="AC103" s="1372">
        <v>0</v>
      </c>
      <c r="AD103" s="1372">
        <v>0</v>
      </c>
      <c r="AE103" s="1372">
        <v>0</v>
      </c>
      <c r="AF103" s="1372">
        <v>0</v>
      </c>
      <c r="AG103" s="1378">
        <f>AA103+AB103+AC103+AD103</f>
        <v>826.98</v>
      </c>
      <c r="AH103" s="1391">
        <f t="shared" si="200"/>
        <v>1970.05</v>
      </c>
      <c r="AI103" s="1334">
        <f t="shared" si="210"/>
        <v>1939.66</v>
      </c>
      <c r="AJ103" s="1334">
        <f t="shared" si="210"/>
        <v>30.39</v>
      </c>
      <c r="AK103" s="1334">
        <f t="shared" si="210"/>
        <v>0</v>
      </c>
      <c r="AL103" s="1338">
        <f t="shared" si="210"/>
        <v>0</v>
      </c>
      <c r="AM103" s="1334">
        <f t="shared" si="210"/>
        <v>0</v>
      </c>
      <c r="AN103" s="1334">
        <v>0</v>
      </c>
      <c r="AO103" s="1334">
        <f t="shared" si="228"/>
        <v>1970.0500000000002</v>
      </c>
      <c r="AP103" s="1334">
        <f t="shared" si="229"/>
        <v>1970.0500000000002</v>
      </c>
      <c r="AQ103" s="1396">
        <f t="shared" si="145"/>
        <v>1970.0500000000002</v>
      </c>
      <c r="AR103" s="1417">
        <f t="shared" si="177"/>
        <v>0</v>
      </c>
      <c r="AS103" s="1333">
        <f t="shared" si="239"/>
        <v>5724097.519559769</v>
      </c>
      <c r="AT103" s="1334">
        <f t="shared" si="212"/>
        <v>89683.41029841383</v>
      </c>
      <c r="AU103" s="1334">
        <f t="shared" si="212"/>
        <v>0</v>
      </c>
      <c r="AV103" s="1334">
        <f t="shared" si="212"/>
        <v>0</v>
      </c>
      <c r="AW103" s="1334">
        <f t="shared" si="212"/>
        <v>0</v>
      </c>
      <c r="AX103" s="1334">
        <f>SUM(AS103:AW103)</f>
        <v>5813780.9298581826</v>
      </c>
      <c r="AY103" s="1334">
        <f>SUM(AS103:AV103)</f>
        <v>5813780.9298581826</v>
      </c>
      <c r="AZ103" s="1334">
        <f t="shared" si="215"/>
        <v>6372229.2218000004</v>
      </c>
      <c r="BA103" s="1334">
        <f t="shared" si="215"/>
        <v>99838.1397</v>
      </c>
      <c r="BB103" s="1334">
        <f t="shared" si="215"/>
        <v>0</v>
      </c>
      <c r="BC103" s="1334">
        <f t="shared" si="215"/>
        <v>0</v>
      </c>
      <c r="BD103" s="1334">
        <f t="shared" si="215"/>
        <v>0</v>
      </c>
      <c r="BE103" s="1334">
        <f>SUM(AZ103:BD103)</f>
        <v>6472067.3615000006</v>
      </c>
      <c r="BF103" s="1396">
        <f>SUM(AZ103:BC103)</f>
        <v>6472067.3615000006</v>
      </c>
      <c r="BG103" s="1418">
        <v>0</v>
      </c>
      <c r="BH103" s="1334">
        <v>0</v>
      </c>
      <c r="BI103" s="1334">
        <v>0</v>
      </c>
      <c r="BJ103" s="1338">
        <v>6090.12</v>
      </c>
      <c r="BK103" s="1643">
        <v>6189.41</v>
      </c>
      <c r="BL103" s="1341">
        <f t="shared" si="153"/>
        <v>3322034.0563647402</v>
      </c>
      <c r="BM103" s="1341">
        <f t="shared" si="153"/>
        <v>51260.310525944333</v>
      </c>
      <c r="BN103" s="1341">
        <f t="shared" si="153"/>
        <v>0</v>
      </c>
      <c r="BO103" s="1341">
        <f t="shared" si="153"/>
        <v>0</v>
      </c>
      <c r="BP103" s="1341">
        <f t="shared" si="153"/>
        <v>0</v>
      </c>
      <c r="BQ103" s="1341">
        <f t="shared" si="203"/>
        <v>3373294.3668906847</v>
      </c>
      <c r="BR103" s="1341">
        <f t="shared" si="204"/>
        <v>3373294.3668906847</v>
      </c>
      <c r="BS103" s="1341">
        <f t="shared" si="154"/>
        <v>2674045.8108000001</v>
      </c>
      <c r="BT103" s="1341">
        <f t="shared" si="154"/>
        <v>42773.694599999995</v>
      </c>
      <c r="BU103" s="1341">
        <f t="shared" si="154"/>
        <v>0</v>
      </c>
      <c r="BV103" s="1341">
        <f t="shared" si="205"/>
        <v>0</v>
      </c>
      <c r="BW103" s="1341">
        <f t="shared" si="157"/>
        <v>0</v>
      </c>
      <c r="BX103" s="1341">
        <f t="shared" si="206"/>
        <v>2716819.5054000001</v>
      </c>
      <c r="BY103" s="1341">
        <f t="shared" si="207"/>
        <v>2716819.5054000001</v>
      </c>
      <c r="BZ103" s="1349">
        <f t="shared" si="155"/>
        <v>94034.005125944328</v>
      </c>
      <c r="CA103" s="1349">
        <f t="shared" si="155"/>
        <v>0</v>
      </c>
      <c r="CB103" s="1349">
        <f t="shared" si="208"/>
        <v>94034.005125944328</v>
      </c>
      <c r="CC103" s="1351">
        <f t="shared" si="156"/>
        <v>3094.2416954901059</v>
      </c>
      <c r="CD103" s="1351" t="e">
        <f t="shared" si="156"/>
        <v>#DIV/0!</v>
      </c>
      <c r="CE103" s="1351">
        <f t="shared" si="178"/>
        <v>3094.2416954901059</v>
      </c>
      <c r="CF103" s="1351">
        <f t="shared" si="158"/>
        <v>3094.2416954901059</v>
      </c>
      <c r="CG103" s="1367">
        <f t="shared" si="159"/>
        <v>94034.005125944328</v>
      </c>
      <c r="CH103" s="1367">
        <f t="shared" si="179"/>
        <v>3094.2416954901059</v>
      </c>
      <c r="CI103" s="1349"/>
      <c r="CJ103" s="1341">
        <f t="shared" si="211"/>
        <v>3755.2478560999998</v>
      </c>
      <c r="CK103" s="1341">
        <f t="shared" si="160"/>
        <v>2716.8195054000003</v>
      </c>
      <c r="CL103" s="1341">
        <f t="shared" si="194"/>
        <v>6472.0673614999996</v>
      </c>
      <c r="CM103" s="1341">
        <f t="shared" si="180"/>
        <v>6472.0673614999996</v>
      </c>
      <c r="CN103" s="1341">
        <f t="shared" si="181"/>
        <v>0</v>
      </c>
      <c r="CO103" s="1341">
        <f t="shared" si="161"/>
        <v>6090113.8722906839</v>
      </c>
      <c r="CP103" s="1341">
        <f t="shared" si="162"/>
        <v>5813780.9298581826</v>
      </c>
      <c r="CQ103" s="1341">
        <f t="shared" si="163"/>
        <v>5813780.9298581826</v>
      </c>
      <c r="CR103" s="1341">
        <f t="shared" si="164"/>
        <v>3373294.3668906847</v>
      </c>
      <c r="CS103" s="1341">
        <f t="shared" si="165"/>
        <v>6472067.3615000006</v>
      </c>
      <c r="CT103" s="1341">
        <f t="shared" si="166"/>
        <v>6472067.3615000006</v>
      </c>
      <c r="CU103" s="1341">
        <f t="shared" si="167"/>
        <v>2716819.5054000001</v>
      </c>
      <c r="CV103" s="1341">
        <f t="shared" si="182"/>
        <v>12285848.291358184</v>
      </c>
      <c r="CW103" s="1350">
        <f t="shared" si="183"/>
        <v>6236.3129318332958</v>
      </c>
      <c r="CX103" s="1341">
        <f t="shared" si="168"/>
        <v>89683.41029841383</v>
      </c>
      <c r="CY103" s="1341">
        <f t="shared" si="169"/>
        <v>99838.1397</v>
      </c>
      <c r="CZ103" s="1341"/>
      <c r="DA103" s="1341">
        <f t="shared" si="170"/>
        <v>5813780.9298581826</v>
      </c>
      <c r="DB103" s="1341">
        <f t="shared" si="171"/>
        <v>6472067.3615000006</v>
      </c>
      <c r="DC103" s="27"/>
      <c r="DD103" s="40">
        <f t="shared" si="184"/>
        <v>111.32286268753293</v>
      </c>
      <c r="DE103" s="27"/>
      <c r="DF103" s="27"/>
      <c r="DG103" s="27"/>
      <c r="DH103" s="1487">
        <v>10850.630000000001</v>
      </c>
      <c r="DI103" s="1487">
        <v>3967.25</v>
      </c>
      <c r="DJ103" s="1487">
        <f t="shared" si="195"/>
        <v>6883.380000000001</v>
      </c>
      <c r="DK103" s="1389"/>
      <c r="DL103" s="1352">
        <f t="shared" si="172"/>
        <v>0</v>
      </c>
      <c r="DM103" s="1352">
        <f t="shared" si="173"/>
        <v>0</v>
      </c>
      <c r="DN103" s="1352">
        <f t="shared" si="174"/>
        <v>0</v>
      </c>
      <c r="DO103" s="819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</row>
    <row r="104" spans="1:142" s="50" customFormat="1" ht="70.5" hidden="1" customHeight="1">
      <c r="A104" s="6">
        <f t="shared" si="185"/>
        <v>91</v>
      </c>
      <c r="B104" s="1330" t="s">
        <v>37</v>
      </c>
      <c r="C104" s="1330" t="s">
        <v>61</v>
      </c>
      <c r="D104" s="1650" t="s">
        <v>38</v>
      </c>
      <c r="E104" s="1330">
        <v>4625004944</v>
      </c>
      <c r="F104" s="1330" t="s">
        <v>8</v>
      </c>
      <c r="G104" s="1332" t="s">
        <v>1009</v>
      </c>
      <c r="H104" s="1369">
        <v>2951.0829318332949</v>
      </c>
      <c r="I104" s="1335">
        <v>2951.0829318332949</v>
      </c>
      <c r="J104" s="1335">
        <v>2951.0829318332949</v>
      </c>
      <c r="K104" s="1335">
        <v>0</v>
      </c>
      <c r="L104" s="1335">
        <v>2951.0829318332949</v>
      </c>
      <c r="M104" s="1390">
        <v>0</v>
      </c>
      <c r="N104" s="1403">
        <v>3285.23</v>
      </c>
      <c r="O104" s="1403">
        <v>3285.23</v>
      </c>
      <c r="P104" s="1403">
        <v>3285.23</v>
      </c>
      <c r="Q104" s="1335">
        <v>0</v>
      </c>
      <c r="R104" s="1335">
        <v>3285.23</v>
      </c>
      <c r="S104" s="1390">
        <v>0</v>
      </c>
      <c r="T104" s="1379">
        <v>2369.37</v>
      </c>
      <c r="U104" s="1372">
        <v>2281.73</v>
      </c>
      <c r="V104" s="1372">
        <v>0</v>
      </c>
      <c r="W104" s="1372">
        <v>510.7</v>
      </c>
      <c r="X104" s="1372">
        <v>0</v>
      </c>
      <c r="Y104" s="1372">
        <v>0</v>
      </c>
      <c r="Z104" s="1370">
        <f>SUM(T104:W104)</f>
        <v>5161.8</v>
      </c>
      <c r="AA104" s="1371">
        <v>1646.66</v>
      </c>
      <c r="AB104" s="1372">
        <v>1655.13</v>
      </c>
      <c r="AC104" s="1372">
        <v>0</v>
      </c>
      <c r="AD104" s="1372">
        <v>416.99</v>
      </c>
      <c r="AE104" s="1372">
        <v>0</v>
      </c>
      <c r="AF104" s="1372">
        <v>0</v>
      </c>
      <c r="AG104" s="1378">
        <f t="shared" si="176"/>
        <v>3718.7799999999997</v>
      </c>
      <c r="AH104" s="1391">
        <f t="shared" si="200"/>
        <v>8880.58</v>
      </c>
      <c r="AI104" s="1334">
        <f t="shared" si="210"/>
        <v>4016.0299999999997</v>
      </c>
      <c r="AJ104" s="1334">
        <f t="shared" si="210"/>
        <v>3936.86</v>
      </c>
      <c r="AK104" s="1334">
        <f t="shared" si="210"/>
        <v>0</v>
      </c>
      <c r="AL104" s="1338">
        <f t="shared" si="210"/>
        <v>927.69</v>
      </c>
      <c r="AM104" s="1334">
        <f t="shared" si="210"/>
        <v>0</v>
      </c>
      <c r="AN104" s="1334">
        <v>0</v>
      </c>
      <c r="AO104" s="1334">
        <f t="shared" si="228"/>
        <v>8880.58</v>
      </c>
      <c r="AP104" s="1334">
        <f t="shared" si="229"/>
        <v>8880.58</v>
      </c>
      <c r="AQ104" s="1396">
        <f t="shared" si="145"/>
        <v>8880.58</v>
      </c>
      <c r="AR104" s="1417">
        <f t="shared" si="177"/>
        <v>0</v>
      </c>
      <c r="AS104" s="1333">
        <f t="shared" si="239"/>
        <v>11851637.586730467</v>
      </c>
      <c r="AT104" s="1334">
        <f t="shared" si="239"/>
        <v>11618000.351017226</v>
      </c>
      <c r="AU104" s="1334">
        <f t="shared" si="239"/>
        <v>0</v>
      </c>
      <c r="AV104" s="1334">
        <f t="shared" si="239"/>
        <v>2737690.1250324296</v>
      </c>
      <c r="AW104" s="1334">
        <f t="shared" si="239"/>
        <v>0</v>
      </c>
      <c r="AX104" s="1334">
        <f t="shared" si="146"/>
        <v>26207328.062780123</v>
      </c>
      <c r="AY104" s="1334">
        <f t="shared" si="147"/>
        <v>26207328.062780123</v>
      </c>
      <c r="AZ104" s="1334">
        <f t="shared" ref="AZ104:BD119" si="245">O104*AI104</f>
        <v>13193582.2369</v>
      </c>
      <c r="BA104" s="1334">
        <f t="shared" si="245"/>
        <v>12933490.5778</v>
      </c>
      <c r="BB104" s="1334">
        <f t="shared" si="245"/>
        <v>0</v>
      </c>
      <c r="BC104" s="1334">
        <f t="shared" si="245"/>
        <v>3047675.0187000004</v>
      </c>
      <c r="BD104" s="1334">
        <f t="shared" si="245"/>
        <v>0</v>
      </c>
      <c r="BE104" s="1334">
        <f t="shared" si="148"/>
        <v>29174747.8334</v>
      </c>
      <c r="BF104" s="1396">
        <f t="shared" si="149"/>
        <v>29174747.8334</v>
      </c>
      <c r="BG104" s="1418">
        <v>0</v>
      </c>
      <c r="BH104" s="1334">
        <v>0</v>
      </c>
      <c r="BI104" s="1334">
        <v>0</v>
      </c>
      <c r="BJ104" s="1338">
        <v>27449.95</v>
      </c>
      <c r="BK104" s="1643">
        <v>28248.61</v>
      </c>
      <c r="BL104" s="1341">
        <f t="shared" si="153"/>
        <v>6992207.3661978533</v>
      </c>
      <c r="BM104" s="1341">
        <f t="shared" si="153"/>
        <v>6733574.4580519842</v>
      </c>
      <c r="BN104" s="1341">
        <f t="shared" si="153"/>
        <v>0</v>
      </c>
      <c r="BO104" s="1341">
        <f t="shared" si="153"/>
        <v>1507118.0532872637</v>
      </c>
      <c r="BP104" s="1341">
        <f t="shared" si="153"/>
        <v>0</v>
      </c>
      <c r="BQ104" s="1341">
        <f t="shared" si="203"/>
        <v>15232899.877537102</v>
      </c>
      <c r="BR104" s="1341">
        <f t="shared" si="204"/>
        <v>15232899.877537102</v>
      </c>
      <c r="BS104" s="1341">
        <f t="shared" si="154"/>
        <v>5409656.8318000007</v>
      </c>
      <c r="BT104" s="1341">
        <f t="shared" si="154"/>
        <v>5437482.7299000006</v>
      </c>
      <c r="BU104" s="1341">
        <f t="shared" si="154"/>
        <v>0</v>
      </c>
      <c r="BV104" s="1341">
        <f t="shared" si="205"/>
        <v>1677766.9609999999</v>
      </c>
      <c r="BW104" s="1341">
        <f t="shared" si="157"/>
        <v>0</v>
      </c>
      <c r="BX104" s="1341">
        <f t="shared" si="206"/>
        <v>12524906.522700001</v>
      </c>
      <c r="BY104" s="1341">
        <f t="shared" si="207"/>
        <v>12524906.522700001</v>
      </c>
      <c r="BZ104" s="1349">
        <f t="shared" si="155"/>
        <v>12171057.187951986</v>
      </c>
      <c r="CA104" s="1349">
        <f t="shared" si="155"/>
        <v>0</v>
      </c>
      <c r="CB104" s="1349">
        <f t="shared" si="208"/>
        <v>12171057.187951986</v>
      </c>
      <c r="CC104" s="1351">
        <f t="shared" si="156"/>
        <v>3091.5646449078672</v>
      </c>
      <c r="CD104" s="1351" t="e">
        <f t="shared" si="156"/>
        <v>#DIV/0!</v>
      </c>
      <c r="CE104" s="1351">
        <f t="shared" si="178"/>
        <v>3091.5646449078672</v>
      </c>
      <c r="CF104" s="1351">
        <f t="shared" si="158"/>
        <v>3091.5646449078672</v>
      </c>
      <c r="CG104" s="1367">
        <f t="shared" si="159"/>
        <v>12171057.187951986</v>
      </c>
      <c r="CH104" s="1367">
        <f t="shared" si="179"/>
        <v>3091.5646449078672</v>
      </c>
      <c r="CI104" s="1423"/>
      <c r="CJ104" s="1341">
        <f t="shared" si="211"/>
        <v>16957.700214</v>
      </c>
      <c r="CK104" s="1341">
        <f t="shared" si="160"/>
        <v>12217.047619399998</v>
      </c>
      <c r="CL104" s="1341">
        <f t="shared" si="194"/>
        <v>29174.747833399997</v>
      </c>
      <c r="CM104" s="1341">
        <f t="shared" si="180"/>
        <v>29174.747833400001</v>
      </c>
      <c r="CN104" s="1341">
        <f t="shared" si="181"/>
        <v>0</v>
      </c>
      <c r="CO104" s="1341">
        <f t="shared" si="161"/>
        <v>27449947.4969371</v>
      </c>
      <c r="CP104" s="1341">
        <f t="shared" si="162"/>
        <v>26207328.062780123</v>
      </c>
      <c r="CQ104" s="1341">
        <f t="shared" si="163"/>
        <v>26207328.062780123</v>
      </c>
      <c r="CR104" s="1341">
        <f t="shared" si="164"/>
        <v>15232899.877537102</v>
      </c>
      <c r="CS104" s="1341">
        <f t="shared" si="165"/>
        <v>29174747.8334</v>
      </c>
      <c r="CT104" s="1341">
        <f t="shared" si="166"/>
        <v>29174747.8334</v>
      </c>
      <c r="CU104" s="1341">
        <f t="shared" si="167"/>
        <v>12217047.619400002</v>
      </c>
      <c r="CV104" s="1341">
        <f t="shared" si="182"/>
        <v>55382075.896180123</v>
      </c>
      <c r="CW104" s="1350">
        <f t="shared" si="183"/>
        <v>6236.3129318332949</v>
      </c>
      <c r="CX104" s="1341">
        <f t="shared" si="168"/>
        <v>11618000.351017226</v>
      </c>
      <c r="CY104" s="1341">
        <f t="shared" si="169"/>
        <v>12933490.5778</v>
      </c>
      <c r="CZ104" s="1341"/>
      <c r="DA104" s="1341">
        <f t="shared" si="170"/>
        <v>26207328.062780123</v>
      </c>
      <c r="DB104" s="1341">
        <f t="shared" si="171"/>
        <v>29174747.8334</v>
      </c>
      <c r="DC104" s="1575"/>
      <c r="DD104" s="40">
        <f t="shared" si="184"/>
        <v>111.32286268753293</v>
      </c>
      <c r="DE104" s="1575"/>
      <c r="DF104" s="1575"/>
      <c r="DG104" s="1575"/>
      <c r="DH104" s="1487">
        <v>10850.630000000001</v>
      </c>
      <c r="DI104" s="1487">
        <v>3967.25</v>
      </c>
      <c r="DJ104" s="1487">
        <f t="shared" si="195"/>
        <v>6883.380000000001</v>
      </c>
      <c r="DK104" s="1423"/>
      <c r="DL104" s="1352">
        <f t="shared" si="172"/>
        <v>0</v>
      </c>
      <c r="DM104" s="1352">
        <f t="shared" si="173"/>
        <v>0</v>
      </c>
      <c r="DN104" s="1352">
        <f t="shared" si="174"/>
        <v>0</v>
      </c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</row>
    <row r="105" spans="1:142" s="50" customFormat="1" ht="77.25" hidden="1" customHeight="1">
      <c r="A105" s="6">
        <f t="shared" si="185"/>
        <v>92</v>
      </c>
      <c r="B105" s="1330" t="s">
        <v>39</v>
      </c>
      <c r="C105" s="1330" t="s">
        <v>133</v>
      </c>
      <c r="D105" s="1330" t="s">
        <v>926</v>
      </c>
      <c r="E105" s="1330">
        <v>4626006422</v>
      </c>
      <c r="F105" s="1330" t="s">
        <v>8</v>
      </c>
      <c r="G105" s="1332" t="s">
        <v>1005</v>
      </c>
      <c r="H105" s="1369">
        <v>2928.96</v>
      </c>
      <c r="I105" s="1335">
        <v>2928.96</v>
      </c>
      <c r="J105" s="1335">
        <v>2550.9499999999998</v>
      </c>
      <c r="K105" s="1335">
        <v>0</v>
      </c>
      <c r="L105" s="1335">
        <v>2928.96</v>
      </c>
      <c r="M105" s="1390">
        <v>0</v>
      </c>
      <c r="N105" s="1403">
        <v>3288.7</v>
      </c>
      <c r="O105" s="1335">
        <v>3288.7</v>
      </c>
      <c r="P105" s="1335">
        <v>2918.29</v>
      </c>
      <c r="Q105" s="1335"/>
      <c r="R105" s="1335">
        <v>3288.7</v>
      </c>
      <c r="S105" s="1390"/>
      <c r="T105" s="1456">
        <v>1470.7</v>
      </c>
      <c r="U105" s="1447">
        <v>641.79999999999995</v>
      </c>
      <c r="V105" s="1447">
        <v>0</v>
      </c>
      <c r="W105" s="1447">
        <v>5.5</v>
      </c>
      <c r="X105" s="1447">
        <v>0</v>
      </c>
      <c r="Y105" s="1447">
        <v>0</v>
      </c>
      <c r="Z105" s="1342">
        <v>2118</v>
      </c>
      <c r="AA105" s="1457">
        <v>950.75</v>
      </c>
      <c r="AB105" s="1447">
        <v>481.4</v>
      </c>
      <c r="AC105" s="1447">
        <v>0</v>
      </c>
      <c r="AD105" s="1447">
        <v>3.85</v>
      </c>
      <c r="AE105" s="1447">
        <v>0</v>
      </c>
      <c r="AF105" s="1447">
        <v>0</v>
      </c>
      <c r="AG105" s="1458">
        <v>1436</v>
      </c>
      <c r="AH105" s="1340">
        <f t="shared" si="200"/>
        <v>3554</v>
      </c>
      <c r="AI105" s="1363">
        <f>T105+AA105</f>
        <v>2421.4499999999998</v>
      </c>
      <c r="AJ105" s="1341">
        <f t="shared" si="210"/>
        <v>1123.1999999999998</v>
      </c>
      <c r="AK105" s="1341">
        <f t="shared" si="210"/>
        <v>0</v>
      </c>
      <c r="AL105" s="1447">
        <f t="shared" si="210"/>
        <v>9.35</v>
      </c>
      <c r="AM105" s="1341">
        <f t="shared" si="210"/>
        <v>0</v>
      </c>
      <c r="AN105" s="1341">
        <v>0</v>
      </c>
      <c r="AO105" s="1341">
        <f t="shared" si="228"/>
        <v>3553.9999999999995</v>
      </c>
      <c r="AP105" s="1341">
        <f t="shared" si="229"/>
        <v>3553.9999999999995</v>
      </c>
      <c r="AQ105" s="1455">
        <f t="shared" si="145"/>
        <v>3553.9999999999995</v>
      </c>
      <c r="AR105" s="1346">
        <f t="shared" si="177"/>
        <v>0</v>
      </c>
      <c r="AS105" s="1347">
        <f t="shared" si="239"/>
        <v>7092330.1919999998</v>
      </c>
      <c r="AT105" s="1341">
        <f t="shared" si="239"/>
        <v>2865227.0399999991</v>
      </c>
      <c r="AU105" s="1341">
        <f t="shared" si="239"/>
        <v>0</v>
      </c>
      <c r="AV105" s="1341">
        <f t="shared" si="239"/>
        <v>27385.775999999998</v>
      </c>
      <c r="AW105" s="1341">
        <f t="shared" si="239"/>
        <v>0</v>
      </c>
      <c r="AX105" s="1341">
        <f t="shared" si="146"/>
        <v>9984943.0079999994</v>
      </c>
      <c r="AY105" s="1341">
        <f t="shared" si="147"/>
        <v>9984943.0079999994</v>
      </c>
      <c r="AZ105" s="1341">
        <f>O105*AI105</f>
        <v>7963422.6149999993</v>
      </c>
      <c r="BA105" s="1341">
        <f>P105*AJ105</f>
        <v>3277823.3279999993</v>
      </c>
      <c r="BB105" s="1341">
        <f t="shared" si="245"/>
        <v>0</v>
      </c>
      <c r="BC105" s="1341">
        <f>R105*AL105</f>
        <v>30749.344999999998</v>
      </c>
      <c r="BD105" s="1341">
        <f t="shared" si="245"/>
        <v>0</v>
      </c>
      <c r="BE105" s="1341">
        <f>SUM(AZ105:BD105)</f>
        <v>11271995.287999999</v>
      </c>
      <c r="BF105" s="1345">
        <f>SUM(AZ105:BC105)</f>
        <v>11271995.287999999</v>
      </c>
      <c r="BG105" s="1394">
        <v>242.607</v>
      </c>
      <c r="BH105" s="1392">
        <v>178.297</v>
      </c>
      <c r="BI105" s="1392">
        <f>BG105+BH105</f>
        <v>420.904</v>
      </c>
      <c r="BJ105" s="1363">
        <v>10926.106689012175</v>
      </c>
      <c r="BK105" s="1638">
        <v>11252.25</v>
      </c>
      <c r="BL105" s="1341">
        <f t="shared" si="153"/>
        <v>4307621.4720000001</v>
      </c>
      <c r="BM105" s="1341">
        <f t="shared" si="153"/>
        <v>1637199.7099999997</v>
      </c>
      <c r="BN105" s="1341">
        <f t="shared" si="153"/>
        <v>0</v>
      </c>
      <c r="BO105" s="1341">
        <f t="shared" si="153"/>
        <v>16109.28</v>
      </c>
      <c r="BP105" s="1341">
        <f t="shared" si="153"/>
        <v>0</v>
      </c>
      <c r="BQ105" s="1341">
        <f t="shared" si="203"/>
        <v>5960930.4620000003</v>
      </c>
      <c r="BR105" s="1341">
        <f t="shared" si="204"/>
        <v>5960930.4620000003</v>
      </c>
      <c r="BS105" s="1341">
        <f t="shared" si="154"/>
        <v>3126731.5249999999</v>
      </c>
      <c r="BT105" s="1341">
        <f>P105*AB105</f>
        <v>1404864.8059999999</v>
      </c>
      <c r="BU105" s="1341">
        <f t="shared" si="154"/>
        <v>0</v>
      </c>
      <c r="BV105" s="1341">
        <f t="shared" si="205"/>
        <v>18087.849999999999</v>
      </c>
      <c r="BW105" s="1341">
        <f t="shared" si="157"/>
        <v>0</v>
      </c>
      <c r="BX105" s="1341">
        <f t="shared" si="206"/>
        <v>4549684.1809999999</v>
      </c>
      <c r="BY105" s="1341">
        <f t="shared" si="207"/>
        <v>4549684.1809999999</v>
      </c>
      <c r="BZ105" s="1349">
        <f>BM105+BT105</f>
        <v>3042064.5159999998</v>
      </c>
      <c r="CA105" s="1349">
        <f t="shared" si="155"/>
        <v>0</v>
      </c>
      <c r="CB105" s="1349">
        <f t="shared" si="208"/>
        <v>3042064.5159999998</v>
      </c>
      <c r="CC105" s="1351">
        <f t="shared" si="156"/>
        <v>2708.3907727920232</v>
      </c>
      <c r="CD105" s="1351" t="e">
        <f t="shared" si="156"/>
        <v>#DIV/0!</v>
      </c>
      <c r="CE105" s="1351">
        <f t="shared" si="178"/>
        <v>2708.3907727920232</v>
      </c>
      <c r="CF105" s="1351">
        <f t="shared" si="158"/>
        <v>2708.3907727920232</v>
      </c>
      <c r="CG105" s="1367">
        <f t="shared" si="159"/>
        <v>3462986.7079999996</v>
      </c>
      <c r="CH105" s="1367">
        <f t="shared" si="179"/>
        <v>3083.1434366096869</v>
      </c>
      <c r="CI105" s="1423"/>
      <c r="CJ105" s="1341">
        <f t="shared" si="211"/>
        <v>6965.4665999999997</v>
      </c>
      <c r="CK105" s="1341">
        <f t="shared" si="160"/>
        <v>4722.5731999999998</v>
      </c>
      <c r="CL105" s="1341">
        <f t="shared" si="194"/>
        <v>11688.039799999999</v>
      </c>
      <c r="CM105" s="1341">
        <f t="shared" si="180"/>
        <v>11688.039799999999</v>
      </c>
      <c r="CN105" s="1341">
        <f t="shared" si="181"/>
        <v>0</v>
      </c>
      <c r="CO105" s="1341">
        <f t="shared" si="161"/>
        <v>10926110.48</v>
      </c>
      <c r="CP105" s="1341">
        <f t="shared" si="162"/>
        <v>9984943.0079999994</v>
      </c>
      <c r="CQ105" s="1341">
        <f t="shared" si="163"/>
        <v>9984943.0079999994</v>
      </c>
      <c r="CR105" s="1341">
        <f t="shared" si="164"/>
        <v>5960930.4620000003</v>
      </c>
      <c r="CS105" s="1341">
        <f t="shared" si="165"/>
        <v>11271995.287999999</v>
      </c>
      <c r="CT105" s="1341">
        <f t="shared" si="166"/>
        <v>11271995.287999999</v>
      </c>
      <c r="CU105" s="1341">
        <f t="shared" si="167"/>
        <v>4544257.8260000004</v>
      </c>
      <c r="CV105" s="1341">
        <f t="shared" si="182"/>
        <v>21256938.295999996</v>
      </c>
      <c r="CW105" s="1350">
        <f t="shared" si="183"/>
        <v>5981.1306404051766</v>
      </c>
      <c r="CX105" s="1341">
        <f t="shared" si="168"/>
        <v>2865227.0399999991</v>
      </c>
      <c r="CY105" s="1341">
        <f t="shared" si="169"/>
        <v>3277823.3279999993</v>
      </c>
      <c r="CZ105" s="1341"/>
      <c r="DA105" s="1341">
        <f t="shared" si="170"/>
        <v>10409523.84</v>
      </c>
      <c r="DB105" s="1341">
        <f t="shared" si="171"/>
        <v>11688039.799999999</v>
      </c>
      <c r="DC105" s="1575"/>
      <c r="DD105" s="40">
        <f t="shared" si="184"/>
        <v>128.92059820851057</v>
      </c>
      <c r="DE105" s="1575"/>
      <c r="DF105" s="1575"/>
      <c r="DG105" s="1575"/>
      <c r="DH105" s="1487">
        <v>3554</v>
      </c>
      <c r="DI105" s="1487">
        <v>1123.1999999999998</v>
      </c>
      <c r="DJ105" s="1487">
        <f t="shared" si="195"/>
        <v>2430.8000000000002</v>
      </c>
      <c r="DK105" s="1423"/>
      <c r="DL105" s="1352">
        <f t="shared" si="172"/>
        <v>0</v>
      </c>
      <c r="DM105" s="1352">
        <f t="shared" si="173"/>
        <v>0</v>
      </c>
      <c r="DN105" s="1352">
        <f t="shared" si="174"/>
        <v>0</v>
      </c>
      <c r="DO105" s="81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</row>
    <row r="106" spans="1:142" s="50" customFormat="1" ht="84.75" hidden="1" customHeight="1">
      <c r="A106" s="6">
        <f t="shared" si="185"/>
        <v>93</v>
      </c>
      <c r="B106" s="1330" t="s">
        <v>39</v>
      </c>
      <c r="C106" s="1400" t="s">
        <v>64</v>
      </c>
      <c r="D106" s="1330" t="s">
        <v>866</v>
      </c>
      <c r="E106" s="1331">
        <v>4626006380</v>
      </c>
      <c r="F106" s="1330" t="s">
        <v>8</v>
      </c>
      <c r="G106" s="1332" t="s">
        <v>1023</v>
      </c>
      <c r="H106" s="1685">
        <v>2975.83</v>
      </c>
      <c r="I106" s="1686">
        <v>2975.83</v>
      </c>
      <c r="J106" s="1335">
        <v>2975.83</v>
      </c>
      <c r="K106" s="1335"/>
      <c r="L106" s="1335">
        <v>2975.83</v>
      </c>
      <c r="M106" s="1336"/>
      <c r="N106" s="1428">
        <v>3252.8</v>
      </c>
      <c r="O106" s="1339">
        <v>3252.8</v>
      </c>
      <c r="P106" s="1339">
        <v>3252.8</v>
      </c>
      <c r="Q106" s="1339"/>
      <c r="R106" s="1335">
        <v>3252.8</v>
      </c>
      <c r="S106" s="1336"/>
      <c r="T106" s="1456">
        <v>1510.4</v>
      </c>
      <c r="U106" s="1447">
        <v>2410.41</v>
      </c>
      <c r="V106" s="1447">
        <v>0</v>
      </c>
      <c r="W106" s="1447">
        <v>430.67</v>
      </c>
      <c r="X106" s="1447">
        <v>0</v>
      </c>
      <c r="Y106" s="1447"/>
      <c r="Z106" s="1342">
        <f t="shared" si="175"/>
        <v>4351.4799999999996</v>
      </c>
      <c r="AA106" s="1457">
        <v>988.01</v>
      </c>
      <c r="AB106" s="1447">
        <v>1742.21</v>
      </c>
      <c r="AC106" s="1447">
        <v>0</v>
      </c>
      <c r="AD106" s="1447">
        <v>269.8</v>
      </c>
      <c r="AE106" s="1447">
        <v>0</v>
      </c>
      <c r="AF106" s="1447">
        <v>0</v>
      </c>
      <c r="AG106" s="1344">
        <f t="shared" si="176"/>
        <v>3000.0200000000004</v>
      </c>
      <c r="AH106" s="1340">
        <f t="shared" si="200"/>
        <v>7351.5</v>
      </c>
      <c r="AI106" s="1341">
        <f t="shared" si="210"/>
        <v>2498.41</v>
      </c>
      <c r="AJ106" s="1341">
        <f t="shared" si="210"/>
        <v>4152.62</v>
      </c>
      <c r="AK106" s="1341">
        <f t="shared" si="210"/>
        <v>0</v>
      </c>
      <c r="AL106" s="1341">
        <f t="shared" si="210"/>
        <v>700.47</v>
      </c>
      <c r="AM106" s="1341">
        <f t="shared" si="210"/>
        <v>0</v>
      </c>
      <c r="AN106" s="1341"/>
      <c r="AO106" s="1341">
        <f t="shared" si="228"/>
        <v>7351.5</v>
      </c>
      <c r="AP106" s="1341">
        <f t="shared" si="229"/>
        <v>7351.5</v>
      </c>
      <c r="AQ106" s="1455">
        <f t="shared" si="145"/>
        <v>7351.5</v>
      </c>
      <c r="AR106" s="1346">
        <f t="shared" si="177"/>
        <v>0</v>
      </c>
      <c r="AS106" s="1347">
        <f t="shared" si="239"/>
        <v>7434843.4302999992</v>
      </c>
      <c r="AT106" s="1341">
        <f t="shared" si="239"/>
        <v>12357491.1746</v>
      </c>
      <c r="AU106" s="1341">
        <f t="shared" si="239"/>
        <v>0</v>
      </c>
      <c r="AV106" s="1341">
        <f t="shared" si="239"/>
        <v>2084479.6401</v>
      </c>
      <c r="AW106" s="1341">
        <f t="shared" si="239"/>
        <v>0</v>
      </c>
      <c r="AX106" s="1341">
        <f t="shared" si="146"/>
        <v>21876814.244999997</v>
      </c>
      <c r="AY106" s="1341">
        <f t="shared" si="147"/>
        <v>21876814.244999997</v>
      </c>
      <c r="AZ106" s="1341">
        <f t="shared" ref="AZ106:BC139" si="246">O106*AI106</f>
        <v>8126828.0480000004</v>
      </c>
      <c r="BA106" s="1341">
        <f t="shared" si="246"/>
        <v>13507642.336000001</v>
      </c>
      <c r="BB106" s="1341">
        <f t="shared" si="245"/>
        <v>0</v>
      </c>
      <c r="BC106" s="1341">
        <f t="shared" si="245"/>
        <v>2278488.8160000001</v>
      </c>
      <c r="BD106" s="1341">
        <f t="shared" si="245"/>
        <v>0</v>
      </c>
      <c r="BE106" s="1341">
        <f t="shared" si="148"/>
        <v>23912959.200000003</v>
      </c>
      <c r="BF106" s="1345">
        <f t="shared" si="149"/>
        <v>23912959.200000003</v>
      </c>
      <c r="BG106" s="1348"/>
      <c r="BH106" s="1341"/>
      <c r="BI106" s="1366"/>
      <c r="BJ106" s="1363">
        <v>22707.73</v>
      </c>
      <c r="BK106" s="1647">
        <v>24292.35</v>
      </c>
      <c r="BL106" s="1341">
        <f>I106*T106</f>
        <v>4494693.6320000002</v>
      </c>
      <c r="BM106" s="1341">
        <f>J106*U106</f>
        <v>7172970.3902999992</v>
      </c>
      <c r="BN106" s="1341">
        <f t="shared" si="153"/>
        <v>0</v>
      </c>
      <c r="BO106" s="1341">
        <f>L106*W106</f>
        <v>1281600.7061000001</v>
      </c>
      <c r="BP106" s="1341">
        <f t="shared" si="153"/>
        <v>0</v>
      </c>
      <c r="BQ106" s="1341">
        <f>BL106+BM106+BN106+BO106+BP106</f>
        <v>12949264.728399999</v>
      </c>
      <c r="BR106" s="1341">
        <f>BQ106-BP106</f>
        <v>12949264.728399999</v>
      </c>
      <c r="BS106" s="1341">
        <f>O106*AA106</f>
        <v>3213798.9280000003</v>
      </c>
      <c r="BT106" s="1341">
        <f>P106*AB106</f>
        <v>5667060.6880000001</v>
      </c>
      <c r="BU106" s="1341">
        <f t="shared" si="154"/>
        <v>0</v>
      </c>
      <c r="BV106" s="1341">
        <f>R106*W106</f>
        <v>1400883.3760000002</v>
      </c>
      <c r="BW106" s="1341">
        <f t="shared" si="157"/>
        <v>0</v>
      </c>
      <c r="BX106" s="1341">
        <f>BS106+BT106+BU106+BV106+BW106</f>
        <v>10281742.992000001</v>
      </c>
      <c r="BY106" s="1341">
        <f>BX106-BW106</f>
        <v>10281742.992000001</v>
      </c>
      <c r="BZ106" s="1349">
        <f>BM106+BT106</f>
        <v>12840031.078299999</v>
      </c>
      <c r="CA106" s="1349">
        <f t="shared" si="155"/>
        <v>0</v>
      </c>
      <c r="CB106" s="1349">
        <f t="shared" si="208"/>
        <v>12840031.078299999</v>
      </c>
      <c r="CC106" s="1351">
        <f t="shared" si="156"/>
        <v>3092.0313147603197</v>
      </c>
      <c r="CD106" s="1351" t="e">
        <f t="shared" si="156"/>
        <v>#DIV/0!</v>
      </c>
      <c r="CE106" s="1351">
        <f t="shared" si="178"/>
        <v>3092.0313147603197</v>
      </c>
      <c r="CF106" s="1351">
        <f t="shared" si="158"/>
        <v>3092.0313147603197</v>
      </c>
      <c r="CG106" s="1367">
        <f t="shared" si="159"/>
        <v>12840031.078299999</v>
      </c>
      <c r="CH106" s="1367">
        <f t="shared" si="179"/>
        <v>3092.0313147603197</v>
      </c>
      <c r="CI106" s="1349"/>
      <c r="CJ106" s="1341">
        <f t="shared" si="211"/>
        <v>14154.494144</v>
      </c>
      <c r="CK106" s="1341">
        <f t="shared" si="160"/>
        <v>9758.4650560000009</v>
      </c>
      <c r="CL106" s="1366">
        <f>CJ106+CK106</f>
        <v>23912.959200000001</v>
      </c>
      <c r="CM106" s="1341">
        <f t="shared" si="180"/>
        <v>23912.959200000005</v>
      </c>
      <c r="CN106" s="1341">
        <f t="shared" si="181"/>
        <v>0</v>
      </c>
      <c r="CO106" s="1341">
        <f t="shared" si="161"/>
        <v>22707729.784400001</v>
      </c>
      <c r="CP106" s="1341">
        <f t="shared" si="162"/>
        <v>21876814.244999997</v>
      </c>
      <c r="CQ106" s="1341">
        <f t="shared" si="163"/>
        <v>21876814.244999997</v>
      </c>
      <c r="CR106" s="1341">
        <f t="shared" si="164"/>
        <v>12949264.728399999</v>
      </c>
      <c r="CS106" s="1341">
        <f t="shared" si="165"/>
        <v>23912959.200000003</v>
      </c>
      <c r="CT106" s="1341">
        <f t="shared" si="166"/>
        <v>23912959.200000003</v>
      </c>
      <c r="CU106" s="1341">
        <f t="shared" si="167"/>
        <v>9758465.0559999999</v>
      </c>
      <c r="CV106" s="1341">
        <f t="shared" si="182"/>
        <v>45789773.445</v>
      </c>
      <c r="CW106" s="1350">
        <f t="shared" si="183"/>
        <v>6228.63</v>
      </c>
      <c r="CX106" s="1341">
        <f t="shared" si="168"/>
        <v>12357491.1746</v>
      </c>
      <c r="CY106" s="1341">
        <f t="shared" si="169"/>
        <v>13507642.336000001</v>
      </c>
      <c r="CZ106" s="1341"/>
      <c r="DA106" s="1341">
        <f t="shared" si="170"/>
        <v>21876814.244999997</v>
      </c>
      <c r="DB106" s="1341">
        <f t="shared" si="171"/>
        <v>23912959.200000003</v>
      </c>
      <c r="DC106" s="27"/>
      <c r="DD106" s="40">
        <f t="shared" si="184"/>
        <v>109.30731930251395</v>
      </c>
      <c r="DE106" s="27"/>
      <c r="DF106" s="27"/>
      <c r="DG106" s="27"/>
      <c r="DH106" s="1670">
        <v>7351.48</v>
      </c>
      <c r="DI106" s="1670">
        <v>4152.6099999999997</v>
      </c>
      <c r="DJ106" s="1487">
        <f t="shared" si="195"/>
        <v>3198.87</v>
      </c>
      <c r="DK106" s="1349"/>
      <c r="DL106" s="1352">
        <f t="shared" si="172"/>
        <v>0</v>
      </c>
      <c r="DM106" s="1352">
        <f t="shared" si="173"/>
        <v>0</v>
      </c>
      <c r="DN106" s="1352">
        <f t="shared" si="174"/>
        <v>0</v>
      </c>
      <c r="DO106" s="6"/>
      <c r="DP106" s="81"/>
      <c r="DQ106" s="81"/>
      <c r="DR106" s="81"/>
      <c r="DS106" s="81"/>
      <c r="DT106" s="81"/>
      <c r="DU106" s="81"/>
      <c r="DV106" s="81"/>
      <c r="DW106" s="81"/>
      <c r="DX106" s="81"/>
      <c r="DY106" s="81"/>
      <c r="DZ106" s="81"/>
      <c r="EA106" s="81"/>
      <c r="EB106" s="81"/>
      <c r="EC106" s="81"/>
      <c r="ED106" s="81"/>
      <c r="EE106" s="81"/>
      <c r="EF106" s="81"/>
      <c r="EG106" s="81"/>
      <c r="EH106" s="81"/>
      <c r="EI106" s="81"/>
      <c r="EJ106" s="81"/>
      <c r="EK106" s="81"/>
      <c r="EL106" s="81"/>
    </row>
    <row r="107" spans="1:142" s="1313" customFormat="1" ht="77.25" hidden="1" customHeight="1">
      <c r="A107" s="6">
        <f t="shared" si="185"/>
        <v>94</v>
      </c>
      <c r="B107" s="1330" t="s">
        <v>39</v>
      </c>
      <c r="C107" s="1753" t="s">
        <v>120</v>
      </c>
      <c r="D107" s="1706" t="s">
        <v>141</v>
      </c>
      <c r="E107" s="1331">
        <v>4632024035</v>
      </c>
      <c r="F107" s="1330" t="s">
        <v>8</v>
      </c>
      <c r="G107" s="1682" t="s">
        <v>1034</v>
      </c>
      <c r="H107" s="1700">
        <v>3314.9639999999995</v>
      </c>
      <c r="I107" s="1701">
        <f t="shared" ref="I107:I119" si="247">H107</f>
        <v>3314.9639999999995</v>
      </c>
      <c r="J107" s="1335"/>
      <c r="K107" s="1335"/>
      <c r="L107" s="1700">
        <v>3314.9639999999995</v>
      </c>
      <c r="M107" s="1390"/>
      <c r="N107" s="1703">
        <f t="shared" ref="N107:N119" si="248">3132.14*1.2</f>
        <v>3758.5679999999998</v>
      </c>
      <c r="O107" s="1704">
        <f t="shared" ref="O107:O119" si="249">N107</f>
        <v>3758.5679999999998</v>
      </c>
      <c r="P107" s="1335"/>
      <c r="Q107" s="1335"/>
      <c r="R107" s="1335">
        <f t="shared" ref="R107:R119" si="250">O107</f>
        <v>3758.5679999999998</v>
      </c>
      <c r="S107" s="1390"/>
      <c r="T107" s="1834">
        <v>86.298000000000002</v>
      </c>
      <c r="U107" s="1824"/>
      <c r="V107" s="1824"/>
      <c r="W107" s="1375"/>
      <c r="X107" s="1375"/>
      <c r="Y107" s="1375"/>
      <c r="Z107" s="1376">
        <f t="shared" si="175"/>
        <v>86.298000000000002</v>
      </c>
      <c r="AA107" s="1825">
        <v>50.112000000000002</v>
      </c>
      <c r="AB107" s="1810"/>
      <c r="AC107" s="1810"/>
      <c r="AD107" s="1334"/>
      <c r="AE107" s="1334"/>
      <c r="AF107" s="1334"/>
      <c r="AG107" s="1395">
        <f t="shared" si="176"/>
        <v>50.112000000000002</v>
      </c>
      <c r="AH107" s="1391">
        <f t="shared" si="200"/>
        <v>136.41</v>
      </c>
      <c r="AI107" s="1334">
        <f t="shared" si="210"/>
        <v>136.41</v>
      </c>
      <c r="AJ107" s="1334">
        <f t="shared" si="210"/>
        <v>0</v>
      </c>
      <c r="AK107" s="1334">
        <f t="shared" si="210"/>
        <v>0</v>
      </c>
      <c r="AL107" s="1334">
        <f t="shared" si="210"/>
        <v>0</v>
      </c>
      <c r="AM107" s="1334">
        <f t="shared" si="210"/>
        <v>0</v>
      </c>
      <c r="AN107" s="1334"/>
      <c r="AO107" s="1334">
        <f t="shared" si="228"/>
        <v>136.41</v>
      </c>
      <c r="AP107" s="1334">
        <f t="shared" si="229"/>
        <v>136.41</v>
      </c>
      <c r="AQ107" s="1396">
        <f t="shared" si="145"/>
        <v>136.41</v>
      </c>
      <c r="AR107" s="1417">
        <f t="shared" si="177"/>
        <v>0</v>
      </c>
      <c r="AS107" s="1333">
        <f t="shared" si="239"/>
        <v>452194.23923999991</v>
      </c>
      <c r="AT107" s="1334">
        <f t="shared" si="239"/>
        <v>0</v>
      </c>
      <c r="AU107" s="1334">
        <f t="shared" si="239"/>
        <v>0</v>
      </c>
      <c r="AV107" s="1334">
        <f t="shared" si="239"/>
        <v>0</v>
      </c>
      <c r="AW107" s="1334">
        <f t="shared" si="239"/>
        <v>0</v>
      </c>
      <c r="AX107" s="1334">
        <f t="shared" si="146"/>
        <v>452194.23923999991</v>
      </c>
      <c r="AY107" s="1334">
        <f t="shared" si="147"/>
        <v>452194.23923999991</v>
      </c>
      <c r="AZ107" s="1334">
        <f t="shared" si="246"/>
        <v>512706.26087999996</v>
      </c>
      <c r="BA107" s="1334">
        <f t="shared" si="246"/>
        <v>0</v>
      </c>
      <c r="BB107" s="1334">
        <f t="shared" si="245"/>
        <v>0</v>
      </c>
      <c r="BC107" s="1334">
        <f t="shared" si="245"/>
        <v>0</v>
      </c>
      <c r="BD107" s="1334">
        <f t="shared" si="245"/>
        <v>0</v>
      </c>
      <c r="BE107" s="1334">
        <f t="shared" si="148"/>
        <v>512706.26087999996</v>
      </c>
      <c r="BF107" s="1396">
        <f t="shared" si="149"/>
        <v>512706.26087999996</v>
      </c>
      <c r="BG107" s="1397">
        <f t="shared" ref="BG107:BG118" si="251">(H107-J107)/1.2*U107/1000+(H107-K107)/1.2*V107/1000</f>
        <v>0</v>
      </c>
      <c r="BH107" s="1398">
        <f t="shared" ref="BH107:BH118" si="252">(O107-P107)*AB107/1000/1.2+(O107-Q107)/1.2*AC107/1000</f>
        <v>0</v>
      </c>
      <c r="BI107" s="1399">
        <f t="shared" ref="BI107:BI118" si="253">BG107+BH107</f>
        <v>0</v>
      </c>
      <c r="BJ107" s="1334"/>
      <c r="BK107" s="1643"/>
      <c r="BL107" s="1334">
        <f t="shared" si="153"/>
        <v>286074.76327199995</v>
      </c>
      <c r="BM107" s="1334">
        <f t="shared" si="153"/>
        <v>0</v>
      </c>
      <c r="BN107" s="1334">
        <f t="shared" si="153"/>
        <v>0</v>
      </c>
      <c r="BO107" s="1334">
        <f t="shared" si="153"/>
        <v>0</v>
      </c>
      <c r="BP107" s="1334">
        <f t="shared" si="153"/>
        <v>0</v>
      </c>
      <c r="BQ107" s="1334">
        <f t="shared" si="203"/>
        <v>286074.76327199995</v>
      </c>
      <c r="BR107" s="1334">
        <f t="shared" si="204"/>
        <v>286074.76327199995</v>
      </c>
      <c r="BS107" s="1334">
        <f t="shared" si="154"/>
        <v>188349.359616</v>
      </c>
      <c r="BT107" s="1334">
        <f t="shared" si="154"/>
        <v>0</v>
      </c>
      <c r="BU107" s="1334">
        <f t="shared" si="154"/>
        <v>0</v>
      </c>
      <c r="BV107" s="1334">
        <f t="shared" si="205"/>
        <v>0</v>
      </c>
      <c r="BW107" s="1334">
        <f t="shared" si="157"/>
        <v>0</v>
      </c>
      <c r="BX107" s="1334">
        <f t="shared" si="206"/>
        <v>188349.359616</v>
      </c>
      <c r="BY107" s="1334">
        <f t="shared" si="207"/>
        <v>188349.359616</v>
      </c>
      <c r="BZ107" s="1389">
        <f t="shared" si="155"/>
        <v>0</v>
      </c>
      <c r="CA107" s="1389">
        <f t="shared" si="155"/>
        <v>0</v>
      </c>
      <c r="CB107" s="1389">
        <f t="shared" si="208"/>
        <v>0</v>
      </c>
      <c r="CC107" s="1420" t="e">
        <f t="shared" si="156"/>
        <v>#DIV/0!</v>
      </c>
      <c r="CD107" s="1420" t="e">
        <f t="shared" si="156"/>
        <v>#DIV/0!</v>
      </c>
      <c r="CE107" s="1420" t="e">
        <f t="shared" si="178"/>
        <v>#DIV/0!</v>
      </c>
      <c r="CF107" s="1389" t="e">
        <f t="shared" si="158"/>
        <v>#DIV/0!</v>
      </c>
      <c r="CG107" s="1421">
        <f t="shared" si="159"/>
        <v>0</v>
      </c>
      <c r="CH107" s="1421" t="e">
        <f t="shared" si="179"/>
        <v>#DIV/0!</v>
      </c>
      <c r="CI107" s="1389"/>
      <c r="CJ107" s="1756">
        <f t="shared" ref="CJ107:CJ119" si="254">H107*Z107/1000</f>
        <v>286.07476327199993</v>
      </c>
      <c r="CK107" s="1756">
        <f t="shared" si="160"/>
        <v>188.34935961600002</v>
      </c>
      <c r="CL107" s="1756">
        <f t="shared" ref="CL107:CL119" si="255">CJ107+CK107</f>
        <v>474.42412288799994</v>
      </c>
      <c r="CM107" s="1334">
        <f t="shared" si="180"/>
        <v>512.70626087999995</v>
      </c>
      <c r="CN107" s="1334">
        <f t="shared" si="181"/>
        <v>38.282137992000003</v>
      </c>
      <c r="CO107" s="1334">
        <f t="shared" si="161"/>
        <v>474424.12288799998</v>
      </c>
      <c r="CP107" s="1334">
        <f t="shared" si="162"/>
        <v>452194.23923999991</v>
      </c>
      <c r="CQ107" s="1334">
        <f t="shared" si="163"/>
        <v>452194.23923999991</v>
      </c>
      <c r="CR107" s="1334">
        <f t="shared" si="164"/>
        <v>286074.76327199995</v>
      </c>
      <c r="CS107" s="1334">
        <f t="shared" si="165"/>
        <v>512706.26087999996</v>
      </c>
      <c r="CT107" s="1334">
        <f t="shared" si="166"/>
        <v>512706.26087999996</v>
      </c>
      <c r="CU107" s="1334">
        <f t="shared" si="167"/>
        <v>188349.359616</v>
      </c>
      <c r="CV107" s="1334">
        <f t="shared" si="182"/>
        <v>964900.50011999987</v>
      </c>
      <c r="CW107" s="1422">
        <f t="shared" si="183"/>
        <v>7073.5319999999992</v>
      </c>
      <c r="CX107" s="1334">
        <f t="shared" si="168"/>
        <v>0</v>
      </c>
      <c r="CY107" s="1334">
        <f t="shared" si="169"/>
        <v>0</v>
      </c>
      <c r="CZ107" s="1334"/>
      <c r="DA107" s="1334">
        <f t="shared" si="170"/>
        <v>452194.23923999991</v>
      </c>
      <c r="DB107" s="1334">
        <f t="shared" si="171"/>
        <v>512706.26087999996</v>
      </c>
      <c r="DC107" s="1223"/>
      <c r="DD107" s="1224" t="e">
        <f t="shared" si="184"/>
        <v>#DIV/0!</v>
      </c>
      <c r="DE107" s="1223"/>
      <c r="DF107" s="1223"/>
      <c r="DG107" s="1223"/>
      <c r="DH107" s="1494"/>
      <c r="DI107" s="1494"/>
      <c r="DJ107" s="1494"/>
      <c r="DK107" s="1389"/>
      <c r="DL107" s="1419">
        <f t="shared" si="172"/>
        <v>0</v>
      </c>
      <c r="DM107" s="1419">
        <f t="shared" si="173"/>
        <v>0</v>
      </c>
      <c r="DN107" s="1419">
        <f t="shared" si="174"/>
        <v>0</v>
      </c>
      <c r="DO107" s="819"/>
      <c r="DP107" s="1315"/>
      <c r="DQ107" s="1315"/>
      <c r="DR107" s="1315"/>
      <c r="DS107" s="1315"/>
      <c r="DT107" s="1315"/>
      <c r="DU107" s="1315"/>
      <c r="DV107" s="1315"/>
      <c r="DW107" s="1315"/>
      <c r="DX107" s="1315"/>
      <c r="DY107" s="1315"/>
      <c r="DZ107" s="1315"/>
      <c r="EA107" s="1315"/>
      <c r="EB107" s="1315"/>
      <c r="EC107" s="1315"/>
      <c r="ED107" s="1315"/>
      <c r="EE107" s="1315"/>
      <c r="EF107" s="1315"/>
      <c r="EG107" s="1315"/>
      <c r="EH107" s="1315"/>
      <c r="EI107" s="1315"/>
      <c r="EJ107" s="1315"/>
      <c r="EK107" s="1315"/>
      <c r="EL107" s="1315"/>
    </row>
    <row r="108" spans="1:142" s="1313" customFormat="1" ht="76.5" hidden="1" customHeight="1">
      <c r="A108" s="6">
        <f t="shared" si="185"/>
        <v>95</v>
      </c>
      <c r="B108" s="1330" t="s">
        <v>39</v>
      </c>
      <c r="C108" s="1753" t="s">
        <v>121</v>
      </c>
      <c r="D108" s="1706" t="s">
        <v>141</v>
      </c>
      <c r="E108" s="1331">
        <v>4632024035</v>
      </c>
      <c r="F108" s="1330" t="s">
        <v>8</v>
      </c>
      <c r="G108" s="1682" t="s">
        <v>1034</v>
      </c>
      <c r="H108" s="1700">
        <v>3314.9639999999995</v>
      </c>
      <c r="I108" s="1701">
        <f t="shared" si="247"/>
        <v>3314.9639999999995</v>
      </c>
      <c r="J108" s="1335"/>
      <c r="K108" s="1335"/>
      <c r="L108" s="1700">
        <v>3314.9639999999995</v>
      </c>
      <c r="M108" s="1390"/>
      <c r="N108" s="1703">
        <f t="shared" si="248"/>
        <v>3758.5679999999998</v>
      </c>
      <c r="O108" s="1704">
        <f t="shared" si="249"/>
        <v>3758.5679999999998</v>
      </c>
      <c r="P108" s="1335"/>
      <c r="Q108" s="1335"/>
      <c r="R108" s="1335">
        <f t="shared" si="250"/>
        <v>3758.5679999999998</v>
      </c>
      <c r="S108" s="1390"/>
      <c r="T108" s="1834">
        <v>64.724000000000004</v>
      </c>
      <c r="U108" s="1824"/>
      <c r="V108" s="1824"/>
      <c r="W108" s="1375"/>
      <c r="X108" s="1375"/>
      <c r="Y108" s="1375"/>
      <c r="Z108" s="1376">
        <f t="shared" si="175"/>
        <v>64.724000000000004</v>
      </c>
      <c r="AA108" s="1825">
        <v>37.584000000000003</v>
      </c>
      <c r="AB108" s="1831"/>
      <c r="AC108" s="1831"/>
      <c r="AD108" s="1334"/>
      <c r="AE108" s="1334"/>
      <c r="AF108" s="1334"/>
      <c r="AG108" s="1395">
        <f t="shared" si="176"/>
        <v>37.584000000000003</v>
      </c>
      <c r="AH108" s="1391">
        <f t="shared" si="200"/>
        <v>102.30800000000001</v>
      </c>
      <c r="AI108" s="1334">
        <f t="shared" si="210"/>
        <v>102.30800000000001</v>
      </c>
      <c r="AJ108" s="1334">
        <f t="shared" si="210"/>
        <v>0</v>
      </c>
      <c r="AK108" s="1334">
        <f t="shared" si="210"/>
        <v>0</v>
      </c>
      <c r="AL108" s="1334">
        <f t="shared" si="210"/>
        <v>0</v>
      </c>
      <c r="AM108" s="1334">
        <f t="shared" si="210"/>
        <v>0</v>
      </c>
      <c r="AN108" s="1334"/>
      <c r="AO108" s="1334">
        <f t="shared" si="228"/>
        <v>102.30800000000001</v>
      </c>
      <c r="AP108" s="1334">
        <f t="shared" si="229"/>
        <v>102.30800000000001</v>
      </c>
      <c r="AQ108" s="1396">
        <f t="shared" si="145"/>
        <v>102.30800000000001</v>
      </c>
      <c r="AR108" s="1417">
        <f t="shared" si="177"/>
        <v>0</v>
      </c>
      <c r="AS108" s="1333">
        <f t="shared" si="239"/>
        <v>339147.33691199997</v>
      </c>
      <c r="AT108" s="1334">
        <f t="shared" si="239"/>
        <v>0</v>
      </c>
      <c r="AU108" s="1334">
        <f t="shared" si="239"/>
        <v>0</v>
      </c>
      <c r="AV108" s="1334">
        <f t="shared" si="239"/>
        <v>0</v>
      </c>
      <c r="AW108" s="1334">
        <f t="shared" si="239"/>
        <v>0</v>
      </c>
      <c r="AX108" s="1334">
        <f t="shared" si="146"/>
        <v>339147.33691199997</v>
      </c>
      <c r="AY108" s="1334">
        <f t="shared" si="147"/>
        <v>339147.33691199997</v>
      </c>
      <c r="AZ108" s="1334">
        <f t="shared" si="246"/>
        <v>384531.57494399999</v>
      </c>
      <c r="BA108" s="1334">
        <f t="shared" si="246"/>
        <v>0</v>
      </c>
      <c r="BB108" s="1334">
        <f t="shared" si="245"/>
        <v>0</v>
      </c>
      <c r="BC108" s="1334">
        <f t="shared" si="245"/>
        <v>0</v>
      </c>
      <c r="BD108" s="1334">
        <f t="shared" si="245"/>
        <v>0</v>
      </c>
      <c r="BE108" s="1334">
        <f t="shared" si="148"/>
        <v>384531.57494399999</v>
      </c>
      <c r="BF108" s="1396">
        <f t="shared" si="149"/>
        <v>384531.57494399999</v>
      </c>
      <c r="BG108" s="1397">
        <f t="shared" si="251"/>
        <v>0</v>
      </c>
      <c r="BH108" s="1398">
        <f t="shared" si="252"/>
        <v>0</v>
      </c>
      <c r="BI108" s="1399">
        <f t="shared" si="253"/>
        <v>0</v>
      </c>
      <c r="BJ108" s="1334"/>
      <c r="BK108" s="1643"/>
      <c r="BL108" s="1334">
        <f t="shared" si="153"/>
        <v>214557.72993599999</v>
      </c>
      <c r="BM108" s="1334">
        <f t="shared" si="153"/>
        <v>0</v>
      </c>
      <c r="BN108" s="1334">
        <f t="shared" si="153"/>
        <v>0</v>
      </c>
      <c r="BO108" s="1334">
        <f t="shared" si="153"/>
        <v>0</v>
      </c>
      <c r="BP108" s="1334">
        <f t="shared" si="153"/>
        <v>0</v>
      </c>
      <c r="BQ108" s="1334">
        <f t="shared" si="203"/>
        <v>214557.72993599999</v>
      </c>
      <c r="BR108" s="1334">
        <f t="shared" si="204"/>
        <v>214557.72993599999</v>
      </c>
      <c r="BS108" s="1334">
        <f t="shared" si="154"/>
        <v>141262.01971200001</v>
      </c>
      <c r="BT108" s="1334">
        <f t="shared" si="154"/>
        <v>0</v>
      </c>
      <c r="BU108" s="1334">
        <f t="shared" si="154"/>
        <v>0</v>
      </c>
      <c r="BV108" s="1334">
        <f t="shared" si="205"/>
        <v>0</v>
      </c>
      <c r="BW108" s="1334">
        <f t="shared" si="157"/>
        <v>0</v>
      </c>
      <c r="BX108" s="1334">
        <f t="shared" si="206"/>
        <v>141262.01971200001</v>
      </c>
      <c r="BY108" s="1334">
        <f t="shared" si="207"/>
        <v>141262.01971200001</v>
      </c>
      <c r="BZ108" s="1389">
        <f t="shared" si="155"/>
        <v>0</v>
      </c>
      <c r="CA108" s="1389">
        <f t="shared" si="155"/>
        <v>0</v>
      </c>
      <c r="CB108" s="1389">
        <f t="shared" si="208"/>
        <v>0</v>
      </c>
      <c r="CC108" s="1420" t="e">
        <f t="shared" si="156"/>
        <v>#DIV/0!</v>
      </c>
      <c r="CD108" s="1420" t="e">
        <f t="shared" si="156"/>
        <v>#DIV/0!</v>
      </c>
      <c r="CE108" s="1420" t="e">
        <f t="shared" si="178"/>
        <v>#DIV/0!</v>
      </c>
      <c r="CF108" s="1389" t="e">
        <f t="shared" si="158"/>
        <v>#DIV/0!</v>
      </c>
      <c r="CG108" s="1421">
        <f t="shared" si="159"/>
        <v>0</v>
      </c>
      <c r="CH108" s="1421" t="e">
        <f t="shared" si="179"/>
        <v>#DIV/0!</v>
      </c>
      <c r="CI108" s="1389"/>
      <c r="CJ108" s="1756">
        <f t="shared" si="254"/>
        <v>214.55772993599999</v>
      </c>
      <c r="CK108" s="1756">
        <f t="shared" si="160"/>
        <v>141.26201971200001</v>
      </c>
      <c r="CL108" s="1756">
        <f t="shared" si="255"/>
        <v>355.81974964799997</v>
      </c>
      <c r="CM108" s="1334">
        <f t="shared" si="180"/>
        <v>384.531574944</v>
      </c>
      <c r="CN108" s="1334">
        <f t="shared" si="181"/>
        <v>28.711825296000029</v>
      </c>
      <c r="CO108" s="1334">
        <f t="shared" si="161"/>
        <v>355819.749648</v>
      </c>
      <c r="CP108" s="1334">
        <f t="shared" si="162"/>
        <v>339147.33691199997</v>
      </c>
      <c r="CQ108" s="1334">
        <f t="shared" si="163"/>
        <v>339147.33691199997</v>
      </c>
      <c r="CR108" s="1334">
        <f t="shared" si="164"/>
        <v>214557.72993599999</v>
      </c>
      <c r="CS108" s="1334">
        <f t="shared" si="165"/>
        <v>384531.57494399999</v>
      </c>
      <c r="CT108" s="1334">
        <f t="shared" si="166"/>
        <v>384531.57494399999</v>
      </c>
      <c r="CU108" s="1334">
        <f t="shared" si="167"/>
        <v>141262.01971200001</v>
      </c>
      <c r="CV108" s="1334">
        <f t="shared" si="182"/>
        <v>723678.91185599996</v>
      </c>
      <c r="CW108" s="1422">
        <f t="shared" si="183"/>
        <v>7073.5319999999992</v>
      </c>
      <c r="CX108" s="1334">
        <f t="shared" si="168"/>
        <v>0</v>
      </c>
      <c r="CY108" s="1334">
        <f t="shared" si="169"/>
        <v>0</v>
      </c>
      <c r="CZ108" s="1334"/>
      <c r="DA108" s="1334">
        <f t="shared" si="170"/>
        <v>339147.33691199997</v>
      </c>
      <c r="DB108" s="1334">
        <f t="shared" si="171"/>
        <v>384531.57494399999</v>
      </c>
      <c r="DC108" s="1223"/>
      <c r="DD108" s="1224" t="e">
        <f t="shared" si="184"/>
        <v>#DIV/0!</v>
      </c>
      <c r="DE108" s="1223"/>
      <c r="DF108" s="1223"/>
      <c r="DG108" s="1223"/>
      <c r="DH108" s="1494"/>
      <c r="DI108" s="1494"/>
      <c r="DJ108" s="1494"/>
      <c r="DK108" s="1389"/>
      <c r="DL108" s="1419">
        <f t="shared" si="172"/>
        <v>0</v>
      </c>
      <c r="DM108" s="1419">
        <f t="shared" si="173"/>
        <v>0</v>
      </c>
      <c r="DN108" s="1419">
        <f t="shared" si="174"/>
        <v>0</v>
      </c>
      <c r="DO108" s="819"/>
      <c r="DP108" s="1315"/>
      <c r="DQ108" s="1315"/>
      <c r="DR108" s="1315"/>
      <c r="DS108" s="1315"/>
      <c r="DT108" s="1315"/>
      <c r="DU108" s="1315"/>
      <c r="DV108" s="1315"/>
      <c r="DW108" s="1315"/>
      <c r="DX108" s="1315"/>
      <c r="DY108" s="1315"/>
      <c r="DZ108" s="1315"/>
      <c r="EA108" s="1315"/>
      <c r="EB108" s="1315"/>
      <c r="EC108" s="1315"/>
      <c r="ED108" s="1315"/>
      <c r="EE108" s="1315"/>
      <c r="EF108" s="1315"/>
      <c r="EG108" s="1315"/>
      <c r="EH108" s="1315"/>
      <c r="EI108" s="1315"/>
      <c r="EJ108" s="1315"/>
      <c r="EK108" s="1315"/>
      <c r="EL108" s="1315"/>
    </row>
    <row r="109" spans="1:142" s="1313" customFormat="1" ht="80.25" hidden="1" customHeight="1">
      <c r="A109" s="6">
        <f t="shared" si="185"/>
        <v>96</v>
      </c>
      <c r="B109" s="1330" t="s">
        <v>41</v>
      </c>
      <c r="C109" s="1753" t="s">
        <v>122</v>
      </c>
      <c r="D109" s="1706" t="s">
        <v>147</v>
      </c>
      <c r="E109" s="1331">
        <v>4632024035</v>
      </c>
      <c r="F109" s="1330" t="s">
        <v>8</v>
      </c>
      <c r="G109" s="1682" t="s">
        <v>1034</v>
      </c>
      <c r="H109" s="1700">
        <v>3314.9639999999995</v>
      </c>
      <c r="I109" s="1701">
        <f t="shared" si="247"/>
        <v>3314.9639999999995</v>
      </c>
      <c r="J109" s="1707">
        <v>2484</v>
      </c>
      <c r="K109" s="1335"/>
      <c r="L109" s="1700">
        <v>3314.9639999999995</v>
      </c>
      <c r="M109" s="1390"/>
      <c r="N109" s="1703">
        <f t="shared" si="248"/>
        <v>3758.5679999999998</v>
      </c>
      <c r="O109" s="1704">
        <f t="shared" si="249"/>
        <v>3758.5679999999998</v>
      </c>
      <c r="P109" s="1708">
        <v>2719.98</v>
      </c>
      <c r="Q109" s="1335"/>
      <c r="R109" s="1335">
        <f t="shared" si="250"/>
        <v>3758.5679999999998</v>
      </c>
      <c r="S109" s="1390"/>
      <c r="T109" s="1822">
        <v>1953.9</v>
      </c>
      <c r="U109" s="1741">
        <v>1154.6129999999998</v>
      </c>
      <c r="V109" s="1810"/>
      <c r="W109" s="1334"/>
      <c r="X109" s="1334"/>
      <c r="Y109" s="1334"/>
      <c r="Z109" s="1393">
        <f t="shared" si="175"/>
        <v>3108.5129999999999</v>
      </c>
      <c r="AA109" s="1752">
        <v>1034.5999999999999</v>
      </c>
      <c r="AB109" s="1736">
        <v>970</v>
      </c>
      <c r="AC109" s="1831"/>
      <c r="AD109" s="1334"/>
      <c r="AE109" s="1334"/>
      <c r="AF109" s="1334"/>
      <c r="AG109" s="1395">
        <f t="shared" si="176"/>
        <v>2004.6</v>
      </c>
      <c r="AH109" s="1391">
        <f t="shared" si="200"/>
        <v>5113.1129999999994</v>
      </c>
      <c r="AI109" s="1334">
        <f t="shared" si="210"/>
        <v>2988.5</v>
      </c>
      <c r="AJ109" s="1334">
        <f t="shared" si="210"/>
        <v>2124.6129999999998</v>
      </c>
      <c r="AK109" s="1334">
        <f t="shared" si="210"/>
        <v>0</v>
      </c>
      <c r="AL109" s="1334">
        <f t="shared" si="210"/>
        <v>0</v>
      </c>
      <c r="AM109" s="1334">
        <f t="shared" si="210"/>
        <v>0</v>
      </c>
      <c r="AN109" s="1334"/>
      <c r="AO109" s="1334">
        <f t="shared" si="228"/>
        <v>5113.1129999999994</v>
      </c>
      <c r="AP109" s="1334">
        <f t="shared" si="229"/>
        <v>5113.1129999999994</v>
      </c>
      <c r="AQ109" s="1396">
        <f t="shared" si="145"/>
        <v>5113.1129999999994</v>
      </c>
      <c r="AR109" s="1417">
        <f t="shared" si="177"/>
        <v>0</v>
      </c>
      <c r="AS109" s="1333">
        <f t="shared" si="239"/>
        <v>9906769.9139999989</v>
      </c>
      <c r="AT109" s="1334">
        <f t="shared" si="239"/>
        <v>5277538.6919999998</v>
      </c>
      <c r="AU109" s="1334">
        <f t="shared" si="239"/>
        <v>0</v>
      </c>
      <c r="AV109" s="1334">
        <f t="shared" si="239"/>
        <v>0</v>
      </c>
      <c r="AW109" s="1334">
        <f t="shared" si="239"/>
        <v>0</v>
      </c>
      <c r="AX109" s="1334">
        <f t="shared" si="146"/>
        <v>15184308.605999999</v>
      </c>
      <c r="AY109" s="1334">
        <f t="shared" si="147"/>
        <v>15184308.605999999</v>
      </c>
      <c r="AZ109" s="1334">
        <f t="shared" si="246"/>
        <v>11232480.467999998</v>
      </c>
      <c r="BA109" s="1334">
        <f t="shared" si="246"/>
        <v>5778904.8677399997</v>
      </c>
      <c r="BB109" s="1334">
        <f t="shared" si="245"/>
        <v>0</v>
      </c>
      <c r="BC109" s="1334">
        <f t="shared" si="245"/>
        <v>0</v>
      </c>
      <c r="BD109" s="1334">
        <f t="shared" si="245"/>
        <v>0</v>
      </c>
      <c r="BE109" s="1334">
        <f t="shared" si="148"/>
        <v>17011385.33574</v>
      </c>
      <c r="BF109" s="1396">
        <f t="shared" si="149"/>
        <v>17011385.33574</v>
      </c>
      <c r="BG109" s="1397">
        <f t="shared" si="251"/>
        <v>799.53486410999938</v>
      </c>
      <c r="BH109" s="1398">
        <f t="shared" si="252"/>
        <v>839.52529999999979</v>
      </c>
      <c r="BI109" s="1399">
        <f t="shared" si="253"/>
        <v>1639.0601641099993</v>
      </c>
      <c r="BJ109" s="1399"/>
      <c r="BK109" s="1641"/>
      <c r="BL109" s="1334">
        <f t="shared" ref="BL109:BP131" si="256">I109*T109</f>
        <v>6477108.159599999</v>
      </c>
      <c r="BM109" s="1334">
        <f t="shared" si="256"/>
        <v>2868058.6919999998</v>
      </c>
      <c r="BN109" s="1334">
        <f t="shared" si="256"/>
        <v>0</v>
      </c>
      <c r="BO109" s="1334">
        <f t="shared" si="256"/>
        <v>0</v>
      </c>
      <c r="BP109" s="1334">
        <f t="shared" si="256"/>
        <v>0</v>
      </c>
      <c r="BQ109" s="1334">
        <f t="shared" si="203"/>
        <v>9345166.8515999988</v>
      </c>
      <c r="BR109" s="1334">
        <f t="shared" si="204"/>
        <v>9345166.8515999988</v>
      </c>
      <c r="BS109" s="1334">
        <f t="shared" ref="BS109:BU142" si="257">O109*AA109</f>
        <v>3888614.4527999996</v>
      </c>
      <c r="BT109" s="1334">
        <f t="shared" si="257"/>
        <v>2638380.6</v>
      </c>
      <c r="BU109" s="1334">
        <f t="shared" si="257"/>
        <v>0</v>
      </c>
      <c r="BV109" s="1334">
        <f t="shared" si="205"/>
        <v>0</v>
      </c>
      <c r="BW109" s="1334">
        <f t="shared" si="157"/>
        <v>0</v>
      </c>
      <c r="BX109" s="1334">
        <f t="shared" si="206"/>
        <v>6526995.0527999997</v>
      </c>
      <c r="BY109" s="1334">
        <f t="shared" si="207"/>
        <v>6526995.0527999997</v>
      </c>
      <c r="BZ109" s="1389">
        <f t="shared" si="155"/>
        <v>5506439.2919999994</v>
      </c>
      <c r="CA109" s="1389">
        <f t="shared" si="155"/>
        <v>0</v>
      </c>
      <c r="CB109" s="1389">
        <f t="shared" si="208"/>
        <v>5506439.2919999994</v>
      </c>
      <c r="CC109" s="1420">
        <f t="shared" si="156"/>
        <v>2591.7375503209291</v>
      </c>
      <c r="CD109" s="1420" t="e">
        <f t="shared" si="156"/>
        <v>#DIV/0!</v>
      </c>
      <c r="CE109" s="1420">
        <f t="shared" si="178"/>
        <v>2591.7375503209291</v>
      </c>
      <c r="CF109" s="1420">
        <f t="shared" si="158"/>
        <v>2591.7375503209291</v>
      </c>
      <c r="CG109" s="1421">
        <f t="shared" si="159"/>
        <v>7473311.4889319986</v>
      </c>
      <c r="CH109" s="1421">
        <f t="shared" si="179"/>
        <v>3517.4930629399328</v>
      </c>
      <c r="CI109" s="1389"/>
      <c r="CJ109" s="1756">
        <f t="shared" si="254"/>
        <v>10304.608688531998</v>
      </c>
      <c r="CK109" s="1756">
        <f t="shared" si="160"/>
        <v>7534.4254127999993</v>
      </c>
      <c r="CL109" s="1756">
        <f t="shared" si="255"/>
        <v>17839.034101331999</v>
      </c>
      <c r="CM109" s="1334">
        <f t="shared" si="180"/>
        <v>19217.982902183994</v>
      </c>
      <c r="CN109" s="1334">
        <f t="shared" si="181"/>
        <v>1378.9488008519947</v>
      </c>
      <c r="CO109" s="1334">
        <f t="shared" si="161"/>
        <v>17839034.101331998</v>
      </c>
      <c r="CP109" s="1334">
        <f t="shared" si="162"/>
        <v>15184308.605999999</v>
      </c>
      <c r="CQ109" s="1334">
        <f t="shared" si="163"/>
        <v>15184308.605999999</v>
      </c>
      <c r="CR109" s="1334">
        <f t="shared" si="164"/>
        <v>9345166.8515999988</v>
      </c>
      <c r="CS109" s="1334">
        <f t="shared" si="165"/>
        <v>17011385.33574</v>
      </c>
      <c r="CT109" s="1334">
        <f t="shared" si="166"/>
        <v>17011385.33574</v>
      </c>
      <c r="CU109" s="1334">
        <f t="shared" si="167"/>
        <v>6526995.0527999997</v>
      </c>
      <c r="CV109" s="1334">
        <f t="shared" si="182"/>
        <v>32195693.941739999</v>
      </c>
      <c r="CW109" s="1422">
        <f t="shared" si="183"/>
        <v>6296.6912606351552</v>
      </c>
      <c r="CX109" s="1334">
        <f t="shared" si="168"/>
        <v>5277538.6919999998</v>
      </c>
      <c r="CY109" s="1334">
        <f t="shared" si="169"/>
        <v>5778904.8677399997</v>
      </c>
      <c r="CZ109" s="1334"/>
      <c r="DA109" s="1334">
        <f t="shared" si="170"/>
        <v>16949785.522931997</v>
      </c>
      <c r="DB109" s="1334">
        <f t="shared" si="171"/>
        <v>19217982.902183998</v>
      </c>
      <c r="DC109" s="1223"/>
      <c r="DD109" s="1224">
        <f t="shared" si="184"/>
        <v>151.3111111111111</v>
      </c>
      <c r="DE109" s="1223"/>
      <c r="DF109" s="1223"/>
      <c r="DG109" s="1223"/>
      <c r="DH109" s="1494"/>
      <c r="DI109" s="1494"/>
      <c r="DJ109" s="1494"/>
      <c r="DK109" s="1389"/>
      <c r="DL109" s="1419">
        <f t="shared" si="172"/>
        <v>0</v>
      </c>
      <c r="DM109" s="1419">
        <f t="shared" si="173"/>
        <v>0</v>
      </c>
      <c r="DN109" s="1419">
        <f t="shared" si="174"/>
        <v>0</v>
      </c>
      <c r="DO109" s="819"/>
      <c r="DP109" s="1315"/>
      <c r="DQ109" s="1315"/>
      <c r="DR109" s="1315"/>
      <c r="DS109" s="1315"/>
      <c r="DT109" s="1315"/>
      <c r="DU109" s="1315"/>
      <c r="DV109" s="1315"/>
      <c r="DW109" s="1315"/>
      <c r="DX109" s="1315"/>
      <c r="DY109" s="1315"/>
      <c r="DZ109" s="1315"/>
      <c r="EA109" s="1315"/>
      <c r="EB109" s="1315"/>
      <c r="EC109" s="1315"/>
      <c r="ED109" s="1315"/>
      <c r="EE109" s="1315"/>
      <c r="EF109" s="1315"/>
      <c r="EG109" s="1315"/>
      <c r="EH109" s="1315"/>
      <c r="EI109" s="1315"/>
      <c r="EJ109" s="1315"/>
      <c r="EK109" s="1315"/>
      <c r="EL109" s="1315"/>
    </row>
    <row r="110" spans="1:142" s="1313" customFormat="1" ht="79.5" hidden="1" customHeight="1">
      <c r="A110" s="6">
        <f t="shared" si="185"/>
        <v>97</v>
      </c>
      <c r="B110" s="1330" t="s">
        <v>41</v>
      </c>
      <c r="C110" s="1753" t="s">
        <v>123</v>
      </c>
      <c r="D110" s="1706" t="s">
        <v>141</v>
      </c>
      <c r="E110" s="1331">
        <v>4632024035</v>
      </c>
      <c r="F110" s="1330" t="s">
        <v>8</v>
      </c>
      <c r="G110" s="1682" t="s">
        <v>1034</v>
      </c>
      <c r="H110" s="1700">
        <v>3314.9639999999995</v>
      </c>
      <c r="I110" s="1701">
        <f t="shared" si="247"/>
        <v>3314.9639999999995</v>
      </c>
      <c r="J110" s="1335"/>
      <c r="K110" s="1335"/>
      <c r="L110" s="1700">
        <v>3314.9639999999995</v>
      </c>
      <c r="M110" s="1390"/>
      <c r="N110" s="1703">
        <f t="shared" si="248"/>
        <v>3758.5679999999998</v>
      </c>
      <c r="O110" s="1704">
        <f t="shared" si="249"/>
        <v>3758.5679999999998</v>
      </c>
      <c r="P110" s="1335"/>
      <c r="Q110" s="1335"/>
      <c r="R110" s="1335">
        <f t="shared" si="250"/>
        <v>3758.5679999999998</v>
      </c>
      <c r="S110" s="1390"/>
      <c r="T110" s="1751">
        <v>316.47300000000001</v>
      </c>
      <c r="U110" s="1810"/>
      <c r="V110" s="1810"/>
      <c r="W110" s="1334"/>
      <c r="X110" s="1334"/>
      <c r="Y110" s="1334"/>
      <c r="Z110" s="1393">
        <f t="shared" si="175"/>
        <v>316.47300000000001</v>
      </c>
      <c r="AA110" s="1752">
        <v>187.00200000000001</v>
      </c>
      <c r="AB110" s="1810"/>
      <c r="AC110" s="1810"/>
      <c r="AD110" s="1334"/>
      <c r="AE110" s="1334"/>
      <c r="AF110" s="1334"/>
      <c r="AG110" s="1395">
        <f t="shared" si="176"/>
        <v>187.00200000000001</v>
      </c>
      <c r="AH110" s="1391">
        <f t="shared" si="200"/>
        <v>503.47500000000002</v>
      </c>
      <c r="AI110" s="1334">
        <f t="shared" si="210"/>
        <v>503.47500000000002</v>
      </c>
      <c r="AJ110" s="1334">
        <f t="shared" si="210"/>
        <v>0</v>
      </c>
      <c r="AK110" s="1334">
        <f t="shared" si="210"/>
        <v>0</v>
      </c>
      <c r="AL110" s="1334">
        <f t="shared" si="210"/>
        <v>0</v>
      </c>
      <c r="AM110" s="1334">
        <f t="shared" si="210"/>
        <v>0</v>
      </c>
      <c r="AN110" s="1334"/>
      <c r="AO110" s="1334">
        <f t="shared" si="228"/>
        <v>503.47500000000002</v>
      </c>
      <c r="AP110" s="1334">
        <f t="shared" si="229"/>
        <v>503.47500000000002</v>
      </c>
      <c r="AQ110" s="1396">
        <f t="shared" si="145"/>
        <v>503.47500000000002</v>
      </c>
      <c r="AR110" s="1417">
        <f t="shared" si="177"/>
        <v>0</v>
      </c>
      <c r="AS110" s="1333">
        <f t="shared" si="239"/>
        <v>1669001.4998999997</v>
      </c>
      <c r="AT110" s="1334">
        <f t="shared" si="239"/>
        <v>0</v>
      </c>
      <c r="AU110" s="1334">
        <f t="shared" si="239"/>
        <v>0</v>
      </c>
      <c r="AV110" s="1334">
        <f t="shared" si="239"/>
        <v>0</v>
      </c>
      <c r="AW110" s="1334">
        <f t="shared" si="239"/>
        <v>0</v>
      </c>
      <c r="AX110" s="1334">
        <f t="shared" si="146"/>
        <v>1669001.4998999997</v>
      </c>
      <c r="AY110" s="1334">
        <f t="shared" si="147"/>
        <v>1669001.4998999997</v>
      </c>
      <c r="AZ110" s="1334">
        <f t="shared" si="246"/>
        <v>1892345.0237999998</v>
      </c>
      <c r="BA110" s="1334">
        <f t="shared" si="246"/>
        <v>0</v>
      </c>
      <c r="BB110" s="1334">
        <f t="shared" si="245"/>
        <v>0</v>
      </c>
      <c r="BC110" s="1334">
        <f t="shared" si="245"/>
        <v>0</v>
      </c>
      <c r="BD110" s="1334">
        <f t="shared" si="245"/>
        <v>0</v>
      </c>
      <c r="BE110" s="1334">
        <f t="shared" si="148"/>
        <v>1892345.0237999998</v>
      </c>
      <c r="BF110" s="1396">
        <f t="shared" si="149"/>
        <v>1892345.0237999998</v>
      </c>
      <c r="BG110" s="1397">
        <f t="shared" si="251"/>
        <v>0</v>
      </c>
      <c r="BH110" s="1398">
        <f t="shared" si="252"/>
        <v>0</v>
      </c>
      <c r="BI110" s="1399">
        <f t="shared" si="253"/>
        <v>0</v>
      </c>
      <c r="BJ110" s="1334"/>
      <c r="BK110" s="1643"/>
      <c r="BL110" s="1334">
        <f t="shared" si="256"/>
        <v>1049096.601972</v>
      </c>
      <c r="BM110" s="1334">
        <f t="shared" si="256"/>
        <v>0</v>
      </c>
      <c r="BN110" s="1334">
        <f t="shared" si="256"/>
        <v>0</v>
      </c>
      <c r="BO110" s="1334">
        <f t="shared" si="256"/>
        <v>0</v>
      </c>
      <c r="BP110" s="1334">
        <f t="shared" si="256"/>
        <v>0</v>
      </c>
      <c r="BQ110" s="1334">
        <f t="shared" si="203"/>
        <v>1049096.601972</v>
      </c>
      <c r="BR110" s="1334">
        <f t="shared" si="204"/>
        <v>1049096.601972</v>
      </c>
      <c r="BS110" s="1334">
        <f t="shared" si="257"/>
        <v>702859.733136</v>
      </c>
      <c r="BT110" s="1334">
        <f t="shared" si="257"/>
        <v>0</v>
      </c>
      <c r="BU110" s="1334">
        <f t="shared" si="257"/>
        <v>0</v>
      </c>
      <c r="BV110" s="1334">
        <f t="shared" si="205"/>
        <v>0</v>
      </c>
      <c r="BW110" s="1334">
        <f t="shared" si="157"/>
        <v>0</v>
      </c>
      <c r="BX110" s="1334">
        <f t="shared" si="206"/>
        <v>702859.733136</v>
      </c>
      <c r="BY110" s="1334">
        <f t="shared" si="207"/>
        <v>702859.733136</v>
      </c>
      <c r="BZ110" s="1389">
        <f t="shared" si="155"/>
        <v>0</v>
      </c>
      <c r="CA110" s="1389">
        <f t="shared" si="155"/>
        <v>0</v>
      </c>
      <c r="CB110" s="1389">
        <f t="shared" si="208"/>
        <v>0</v>
      </c>
      <c r="CC110" s="1420" t="e">
        <f t="shared" si="156"/>
        <v>#DIV/0!</v>
      </c>
      <c r="CD110" s="1420" t="e">
        <f t="shared" si="156"/>
        <v>#DIV/0!</v>
      </c>
      <c r="CE110" s="1420" t="e">
        <f t="shared" si="178"/>
        <v>#DIV/0!</v>
      </c>
      <c r="CF110" s="1389" t="e">
        <f t="shared" si="158"/>
        <v>#DIV/0!</v>
      </c>
      <c r="CG110" s="1421">
        <f t="shared" si="159"/>
        <v>0</v>
      </c>
      <c r="CH110" s="1421" t="e">
        <f t="shared" si="179"/>
        <v>#DIV/0!</v>
      </c>
      <c r="CI110" s="1389"/>
      <c r="CJ110" s="1756">
        <f t="shared" si="254"/>
        <v>1049.0966019719999</v>
      </c>
      <c r="CK110" s="1756">
        <f t="shared" si="160"/>
        <v>702.85973313600005</v>
      </c>
      <c r="CL110" s="1756">
        <f t="shared" si="255"/>
        <v>1751.9563351080001</v>
      </c>
      <c r="CM110" s="1334">
        <f t="shared" si="180"/>
        <v>1892.3450237999998</v>
      </c>
      <c r="CN110" s="1334">
        <f t="shared" si="181"/>
        <v>140.38868869199973</v>
      </c>
      <c r="CO110" s="1334">
        <f t="shared" si="161"/>
        <v>1751956.3351079999</v>
      </c>
      <c r="CP110" s="1334">
        <f t="shared" si="162"/>
        <v>1669001.4998999997</v>
      </c>
      <c r="CQ110" s="1334">
        <f t="shared" si="163"/>
        <v>1669001.4998999997</v>
      </c>
      <c r="CR110" s="1334">
        <f t="shared" si="164"/>
        <v>1049096.601972</v>
      </c>
      <c r="CS110" s="1334">
        <f t="shared" si="165"/>
        <v>1892345.0237999998</v>
      </c>
      <c r="CT110" s="1334">
        <f t="shared" si="166"/>
        <v>1892345.0237999998</v>
      </c>
      <c r="CU110" s="1334">
        <f t="shared" si="167"/>
        <v>702859.733136</v>
      </c>
      <c r="CV110" s="1334">
        <f t="shared" si="182"/>
        <v>3561346.5236999998</v>
      </c>
      <c r="CW110" s="1422">
        <f t="shared" si="183"/>
        <v>7073.5319999999992</v>
      </c>
      <c r="CX110" s="1334">
        <f t="shared" si="168"/>
        <v>0</v>
      </c>
      <c r="CY110" s="1334">
        <f t="shared" si="169"/>
        <v>0</v>
      </c>
      <c r="CZ110" s="1334"/>
      <c r="DA110" s="1334">
        <f t="shared" si="170"/>
        <v>1669001.4998999997</v>
      </c>
      <c r="DB110" s="1334">
        <f t="shared" si="171"/>
        <v>1892345.0237999998</v>
      </c>
      <c r="DC110" s="1223"/>
      <c r="DD110" s="1224" t="e">
        <f t="shared" si="184"/>
        <v>#DIV/0!</v>
      </c>
      <c r="DE110" s="1223"/>
      <c r="DF110" s="1223"/>
      <c r="DG110" s="1223"/>
      <c r="DH110" s="1494"/>
      <c r="DI110" s="1494"/>
      <c r="DJ110" s="1494"/>
      <c r="DK110" s="1389"/>
      <c r="DL110" s="1419">
        <f t="shared" si="172"/>
        <v>0</v>
      </c>
      <c r="DM110" s="1419">
        <f t="shared" si="173"/>
        <v>0</v>
      </c>
      <c r="DN110" s="1419">
        <f t="shared" si="174"/>
        <v>0</v>
      </c>
      <c r="DO110" s="819"/>
      <c r="DP110" s="1315"/>
      <c r="DQ110" s="1315"/>
      <c r="DR110" s="1315"/>
      <c r="DS110" s="1315"/>
      <c r="DT110" s="1315"/>
      <c r="DU110" s="1315"/>
      <c r="DV110" s="1315"/>
      <c r="DW110" s="1315"/>
      <c r="DX110" s="1315"/>
      <c r="DY110" s="1315"/>
      <c r="DZ110" s="1315"/>
      <c r="EA110" s="1315"/>
      <c r="EB110" s="1315"/>
      <c r="EC110" s="1315"/>
      <c r="ED110" s="1315"/>
      <c r="EE110" s="1315"/>
      <c r="EF110" s="1315"/>
      <c r="EG110" s="1315"/>
      <c r="EH110" s="1315"/>
      <c r="EI110" s="1315"/>
      <c r="EJ110" s="1315"/>
      <c r="EK110" s="1315"/>
      <c r="EL110" s="1315"/>
    </row>
    <row r="111" spans="1:142" s="1313" customFormat="1" ht="76.5" customHeight="1">
      <c r="A111" s="6">
        <f t="shared" si="185"/>
        <v>98</v>
      </c>
      <c r="B111" s="1330" t="s">
        <v>42</v>
      </c>
      <c r="C111" s="1753" t="s">
        <v>170</v>
      </c>
      <c r="D111" s="1706" t="s">
        <v>145</v>
      </c>
      <c r="E111" s="1331">
        <v>4632024035</v>
      </c>
      <c r="F111" s="1330" t="s">
        <v>8</v>
      </c>
      <c r="G111" s="1682" t="s">
        <v>1034</v>
      </c>
      <c r="H111" s="1700">
        <v>3314.9639999999995</v>
      </c>
      <c r="I111" s="1701">
        <f t="shared" si="247"/>
        <v>3314.9639999999995</v>
      </c>
      <c r="J111" s="1707">
        <v>2484</v>
      </c>
      <c r="K111" s="1707">
        <v>1822.33</v>
      </c>
      <c r="L111" s="1700">
        <v>3314.9639999999995</v>
      </c>
      <c r="M111" s="1390"/>
      <c r="N111" s="1703">
        <f t="shared" si="248"/>
        <v>3758.5679999999998</v>
      </c>
      <c r="O111" s="1704">
        <f t="shared" si="249"/>
        <v>3758.5679999999998</v>
      </c>
      <c r="P111" s="1708">
        <v>2719.98</v>
      </c>
      <c r="Q111" s="1708">
        <v>2084.56</v>
      </c>
      <c r="R111" s="1335">
        <f t="shared" si="250"/>
        <v>3758.5679999999998</v>
      </c>
      <c r="S111" s="1390"/>
      <c r="T111" s="1745">
        <v>8759.94</v>
      </c>
      <c r="U111" s="1746">
        <v>13016.704000000002</v>
      </c>
      <c r="V111" s="1747">
        <v>433.197</v>
      </c>
      <c r="W111" s="1375"/>
      <c r="X111" s="1375"/>
      <c r="Y111" s="1375"/>
      <c r="Z111" s="1742">
        <f t="shared" si="175"/>
        <v>22209.841</v>
      </c>
      <c r="AA111" s="1825">
        <v>4300.3900000000003</v>
      </c>
      <c r="AB111" s="1824">
        <v>8150.3069999999998</v>
      </c>
      <c r="AC111" s="1835">
        <v>780.34699999999998</v>
      </c>
      <c r="AD111" s="1375"/>
      <c r="AE111" s="1375"/>
      <c r="AF111" s="1375"/>
      <c r="AG111" s="1395">
        <f t="shared" si="176"/>
        <v>13231.044</v>
      </c>
      <c r="AH111" s="1391">
        <f t="shared" si="200"/>
        <v>35440.885000000002</v>
      </c>
      <c r="AI111" s="1334">
        <f t="shared" si="210"/>
        <v>13060.330000000002</v>
      </c>
      <c r="AJ111" s="1334">
        <f t="shared" si="210"/>
        <v>21167.011000000002</v>
      </c>
      <c r="AK111" s="1334">
        <f t="shared" si="210"/>
        <v>1213.5439999999999</v>
      </c>
      <c r="AL111" s="1334">
        <f t="shared" si="210"/>
        <v>0</v>
      </c>
      <c r="AM111" s="1334">
        <f t="shared" si="210"/>
        <v>0</v>
      </c>
      <c r="AN111" s="1334"/>
      <c r="AO111" s="1334">
        <f t="shared" si="228"/>
        <v>35440.885000000002</v>
      </c>
      <c r="AP111" s="1334">
        <f t="shared" si="229"/>
        <v>35440.885000000002</v>
      </c>
      <c r="AQ111" s="1396">
        <f t="shared" si="145"/>
        <v>35440.885000000002</v>
      </c>
      <c r="AR111" s="1417">
        <f t="shared" si="177"/>
        <v>0</v>
      </c>
      <c r="AS111" s="1333">
        <f t="shared" si="239"/>
        <v>43294523.778119996</v>
      </c>
      <c r="AT111" s="1334">
        <f t="shared" si="239"/>
        <v>52578855.324000008</v>
      </c>
      <c r="AU111" s="1334">
        <f t="shared" si="239"/>
        <v>2211477.6375199999</v>
      </c>
      <c r="AV111" s="1334">
        <f t="shared" si="239"/>
        <v>0</v>
      </c>
      <c r="AW111" s="1334">
        <f t="shared" si="239"/>
        <v>0</v>
      </c>
      <c r="AX111" s="1334">
        <f t="shared" si="146"/>
        <v>98084856.739640012</v>
      </c>
      <c r="AY111" s="1334">
        <f t="shared" si="147"/>
        <v>98084856.739640012</v>
      </c>
      <c r="AZ111" s="1334">
        <f t="shared" si="246"/>
        <v>49088138.407440007</v>
      </c>
      <c r="BA111" s="1334">
        <f t="shared" si="246"/>
        <v>57573846.579780005</v>
      </c>
      <c r="BB111" s="1334">
        <f t="shared" si="245"/>
        <v>2529705.2806399995</v>
      </c>
      <c r="BC111" s="1334">
        <f t="shared" si="245"/>
        <v>0</v>
      </c>
      <c r="BD111" s="1334">
        <f t="shared" si="245"/>
        <v>0</v>
      </c>
      <c r="BE111" s="1334">
        <f t="shared" si="148"/>
        <v>109191690.26786003</v>
      </c>
      <c r="BF111" s="1396">
        <f t="shared" si="149"/>
        <v>109191690.26786003</v>
      </c>
      <c r="BG111" s="1397">
        <f t="shared" si="251"/>
        <v>9552.5141612949938</v>
      </c>
      <c r="BH111" s="1398">
        <f t="shared" si="252"/>
        <v>8142.5984727433306</v>
      </c>
      <c r="BI111" s="1399">
        <f t="shared" si="253"/>
        <v>17695.112634038323</v>
      </c>
      <c r="BJ111" s="1399"/>
      <c r="BK111" s="1641"/>
      <c r="BL111" s="1334">
        <f t="shared" si="256"/>
        <v>29038885.742159996</v>
      </c>
      <c r="BM111" s="1334">
        <f t="shared" si="256"/>
        <v>32333492.736000005</v>
      </c>
      <c r="BN111" s="1334">
        <f t="shared" si="256"/>
        <v>789427.88900999993</v>
      </c>
      <c r="BO111" s="1334">
        <f t="shared" si="256"/>
        <v>0</v>
      </c>
      <c r="BP111" s="1334">
        <f t="shared" si="256"/>
        <v>0</v>
      </c>
      <c r="BQ111" s="1334">
        <f t="shared" si="203"/>
        <v>62161806.367169999</v>
      </c>
      <c r="BR111" s="1334">
        <f t="shared" si="204"/>
        <v>62161806.367169999</v>
      </c>
      <c r="BS111" s="1334">
        <f t="shared" si="257"/>
        <v>16163308.241520001</v>
      </c>
      <c r="BT111" s="1334">
        <f t="shared" si="257"/>
        <v>22168672.033859998</v>
      </c>
      <c r="BU111" s="1334">
        <f t="shared" si="257"/>
        <v>1626680.1423199999</v>
      </c>
      <c r="BV111" s="1334">
        <f t="shared" si="205"/>
        <v>0</v>
      </c>
      <c r="BW111" s="1334">
        <f t="shared" si="157"/>
        <v>0</v>
      </c>
      <c r="BX111" s="1334">
        <f t="shared" si="206"/>
        <v>39958660.4177</v>
      </c>
      <c r="BY111" s="1334">
        <f t="shared" si="207"/>
        <v>39958660.4177</v>
      </c>
      <c r="BZ111" s="1389">
        <f t="shared" si="155"/>
        <v>54502164.769859999</v>
      </c>
      <c r="CA111" s="1389">
        <f t="shared" si="155"/>
        <v>2416108.0313299997</v>
      </c>
      <c r="CB111" s="1389">
        <f t="shared" si="208"/>
        <v>56918272.801189996</v>
      </c>
      <c r="CC111" s="1420">
        <f t="shared" si="156"/>
        <v>2574.8635350480045</v>
      </c>
      <c r="CD111" s="1420">
        <f t="shared" si="156"/>
        <v>1990.9521462180192</v>
      </c>
      <c r="CE111" s="1420">
        <f t="shared" si="178"/>
        <v>2543.202025204022</v>
      </c>
      <c r="CF111" s="1420">
        <f t="shared" si="158"/>
        <v>2543.2020252040215</v>
      </c>
      <c r="CG111" s="1421">
        <f t="shared" si="159"/>
        <v>78152407.962035999</v>
      </c>
      <c r="CH111" s="1421">
        <f t="shared" si="179"/>
        <v>3491.9781016170509</v>
      </c>
      <c r="CI111" s="1385"/>
      <c r="CJ111" s="1756">
        <f t="shared" si="254"/>
        <v>73624.823360723982</v>
      </c>
      <c r="CK111" s="1756">
        <f t="shared" si="160"/>
        <v>49729.778584991996</v>
      </c>
      <c r="CL111" s="1756">
        <f t="shared" si="255"/>
        <v>123354.60194571599</v>
      </c>
      <c r="CM111" s="1334">
        <f t="shared" si="180"/>
        <v>133206.97625268</v>
      </c>
      <c r="CN111" s="1334">
        <f t="shared" si="181"/>
        <v>9852.3743069640186</v>
      </c>
      <c r="CO111" s="1334">
        <f t="shared" si="161"/>
        <v>123354601.94571599</v>
      </c>
      <c r="CP111" s="1334">
        <f t="shared" si="162"/>
        <v>98084856.739640012</v>
      </c>
      <c r="CQ111" s="1334">
        <f t="shared" si="163"/>
        <v>98887822.398119986</v>
      </c>
      <c r="CR111" s="1334">
        <f t="shared" si="164"/>
        <v>62161806.367169999</v>
      </c>
      <c r="CS111" s="1334">
        <f t="shared" si="165"/>
        <v>109191690.26786003</v>
      </c>
      <c r="CT111" s="1334">
        <f t="shared" si="166"/>
        <v>109962800.39634001</v>
      </c>
      <c r="CU111" s="1334">
        <f t="shared" si="167"/>
        <v>39958660.4177</v>
      </c>
      <c r="CV111" s="1334">
        <f t="shared" si="182"/>
        <v>207276547.00750005</v>
      </c>
      <c r="CW111" s="1422">
        <f t="shared" si="183"/>
        <v>5848.5149850941943</v>
      </c>
      <c r="CX111" s="1334">
        <f t="shared" si="168"/>
        <v>54790332.961520009</v>
      </c>
      <c r="CY111" s="1334">
        <f t="shared" si="169"/>
        <v>60103551.860420004</v>
      </c>
      <c r="CZ111" s="1334"/>
      <c r="DA111" s="1334">
        <f t="shared" si="170"/>
        <v>117485257.90313999</v>
      </c>
      <c r="DB111" s="1334">
        <f t="shared" si="171"/>
        <v>133206976.25268</v>
      </c>
      <c r="DC111" s="1314"/>
      <c r="DD111" s="1224">
        <f t="shared" si="184"/>
        <v>151.3111111111111</v>
      </c>
      <c r="DE111" s="1314"/>
      <c r="DF111" s="1314"/>
      <c r="DG111" s="1314"/>
      <c r="DH111" s="1494"/>
      <c r="DI111" s="1494"/>
      <c r="DJ111" s="1494"/>
      <c r="DK111" s="1385"/>
      <c r="DL111" s="1419">
        <f t="shared" si="172"/>
        <v>0</v>
      </c>
      <c r="DM111" s="1419">
        <f t="shared" si="173"/>
        <v>0</v>
      </c>
      <c r="DN111" s="1419">
        <f t="shared" si="174"/>
        <v>0</v>
      </c>
      <c r="DO111" s="802"/>
      <c r="DP111" s="1315"/>
      <c r="DQ111" s="1315"/>
      <c r="DR111" s="1315"/>
      <c r="DS111" s="1315"/>
      <c r="DT111" s="1315"/>
      <c r="DU111" s="1315"/>
      <c r="DV111" s="1315"/>
      <c r="DW111" s="1315"/>
      <c r="DX111" s="1315"/>
      <c r="DY111" s="1315"/>
      <c r="DZ111" s="1315"/>
      <c r="EA111" s="1315"/>
      <c r="EB111" s="1315"/>
      <c r="EC111" s="1315"/>
      <c r="ED111" s="1315"/>
      <c r="EE111" s="1315"/>
      <c r="EF111" s="1315"/>
      <c r="EG111" s="1315"/>
      <c r="EH111" s="1315"/>
      <c r="EI111" s="1315"/>
      <c r="EJ111" s="1315"/>
      <c r="EK111" s="1315"/>
      <c r="EL111" s="1315"/>
    </row>
    <row r="112" spans="1:142" s="1313" customFormat="1" ht="76.5" hidden="1" customHeight="1">
      <c r="A112" s="6">
        <f t="shared" si="185"/>
        <v>99</v>
      </c>
      <c r="B112" s="1330" t="s">
        <v>42</v>
      </c>
      <c r="C112" s="1753" t="s">
        <v>124</v>
      </c>
      <c r="D112" s="1706" t="s">
        <v>141</v>
      </c>
      <c r="E112" s="1331">
        <v>4632024035</v>
      </c>
      <c r="F112" s="1330" t="s">
        <v>8</v>
      </c>
      <c r="G112" s="1682" t="s">
        <v>1034</v>
      </c>
      <c r="H112" s="1700">
        <v>3314.9639999999995</v>
      </c>
      <c r="I112" s="1701">
        <f t="shared" si="247"/>
        <v>3314.9639999999995</v>
      </c>
      <c r="J112" s="1335"/>
      <c r="K112" s="1335"/>
      <c r="L112" s="1700">
        <v>3314.9639999999995</v>
      </c>
      <c r="M112" s="1390"/>
      <c r="N112" s="1703">
        <f t="shared" si="248"/>
        <v>3758.5679999999998</v>
      </c>
      <c r="O112" s="1704">
        <f t="shared" si="249"/>
        <v>3758.5679999999998</v>
      </c>
      <c r="P112" s="1335"/>
      <c r="Q112" s="1335"/>
      <c r="R112" s="1335">
        <f t="shared" si="250"/>
        <v>3758.5679999999998</v>
      </c>
      <c r="S112" s="1390"/>
      <c r="T112" s="1751">
        <v>442.27800000000002</v>
      </c>
      <c r="U112" s="1810"/>
      <c r="V112" s="1810"/>
      <c r="W112" s="1334"/>
      <c r="X112" s="1334"/>
      <c r="Y112" s="1334"/>
      <c r="Z112" s="1393">
        <f>SUM(T112:W112)</f>
        <v>442.27800000000002</v>
      </c>
      <c r="AA112" s="1832">
        <v>256.82400000000001</v>
      </c>
      <c r="AB112" s="1831"/>
      <c r="AC112" s="1831"/>
      <c r="AD112" s="1334"/>
      <c r="AE112" s="1334"/>
      <c r="AF112" s="1334"/>
      <c r="AG112" s="1395">
        <f t="shared" si="176"/>
        <v>256.82400000000001</v>
      </c>
      <c r="AH112" s="1391">
        <f t="shared" si="200"/>
        <v>699.10200000000009</v>
      </c>
      <c r="AI112" s="1334">
        <f>T112+AA112</f>
        <v>699.10200000000009</v>
      </c>
      <c r="AJ112" s="1334">
        <f t="shared" si="210"/>
        <v>0</v>
      </c>
      <c r="AK112" s="1334">
        <f t="shared" si="210"/>
        <v>0</v>
      </c>
      <c r="AL112" s="1334">
        <f t="shared" si="210"/>
        <v>0</v>
      </c>
      <c r="AM112" s="1334">
        <f t="shared" si="210"/>
        <v>0</v>
      </c>
      <c r="AN112" s="1334"/>
      <c r="AO112" s="1334">
        <f t="shared" si="228"/>
        <v>699.10200000000009</v>
      </c>
      <c r="AP112" s="1334">
        <f t="shared" si="229"/>
        <v>699.10200000000009</v>
      </c>
      <c r="AQ112" s="1396">
        <f t="shared" si="145"/>
        <v>699.10200000000009</v>
      </c>
      <c r="AR112" s="1417">
        <f t="shared" si="177"/>
        <v>0</v>
      </c>
      <c r="AS112" s="1333">
        <f t="shared" si="239"/>
        <v>2317497.962328</v>
      </c>
      <c r="AT112" s="1334">
        <f t="shared" si="239"/>
        <v>0</v>
      </c>
      <c r="AU112" s="1334">
        <f t="shared" si="239"/>
        <v>0</v>
      </c>
      <c r="AV112" s="1334">
        <f t="shared" si="239"/>
        <v>0</v>
      </c>
      <c r="AW112" s="1334">
        <f t="shared" si="239"/>
        <v>0</v>
      </c>
      <c r="AX112" s="1334">
        <f t="shared" si="146"/>
        <v>2317497.962328</v>
      </c>
      <c r="AY112" s="1334">
        <f t="shared" si="147"/>
        <v>2317497.962328</v>
      </c>
      <c r="AZ112" s="1334">
        <f t="shared" si="246"/>
        <v>2627622.4059359999</v>
      </c>
      <c r="BA112" s="1334">
        <f t="shared" si="246"/>
        <v>0</v>
      </c>
      <c r="BB112" s="1334">
        <f t="shared" si="245"/>
        <v>0</v>
      </c>
      <c r="BC112" s="1334">
        <f t="shared" si="245"/>
        <v>0</v>
      </c>
      <c r="BD112" s="1334">
        <f t="shared" si="245"/>
        <v>0</v>
      </c>
      <c r="BE112" s="1334">
        <f t="shared" si="148"/>
        <v>2627622.4059359999</v>
      </c>
      <c r="BF112" s="1396">
        <f t="shared" si="149"/>
        <v>2627622.4059359999</v>
      </c>
      <c r="BG112" s="1397">
        <f t="shared" si="251"/>
        <v>0</v>
      </c>
      <c r="BH112" s="1398">
        <f t="shared" si="252"/>
        <v>0</v>
      </c>
      <c r="BI112" s="1399">
        <f t="shared" si="253"/>
        <v>0</v>
      </c>
      <c r="BJ112" s="1334"/>
      <c r="BK112" s="1643"/>
      <c r="BL112" s="1334">
        <f>I112*T112</f>
        <v>1466135.6479919998</v>
      </c>
      <c r="BM112" s="1334">
        <f t="shared" si="256"/>
        <v>0</v>
      </c>
      <c r="BN112" s="1334">
        <f t="shared" si="256"/>
        <v>0</v>
      </c>
      <c r="BO112" s="1334">
        <f t="shared" si="256"/>
        <v>0</v>
      </c>
      <c r="BP112" s="1334">
        <f t="shared" si="256"/>
        <v>0</v>
      </c>
      <c r="BQ112" s="1334">
        <f t="shared" si="203"/>
        <v>1466135.6479919998</v>
      </c>
      <c r="BR112" s="1334">
        <f t="shared" si="204"/>
        <v>1466135.6479919998</v>
      </c>
      <c r="BS112" s="1334">
        <f t="shared" si="257"/>
        <v>965290.468032</v>
      </c>
      <c r="BT112" s="1334">
        <f t="shared" si="257"/>
        <v>0</v>
      </c>
      <c r="BU112" s="1334">
        <f t="shared" si="257"/>
        <v>0</v>
      </c>
      <c r="BV112" s="1334">
        <f t="shared" si="205"/>
        <v>0</v>
      </c>
      <c r="BW112" s="1334">
        <f t="shared" si="157"/>
        <v>0</v>
      </c>
      <c r="BX112" s="1334">
        <f t="shared" si="206"/>
        <v>965290.468032</v>
      </c>
      <c r="BY112" s="1334">
        <f t="shared" si="207"/>
        <v>965290.468032</v>
      </c>
      <c r="BZ112" s="1389">
        <f t="shared" si="155"/>
        <v>0</v>
      </c>
      <c r="CA112" s="1389">
        <f t="shared" si="155"/>
        <v>0</v>
      </c>
      <c r="CB112" s="1389">
        <f t="shared" si="208"/>
        <v>0</v>
      </c>
      <c r="CC112" s="1420" t="e">
        <f t="shared" si="156"/>
        <v>#DIV/0!</v>
      </c>
      <c r="CD112" s="1420" t="e">
        <f t="shared" si="156"/>
        <v>#DIV/0!</v>
      </c>
      <c r="CE112" s="1420" t="e">
        <f t="shared" si="178"/>
        <v>#DIV/0!</v>
      </c>
      <c r="CF112" s="1389" t="e">
        <f t="shared" si="158"/>
        <v>#DIV/0!</v>
      </c>
      <c r="CG112" s="1421">
        <f t="shared" si="159"/>
        <v>0</v>
      </c>
      <c r="CH112" s="1421" t="e">
        <f t="shared" si="179"/>
        <v>#DIV/0!</v>
      </c>
      <c r="CI112" s="1389"/>
      <c r="CJ112" s="1756">
        <f t="shared" si="254"/>
        <v>1466.1356479919998</v>
      </c>
      <c r="CK112" s="1756">
        <f t="shared" si="160"/>
        <v>965.29046803200004</v>
      </c>
      <c r="CL112" s="1756">
        <f t="shared" si="255"/>
        <v>2431.4261160239998</v>
      </c>
      <c r="CM112" s="1334">
        <f t="shared" si="180"/>
        <v>2627.6224059359997</v>
      </c>
      <c r="CN112" s="1334">
        <f t="shared" si="181"/>
        <v>196.19628991199988</v>
      </c>
      <c r="CO112" s="1334">
        <f t="shared" si="161"/>
        <v>2431426.1160239996</v>
      </c>
      <c r="CP112" s="1334">
        <f t="shared" si="162"/>
        <v>2317497.962328</v>
      </c>
      <c r="CQ112" s="1334">
        <f t="shared" si="163"/>
        <v>2317497.962328</v>
      </c>
      <c r="CR112" s="1334">
        <f>I112*T112+J112*U112+K112*V112+L112*W112</f>
        <v>1466135.6479919998</v>
      </c>
      <c r="CS112" s="1334">
        <f t="shared" si="165"/>
        <v>2627622.4059359999</v>
      </c>
      <c r="CT112" s="1334">
        <f t="shared" si="166"/>
        <v>2627622.4059359999</v>
      </c>
      <c r="CU112" s="1334">
        <f t="shared" si="167"/>
        <v>965290.468032</v>
      </c>
      <c r="CV112" s="1334">
        <f t="shared" si="182"/>
        <v>4945120.3682639999</v>
      </c>
      <c r="CW112" s="1422">
        <f t="shared" si="183"/>
        <v>7073.5319999999992</v>
      </c>
      <c r="CX112" s="1334">
        <f t="shared" si="168"/>
        <v>0</v>
      </c>
      <c r="CY112" s="1334">
        <f t="shared" si="169"/>
        <v>0</v>
      </c>
      <c r="CZ112" s="1334"/>
      <c r="DA112" s="1334">
        <f t="shared" si="170"/>
        <v>2317497.962328</v>
      </c>
      <c r="DB112" s="1334">
        <f t="shared" si="171"/>
        <v>2627622.4059359999</v>
      </c>
      <c r="DC112" s="1223"/>
      <c r="DD112" s="1224" t="e">
        <f t="shared" si="184"/>
        <v>#DIV/0!</v>
      </c>
      <c r="DE112" s="1223"/>
      <c r="DF112" s="1223"/>
      <c r="DG112" s="1223"/>
      <c r="DH112" s="1494"/>
      <c r="DI112" s="1494"/>
      <c r="DJ112" s="1494"/>
      <c r="DK112" s="1389"/>
      <c r="DL112" s="1419">
        <f t="shared" si="172"/>
        <v>0</v>
      </c>
      <c r="DM112" s="1419">
        <f t="shared" si="173"/>
        <v>0</v>
      </c>
      <c r="DN112" s="1419">
        <f t="shared" si="174"/>
        <v>0</v>
      </c>
      <c r="DO112" s="819"/>
      <c r="DP112" s="1315"/>
      <c r="DQ112" s="1315"/>
      <c r="DR112" s="1315"/>
      <c r="DS112" s="1315"/>
      <c r="DT112" s="1315"/>
      <c r="DU112" s="1315"/>
      <c r="DV112" s="1315"/>
      <c r="DW112" s="1315"/>
      <c r="DX112" s="1315"/>
      <c r="DY112" s="1315"/>
      <c r="DZ112" s="1315"/>
      <c r="EA112" s="1315"/>
      <c r="EB112" s="1315"/>
      <c r="EC112" s="1315"/>
      <c r="ED112" s="1315"/>
      <c r="EE112" s="1315"/>
      <c r="EF112" s="1315"/>
      <c r="EG112" s="1315"/>
      <c r="EH112" s="1315"/>
      <c r="EI112" s="1315"/>
      <c r="EJ112" s="1315"/>
      <c r="EK112" s="1315"/>
      <c r="EL112" s="1315"/>
    </row>
    <row r="113" spans="1:142" s="1313" customFormat="1" ht="77.25" hidden="1" customHeight="1">
      <c r="A113" s="6">
        <f t="shared" si="185"/>
        <v>100</v>
      </c>
      <c r="B113" s="1330" t="s">
        <v>42</v>
      </c>
      <c r="C113" s="1753" t="s">
        <v>125</v>
      </c>
      <c r="D113" s="1706" t="s">
        <v>141</v>
      </c>
      <c r="E113" s="1331">
        <v>4632024035</v>
      </c>
      <c r="F113" s="1330" t="s">
        <v>8</v>
      </c>
      <c r="G113" s="1682" t="s">
        <v>1034</v>
      </c>
      <c r="H113" s="1700">
        <v>3314.9639999999995</v>
      </c>
      <c r="I113" s="1701">
        <f t="shared" si="247"/>
        <v>3314.9639999999995</v>
      </c>
      <c r="J113" s="1335"/>
      <c r="K113" s="1335"/>
      <c r="L113" s="1700">
        <v>3314.9639999999995</v>
      </c>
      <c r="M113" s="1390"/>
      <c r="N113" s="1703">
        <f t="shared" si="248"/>
        <v>3758.5679999999998</v>
      </c>
      <c r="O113" s="1704">
        <f t="shared" si="249"/>
        <v>3758.5679999999998</v>
      </c>
      <c r="P113" s="1335"/>
      <c r="Q113" s="1335"/>
      <c r="R113" s="1335">
        <f t="shared" si="250"/>
        <v>3758.5679999999998</v>
      </c>
      <c r="S113" s="1390"/>
      <c r="T113" s="1751">
        <v>134.24199999999999</v>
      </c>
      <c r="U113" s="1810"/>
      <c r="V113" s="1810"/>
      <c r="W113" s="1334"/>
      <c r="X113" s="1334"/>
      <c r="Y113" s="1334"/>
      <c r="Z113" s="1393">
        <f t="shared" si="175"/>
        <v>134.24199999999999</v>
      </c>
      <c r="AA113" s="1752">
        <v>77.951999999999998</v>
      </c>
      <c r="AB113" s="1810"/>
      <c r="AC113" s="1810"/>
      <c r="AD113" s="1334"/>
      <c r="AE113" s="1334"/>
      <c r="AF113" s="1334"/>
      <c r="AG113" s="1395">
        <f t="shared" si="176"/>
        <v>77.951999999999998</v>
      </c>
      <c r="AH113" s="1391">
        <f t="shared" si="200"/>
        <v>212.19399999999999</v>
      </c>
      <c r="AI113" s="1334">
        <f t="shared" si="210"/>
        <v>212.19399999999999</v>
      </c>
      <c r="AJ113" s="1334">
        <f t="shared" si="210"/>
        <v>0</v>
      </c>
      <c r="AK113" s="1334">
        <f t="shared" si="210"/>
        <v>0</v>
      </c>
      <c r="AL113" s="1334">
        <f t="shared" si="210"/>
        <v>0</v>
      </c>
      <c r="AM113" s="1334">
        <f t="shared" si="210"/>
        <v>0</v>
      </c>
      <c r="AN113" s="1334"/>
      <c r="AO113" s="1334">
        <f t="shared" si="228"/>
        <v>212.19399999999999</v>
      </c>
      <c r="AP113" s="1334">
        <f t="shared" si="229"/>
        <v>212.19399999999999</v>
      </c>
      <c r="AQ113" s="1396">
        <f t="shared" si="145"/>
        <v>212.19399999999999</v>
      </c>
      <c r="AR113" s="1417">
        <f t="shared" si="177"/>
        <v>0</v>
      </c>
      <c r="AS113" s="1333">
        <f t="shared" si="239"/>
        <v>703415.47101599991</v>
      </c>
      <c r="AT113" s="1334">
        <f t="shared" si="239"/>
        <v>0</v>
      </c>
      <c r="AU113" s="1334">
        <f t="shared" si="239"/>
        <v>0</v>
      </c>
      <c r="AV113" s="1334">
        <f t="shared" si="239"/>
        <v>0</v>
      </c>
      <c r="AW113" s="1334">
        <f t="shared" si="239"/>
        <v>0</v>
      </c>
      <c r="AX113" s="1334">
        <f t="shared" si="146"/>
        <v>703415.47101599991</v>
      </c>
      <c r="AY113" s="1334">
        <f t="shared" si="147"/>
        <v>703415.47101599991</v>
      </c>
      <c r="AZ113" s="1334">
        <f t="shared" si="246"/>
        <v>797545.57819199993</v>
      </c>
      <c r="BA113" s="1334">
        <f t="shared" si="246"/>
        <v>0</v>
      </c>
      <c r="BB113" s="1334">
        <f t="shared" si="245"/>
        <v>0</v>
      </c>
      <c r="BC113" s="1334">
        <f t="shared" si="245"/>
        <v>0</v>
      </c>
      <c r="BD113" s="1334">
        <f t="shared" si="245"/>
        <v>0</v>
      </c>
      <c r="BE113" s="1334">
        <f t="shared" si="148"/>
        <v>797545.57819199993</v>
      </c>
      <c r="BF113" s="1396">
        <f t="shared" si="149"/>
        <v>797545.57819199993</v>
      </c>
      <c r="BG113" s="1397">
        <f t="shared" si="251"/>
        <v>0</v>
      </c>
      <c r="BH113" s="1398">
        <f t="shared" si="252"/>
        <v>0</v>
      </c>
      <c r="BI113" s="1399">
        <f t="shared" si="253"/>
        <v>0</v>
      </c>
      <c r="BJ113" s="1334"/>
      <c r="BK113" s="1643"/>
      <c r="BL113" s="1334">
        <f t="shared" si="256"/>
        <v>445007.39728799992</v>
      </c>
      <c r="BM113" s="1334">
        <f t="shared" si="256"/>
        <v>0</v>
      </c>
      <c r="BN113" s="1334">
        <f t="shared" si="256"/>
        <v>0</v>
      </c>
      <c r="BO113" s="1334">
        <f t="shared" si="256"/>
        <v>0</v>
      </c>
      <c r="BP113" s="1334">
        <f t="shared" si="256"/>
        <v>0</v>
      </c>
      <c r="BQ113" s="1334">
        <f t="shared" si="203"/>
        <v>445007.39728799992</v>
      </c>
      <c r="BR113" s="1334">
        <f t="shared" si="204"/>
        <v>445007.39728799992</v>
      </c>
      <c r="BS113" s="1334">
        <f t="shared" si="257"/>
        <v>292987.89273599995</v>
      </c>
      <c r="BT113" s="1334">
        <f t="shared" si="257"/>
        <v>0</v>
      </c>
      <c r="BU113" s="1334">
        <f t="shared" si="257"/>
        <v>0</v>
      </c>
      <c r="BV113" s="1334">
        <f t="shared" si="205"/>
        <v>0</v>
      </c>
      <c r="BW113" s="1334">
        <f t="shared" si="157"/>
        <v>0</v>
      </c>
      <c r="BX113" s="1334">
        <f t="shared" si="206"/>
        <v>292987.89273599995</v>
      </c>
      <c r="BY113" s="1334">
        <f t="shared" si="207"/>
        <v>292987.89273599995</v>
      </c>
      <c r="BZ113" s="1389">
        <f t="shared" si="155"/>
        <v>0</v>
      </c>
      <c r="CA113" s="1389">
        <f t="shared" si="155"/>
        <v>0</v>
      </c>
      <c r="CB113" s="1389">
        <f t="shared" si="208"/>
        <v>0</v>
      </c>
      <c r="CC113" s="1420" t="e">
        <f t="shared" si="156"/>
        <v>#DIV/0!</v>
      </c>
      <c r="CD113" s="1420" t="e">
        <f t="shared" si="156"/>
        <v>#DIV/0!</v>
      </c>
      <c r="CE113" s="1420" t="e">
        <f t="shared" si="178"/>
        <v>#DIV/0!</v>
      </c>
      <c r="CF113" s="1389" t="e">
        <f t="shared" si="158"/>
        <v>#DIV/0!</v>
      </c>
      <c r="CG113" s="1421">
        <f t="shared" si="159"/>
        <v>0</v>
      </c>
      <c r="CH113" s="1421" t="e">
        <f t="shared" si="179"/>
        <v>#DIV/0!</v>
      </c>
      <c r="CI113" s="1389"/>
      <c r="CJ113" s="1756">
        <f t="shared" si="254"/>
        <v>445.00739728799994</v>
      </c>
      <c r="CK113" s="1756">
        <f t="shared" si="160"/>
        <v>292.98789273599994</v>
      </c>
      <c r="CL113" s="1756">
        <f t="shared" si="255"/>
        <v>737.99529002399981</v>
      </c>
      <c r="CM113" s="1334">
        <f t="shared" si="180"/>
        <v>797.54557819199988</v>
      </c>
      <c r="CN113" s="1334">
        <f t="shared" si="181"/>
        <v>59.550288168000066</v>
      </c>
      <c r="CO113" s="1334">
        <f t="shared" si="161"/>
        <v>737995.29002399987</v>
      </c>
      <c r="CP113" s="1334">
        <f t="shared" si="162"/>
        <v>703415.47101599991</v>
      </c>
      <c r="CQ113" s="1334">
        <f t="shared" si="163"/>
        <v>703415.47101599991</v>
      </c>
      <c r="CR113" s="1334">
        <f t="shared" si="164"/>
        <v>445007.39728799992</v>
      </c>
      <c r="CS113" s="1334">
        <f t="shared" si="165"/>
        <v>797545.57819199993</v>
      </c>
      <c r="CT113" s="1334">
        <f t="shared" si="166"/>
        <v>797545.57819199993</v>
      </c>
      <c r="CU113" s="1334">
        <f t="shared" si="167"/>
        <v>292987.89273599995</v>
      </c>
      <c r="CV113" s="1334">
        <f t="shared" si="182"/>
        <v>1500961.0492079998</v>
      </c>
      <c r="CW113" s="1422">
        <f t="shared" si="183"/>
        <v>7073.5319999999992</v>
      </c>
      <c r="CX113" s="1334">
        <f t="shared" si="168"/>
        <v>0</v>
      </c>
      <c r="CY113" s="1334">
        <f t="shared" si="169"/>
        <v>0</v>
      </c>
      <c r="CZ113" s="1334"/>
      <c r="DA113" s="1334">
        <f t="shared" si="170"/>
        <v>703415.47101599991</v>
      </c>
      <c r="DB113" s="1334">
        <f t="shared" si="171"/>
        <v>797545.57819199993</v>
      </c>
      <c r="DC113" s="1223"/>
      <c r="DD113" s="1224" t="e">
        <f t="shared" si="184"/>
        <v>#DIV/0!</v>
      </c>
      <c r="DE113" s="1223"/>
      <c r="DF113" s="1223"/>
      <c r="DG113" s="1223"/>
      <c r="DH113" s="1494"/>
      <c r="DI113" s="1494"/>
      <c r="DJ113" s="1494"/>
      <c r="DK113" s="1389"/>
      <c r="DL113" s="1419">
        <f t="shared" si="172"/>
        <v>0</v>
      </c>
      <c r="DM113" s="1419">
        <f t="shared" si="173"/>
        <v>0</v>
      </c>
      <c r="DN113" s="1419">
        <f t="shared" si="174"/>
        <v>0</v>
      </c>
      <c r="DO113" s="819"/>
      <c r="DP113" s="1315"/>
      <c r="DQ113" s="1315"/>
      <c r="DR113" s="1315"/>
      <c r="DS113" s="1315"/>
      <c r="DT113" s="1315"/>
      <c r="DU113" s="1315"/>
      <c r="DV113" s="1315"/>
      <c r="DW113" s="1315"/>
      <c r="DX113" s="1315"/>
      <c r="DY113" s="1315"/>
      <c r="DZ113" s="1315"/>
      <c r="EA113" s="1315"/>
      <c r="EB113" s="1315"/>
      <c r="EC113" s="1315"/>
      <c r="ED113" s="1315"/>
      <c r="EE113" s="1315"/>
      <c r="EF113" s="1315"/>
      <c r="EG113" s="1315"/>
      <c r="EH113" s="1315"/>
      <c r="EI113" s="1315"/>
      <c r="EJ113" s="1315"/>
      <c r="EK113" s="1315"/>
      <c r="EL113" s="1315"/>
    </row>
    <row r="114" spans="1:142" s="1313" customFormat="1" ht="67.5" hidden="1" customHeight="1">
      <c r="A114" s="6">
        <f t="shared" si="185"/>
        <v>101</v>
      </c>
      <c r="B114" s="1330" t="s">
        <v>42</v>
      </c>
      <c r="C114" s="1753" t="s">
        <v>126</v>
      </c>
      <c r="D114" s="1706" t="s">
        <v>141</v>
      </c>
      <c r="E114" s="1331">
        <v>4632024035</v>
      </c>
      <c r="F114" s="1330" t="s">
        <v>8</v>
      </c>
      <c r="G114" s="1682" t="s">
        <v>1034</v>
      </c>
      <c r="H114" s="1700">
        <v>3314.9639999999995</v>
      </c>
      <c r="I114" s="1701">
        <f t="shared" si="247"/>
        <v>3314.9639999999995</v>
      </c>
      <c r="J114" s="1335"/>
      <c r="K114" s="1335"/>
      <c r="L114" s="1700">
        <v>3314.9639999999995</v>
      </c>
      <c r="M114" s="1390"/>
      <c r="N114" s="1703">
        <f t="shared" si="248"/>
        <v>3758.5679999999998</v>
      </c>
      <c r="O114" s="1704">
        <f t="shared" si="249"/>
        <v>3758.5679999999998</v>
      </c>
      <c r="P114" s="1335"/>
      <c r="Q114" s="1335"/>
      <c r="R114" s="1335">
        <f t="shared" si="250"/>
        <v>3758.5679999999998</v>
      </c>
      <c r="S114" s="1390"/>
      <c r="T114" s="1751">
        <v>170</v>
      </c>
      <c r="U114" s="1810"/>
      <c r="V114" s="1810"/>
      <c r="W114" s="1334"/>
      <c r="X114" s="1334"/>
      <c r="Y114" s="1334"/>
      <c r="Z114" s="1393">
        <f t="shared" si="175"/>
        <v>170</v>
      </c>
      <c r="AA114" s="1752">
        <v>121</v>
      </c>
      <c r="AB114" s="1810"/>
      <c r="AC114" s="1810"/>
      <c r="AD114" s="1334"/>
      <c r="AE114" s="1334"/>
      <c r="AF114" s="1334"/>
      <c r="AG114" s="1395">
        <f t="shared" si="176"/>
        <v>121</v>
      </c>
      <c r="AH114" s="1391">
        <f t="shared" si="200"/>
        <v>291</v>
      </c>
      <c r="AI114" s="1334">
        <f t="shared" si="210"/>
        <v>291</v>
      </c>
      <c r="AJ114" s="1334">
        <f t="shared" si="210"/>
        <v>0</v>
      </c>
      <c r="AK114" s="1334">
        <f>V114+AC114</f>
        <v>0</v>
      </c>
      <c r="AL114" s="1334">
        <f t="shared" si="210"/>
        <v>0</v>
      </c>
      <c r="AM114" s="1334">
        <f t="shared" si="210"/>
        <v>0</v>
      </c>
      <c r="AN114" s="1334"/>
      <c r="AO114" s="1334">
        <f t="shared" si="228"/>
        <v>291</v>
      </c>
      <c r="AP114" s="1334">
        <f t="shared" si="229"/>
        <v>291</v>
      </c>
      <c r="AQ114" s="1396">
        <f t="shared" si="145"/>
        <v>291</v>
      </c>
      <c r="AR114" s="1417">
        <f t="shared" si="177"/>
        <v>0</v>
      </c>
      <c r="AS114" s="1333">
        <f t="shared" si="239"/>
        <v>964654.52399999986</v>
      </c>
      <c r="AT114" s="1334">
        <f t="shared" si="239"/>
        <v>0</v>
      </c>
      <c r="AU114" s="1334">
        <f t="shared" si="239"/>
        <v>0</v>
      </c>
      <c r="AV114" s="1334">
        <f t="shared" si="239"/>
        <v>0</v>
      </c>
      <c r="AW114" s="1334">
        <f t="shared" si="239"/>
        <v>0</v>
      </c>
      <c r="AX114" s="1334">
        <f t="shared" si="146"/>
        <v>964654.52399999986</v>
      </c>
      <c r="AY114" s="1334">
        <f t="shared" si="147"/>
        <v>964654.52399999986</v>
      </c>
      <c r="AZ114" s="1334">
        <f t="shared" si="246"/>
        <v>1093743.2879999999</v>
      </c>
      <c r="BA114" s="1334">
        <f t="shared" si="246"/>
        <v>0</v>
      </c>
      <c r="BB114" s="1334">
        <f t="shared" si="245"/>
        <v>0</v>
      </c>
      <c r="BC114" s="1334">
        <f t="shared" si="245"/>
        <v>0</v>
      </c>
      <c r="BD114" s="1334">
        <f t="shared" si="245"/>
        <v>0</v>
      </c>
      <c r="BE114" s="1334">
        <f t="shared" si="148"/>
        <v>1093743.2879999999</v>
      </c>
      <c r="BF114" s="1396">
        <f t="shared" si="149"/>
        <v>1093743.2879999999</v>
      </c>
      <c r="BG114" s="1397">
        <f t="shared" si="251"/>
        <v>0</v>
      </c>
      <c r="BH114" s="1398">
        <f t="shared" si="252"/>
        <v>0</v>
      </c>
      <c r="BI114" s="1399">
        <f t="shared" si="253"/>
        <v>0</v>
      </c>
      <c r="BJ114" s="1334"/>
      <c r="BK114" s="1643"/>
      <c r="BL114" s="1334">
        <f t="shared" si="256"/>
        <v>563543.87999999989</v>
      </c>
      <c r="BM114" s="1334">
        <f t="shared" si="256"/>
        <v>0</v>
      </c>
      <c r="BN114" s="1334">
        <f t="shared" si="256"/>
        <v>0</v>
      </c>
      <c r="BO114" s="1334">
        <f t="shared" si="256"/>
        <v>0</v>
      </c>
      <c r="BP114" s="1334">
        <f t="shared" si="256"/>
        <v>0</v>
      </c>
      <c r="BQ114" s="1334">
        <f t="shared" si="203"/>
        <v>563543.87999999989</v>
      </c>
      <c r="BR114" s="1334">
        <f t="shared" si="204"/>
        <v>563543.87999999989</v>
      </c>
      <c r="BS114" s="1334">
        <f t="shared" si="257"/>
        <v>454786.72799999994</v>
      </c>
      <c r="BT114" s="1334">
        <f t="shared" si="257"/>
        <v>0</v>
      </c>
      <c r="BU114" s="1334">
        <f t="shared" si="257"/>
        <v>0</v>
      </c>
      <c r="BV114" s="1334">
        <f t="shared" si="205"/>
        <v>0</v>
      </c>
      <c r="BW114" s="1334">
        <f t="shared" si="157"/>
        <v>0</v>
      </c>
      <c r="BX114" s="1334">
        <f t="shared" si="206"/>
        <v>454786.72799999994</v>
      </c>
      <c r="BY114" s="1334">
        <f t="shared" si="207"/>
        <v>454786.72799999994</v>
      </c>
      <c r="BZ114" s="1389">
        <f t="shared" si="155"/>
        <v>0</v>
      </c>
      <c r="CA114" s="1389">
        <f t="shared" si="155"/>
        <v>0</v>
      </c>
      <c r="CB114" s="1389">
        <f t="shared" si="208"/>
        <v>0</v>
      </c>
      <c r="CC114" s="1420" t="e">
        <f t="shared" si="156"/>
        <v>#DIV/0!</v>
      </c>
      <c r="CD114" s="1420" t="e">
        <f t="shared" si="156"/>
        <v>#DIV/0!</v>
      </c>
      <c r="CE114" s="1420" t="e">
        <f t="shared" si="178"/>
        <v>#DIV/0!</v>
      </c>
      <c r="CF114" s="1389" t="e">
        <f t="shared" si="158"/>
        <v>#DIV/0!</v>
      </c>
      <c r="CG114" s="1421">
        <f t="shared" si="159"/>
        <v>0</v>
      </c>
      <c r="CH114" s="1421" t="e">
        <f t="shared" si="179"/>
        <v>#DIV/0!</v>
      </c>
      <c r="CI114" s="1389"/>
      <c r="CJ114" s="1756">
        <f t="shared" si="254"/>
        <v>563.54387999999994</v>
      </c>
      <c r="CK114" s="1756">
        <f t="shared" si="160"/>
        <v>454.78672799999993</v>
      </c>
      <c r="CL114" s="1756">
        <f t="shared" si="255"/>
        <v>1018.3306079999999</v>
      </c>
      <c r="CM114" s="1334">
        <f t="shared" si="180"/>
        <v>1093.7432879999999</v>
      </c>
      <c r="CN114" s="1334">
        <f t="shared" si="181"/>
        <v>75.412680000000023</v>
      </c>
      <c r="CO114" s="1334">
        <f t="shared" si="161"/>
        <v>1018330.6079999998</v>
      </c>
      <c r="CP114" s="1334">
        <f t="shared" si="162"/>
        <v>964654.52399999986</v>
      </c>
      <c r="CQ114" s="1334">
        <f t="shared" si="163"/>
        <v>964654.52399999986</v>
      </c>
      <c r="CR114" s="1334">
        <f t="shared" si="164"/>
        <v>563543.87999999989</v>
      </c>
      <c r="CS114" s="1334">
        <f t="shared" si="165"/>
        <v>1093743.2879999999</v>
      </c>
      <c r="CT114" s="1334">
        <f t="shared" si="166"/>
        <v>1093743.2879999999</v>
      </c>
      <c r="CU114" s="1334">
        <f t="shared" si="167"/>
        <v>454786.72799999994</v>
      </c>
      <c r="CV114" s="1334">
        <f t="shared" si="182"/>
        <v>2058397.8119999999</v>
      </c>
      <c r="CW114" s="1422">
        <f t="shared" si="183"/>
        <v>7073.5320000000002</v>
      </c>
      <c r="CX114" s="1334">
        <f t="shared" si="168"/>
        <v>0</v>
      </c>
      <c r="CY114" s="1334">
        <f t="shared" si="169"/>
        <v>0</v>
      </c>
      <c r="CZ114" s="1334"/>
      <c r="DA114" s="1334">
        <f t="shared" si="170"/>
        <v>964654.52399999986</v>
      </c>
      <c r="DB114" s="1334">
        <f t="shared" si="171"/>
        <v>1093743.2879999999</v>
      </c>
      <c r="DC114" s="1223"/>
      <c r="DD114" s="1224" t="e">
        <f t="shared" si="184"/>
        <v>#DIV/0!</v>
      </c>
      <c r="DE114" s="1223"/>
      <c r="DF114" s="1223"/>
      <c r="DG114" s="1223"/>
      <c r="DH114" s="1494"/>
      <c r="DI114" s="1494"/>
      <c r="DJ114" s="1494"/>
      <c r="DK114" s="1389"/>
      <c r="DL114" s="1419">
        <f t="shared" si="172"/>
        <v>0</v>
      </c>
      <c r="DM114" s="1419">
        <f t="shared" si="173"/>
        <v>0</v>
      </c>
      <c r="DN114" s="1419">
        <f t="shared" si="174"/>
        <v>0</v>
      </c>
      <c r="DO114" s="819"/>
      <c r="DP114" s="1315"/>
      <c r="DQ114" s="1315"/>
      <c r="DR114" s="1315"/>
      <c r="DS114" s="1315"/>
      <c r="DT114" s="1315"/>
      <c r="DU114" s="1315"/>
      <c r="DV114" s="1315"/>
      <c r="DW114" s="1315"/>
      <c r="DX114" s="1315"/>
      <c r="DY114" s="1315"/>
      <c r="DZ114" s="1315"/>
      <c r="EA114" s="1315"/>
      <c r="EB114" s="1315"/>
      <c r="EC114" s="1315"/>
      <c r="ED114" s="1315"/>
      <c r="EE114" s="1315"/>
      <c r="EF114" s="1315"/>
      <c r="EG114" s="1315"/>
      <c r="EH114" s="1315"/>
      <c r="EI114" s="1315"/>
      <c r="EJ114" s="1315"/>
      <c r="EK114" s="1315"/>
      <c r="EL114" s="1315"/>
    </row>
    <row r="115" spans="1:142" s="1313" customFormat="1" ht="77.25" hidden="1" customHeight="1">
      <c r="A115" s="6">
        <f t="shared" si="185"/>
        <v>102</v>
      </c>
      <c r="B115" s="1330" t="s">
        <v>42</v>
      </c>
      <c r="C115" s="1753" t="s">
        <v>127</v>
      </c>
      <c r="D115" s="1706" t="s">
        <v>142</v>
      </c>
      <c r="E115" s="1331">
        <v>4632024035</v>
      </c>
      <c r="F115" s="1330" t="s">
        <v>8</v>
      </c>
      <c r="G115" s="1682" t="s">
        <v>1034</v>
      </c>
      <c r="H115" s="1700">
        <v>3314.9639999999995</v>
      </c>
      <c r="I115" s="1701">
        <f t="shared" si="247"/>
        <v>3314.9639999999995</v>
      </c>
      <c r="J115" s="1335"/>
      <c r="K115" s="1335"/>
      <c r="L115" s="1700">
        <v>3314.9639999999995</v>
      </c>
      <c r="M115" s="1390"/>
      <c r="N115" s="1703">
        <f t="shared" si="248"/>
        <v>3758.5679999999998</v>
      </c>
      <c r="O115" s="1704">
        <f t="shared" si="249"/>
        <v>3758.5679999999998</v>
      </c>
      <c r="P115" s="1335"/>
      <c r="Q115" s="1335"/>
      <c r="R115" s="1335">
        <f t="shared" si="250"/>
        <v>3758.5679999999998</v>
      </c>
      <c r="S115" s="1390"/>
      <c r="T115" s="1751">
        <v>226.53200000000001</v>
      </c>
      <c r="U115" s="1810"/>
      <c r="V115" s="1810"/>
      <c r="W115" s="1334"/>
      <c r="X115" s="1334"/>
      <c r="Y115" s="1334"/>
      <c r="Z115" s="1393">
        <f t="shared" si="175"/>
        <v>226.53200000000001</v>
      </c>
      <c r="AA115" s="1752">
        <v>131.54400000000001</v>
      </c>
      <c r="AB115" s="1810"/>
      <c r="AC115" s="1810"/>
      <c r="AD115" s="1334"/>
      <c r="AE115" s="1334"/>
      <c r="AF115" s="1334"/>
      <c r="AG115" s="1395">
        <f t="shared" si="176"/>
        <v>131.54400000000001</v>
      </c>
      <c r="AH115" s="1391">
        <f t="shared" si="200"/>
        <v>358.07600000000002</v>
      </c>
      <c r="AI115" s="1334">
        <f t="shared" si="210"/>
        <v>358.07600000000002</v>
      </c>
      <c r="AJ115" s="1334">
        <f t="shared" si="210"/>
        <v>0</v>
      </c>
      <c r="AK115" s="1334">
        <f t="shared" si="210"/>
        <v>0</v>
      </c>
      <c r="AL115" s="1334">
        <f t="shared" si="210"/>
        <v>0</v>
      </c>
      <c r="AM115" s="1334">
        <f t="shared" si="210"/>
        <v>0</v>
      </c>
      <c r="AN115" s="1334"/>
      <c r="AO115" s="1334">
        <f t="shared" si="228"/>
        <v>358.07600000000002</v>
      </c>
      <c r="AP115" s="1334">
        <f t="shared" si="229"/>
        <v>358.07600000000002</v>
      </c>
      <c r="AQ115" s="1396">
        <f t="shared" si="145"/>
        <v>358.07600000000002</v>
      </c>
      <c r="AR115" s="1417">
        <f t="shared" si="177"/>
        <v>0</v>
      </c>
      <c r="AS115" s="1333">
        <f t="shared" si="239"/>
        <v>1187009.0492639998</v>
      </c>
      <c r="AT115" s="1334">
        <f t="shared" si="239"/>
        <v>0</v>
      </c>
      <c r="AU115" s="1334">
        <f t="shared" si="239"/>
        <v>0</v>
      </c>
      <c r="AV115" s="1334">
        <f t="shared" si="239"/>
        <v>0</v>
      </c>
      <c r="AW115" s="1334">
        <f t="shared" si="239"/>
        <v>0</v>
      </c>
      <c r="AX115" s="1334">
        <f t="shared" si="146"/>
        <v>1187009.0492639998</v>
      </c>
      <c r="AY115" s="1334">
        <f t="shared" si="147"/>
        <v>1187009.0492639998</v>
      </c>
      <c r="AZ115" s="1334">
        <f t="shared" si="246"/>
        <v>1345852.995168</v>
      </c>
      <c r="BA115" s="1334">
        <f t="shared" si="246"/>
        <v>0</v>
      </c>
      <c r="BB115" s="1334">
        <f t="shared" si="245"/>
        <v>0</v>
      </c>
      <c r="BC115" s="1334">
        <f t="shared" si="245"/>
        <v>0</v>
      </c>
      <c r="BD115" s="1334">
        <f t="shared" si="245"/>
        <v>0</v>
      </c>
      <c r="BE115" s="1334">
        <f t="shared" si="148"/>
        <v>1345852.995168</v>
      </c>
      <c r="BF115" s="1396">
        <f t="shared" si="149"/>
        <v>1345852.995168</v>
      </c>
      <c r="BG115" s="1397">
        <f t="shared" si="251"/>
        <v>0</v>
      </c>
      <c r="BH115" s="1398">
        <f t="shared" si="252"/>
        <v>0</v>
      </c>
      <c r="BI115" s="1399">
        <f t="shared" si="253"/>
        <v>0</v>
      </c>
      <c r="BJ115" s="1334"/>
      <c r="BK115" s="1643"/>
      <c r="BL115" s="1334">
        <f t="shared" si="256"/>
        <v>750945.42484799994</v>
      </c>
      <c r="BM115" s="1334">
        <f t="shared" si="256"/>
        <v>0</v>
      </c>
      <c r="BN115" s="1334">
        <f t="shared" si="256"/>
        <v>0</v>
      </c>
      <c r="BO115" s="1334">
        <f t="shared" si="256"/>
        <v>0</v>
      </c>
      <c r="BP115" s="1334">
        <f t="shared" si="256"/>
        <v>0</v>
      </c>
      <c r="BQ115" s="1334">
        <f t="shared" si="203"/>
        <v>750945.42484799994</v>
      </c>
      <c r="BR115" s="1334">
        <f t="shared" si="204"/>
        <v>750945.42484799994</v>
      </c>
      <c r="BS115" s="1334">
        <f t="shared" si="257"/>
        <v>494417.06899200001</v>
      </c>
      <c r="BT115" s="1334">
        <f t="shared" si="257"/>
        <v>0</v>
      </c>
      <c r="BU115" s="1334">
        <f t="shared" si="257"/>
        <v>0</v>
      </c>
      <c r="BV115" s="1334">
        <f t="shared" si="205"/>
        <v>0</v>
      </c>
      <c r="BW115" s="1334">
        <f t="shared" si="157"/>
        <v>0</v>
      </c>
      <c r="BX115" s="1334">
        <f t="shared" si="206"/>
        <v>494417.06899200001</v>
      </c>
      <c r="BY115" s="1334">
        <f t="shared" si="207"/>
        <v>494417.06899200001</v>
      </c>
      <c r="BZ115" s="1389">
        <f t="shared" si="155"/>
        <v>0</v>
      </c>
      <c r="CA115" s="1389">
        <f t="shared" si="155"/>
        <v>0</v>
      </c>
      <c r="CB115" s="1389">
        <f t="shared" si="208"/>
        <v>0</v>
      </c>
      <c r="CC115" s="1420" t="e">
        <f t="shared" si="156"/>
        <v>#DIV/0!</v>
      </c>
      <c r="CD115" s="1420" t="e">
        <f t="shared" si="156"/>
        <v>#DIV/0!</v>
      </c>
      <c r="CE115" s="1420" t="e">
        <f t="shared" si="178"/>
        <v>#DIV/0!</v>
      </c>
      <c r="CF115" s="1389" t="e">
        <f t="shared" si="158"/>
        <v>#DIV/0!</v>
      </c>
      <c r="CG115" s="1421">
        <f t="shared" si="159"/>
        <v>0</v>
      </c>
      <c r="CH115" s="1421" t="e">
        <f t="shared" si="179"/>
        <v>#DIV/0!</v>
      </c>
      <c r="CI115" s="1389"/>
      <c r="CJ115" s="1756">
        <f t="shared" si="254"/>
        <v>750.9454248479999</v>
      </c>
      <c r="CK115" s="1756">
        <f t="shared" si="160"/>
        <v>494.417068992</v>
      </c>
      <c r="CL115" s="1756">
        <f t="shared" si="255"/>
        <v>1245.3624938399998</v>
      </c>
      <c r="CM115" s="1334">
        <f t="shared" si="180"/>
        <v>1345.852995168</v>
      </c>
      <c r="CN115" s="1334">
        <f t="shared" si="181"/>
        <v>100.49050132800016</v>
      </c>
      <c r="CO115" s="1334">
        <f t="shared" si="161"/>
        <v>1245362.4938399999</v>
      </c>
      <c r="CP115" s="1334">
        <f t="shared" si="162"/>
        <v>1187009.0492639998</v>
      </c>
      <c r="CQ115" s="1334">
        <f t="shared" si="163"/>
        <v>1187009.0492639998</v>
      </c>
      <c r="CR115" s="1334">
        <f t="shared" si="164"/>
        <v>750945.42484799994</v>
      </c>
      <c r="CS115" s="1334">
        <f t="shared" si="165"/>
        <v>1345852.995168</v>
      </c>
      <c r="CT115" s="1334">
        <f t="shared" si="166"/>
        <v>1345852.995168</v>
      </c>
      <c r="CU115" s="1334">
        <f t="shared" si="167"/>
        <v>494417.06899200001</v>
      </c>
      <c r="CV115" s="1334">
        <f t="shared" si="182"/>
        <v>2532862.0444319998</v>
      </c>
      <c r="CW115" s="1422">
        <f t="shared" si="183"/>
        <v>7073.5319999999992</v>
      </c>
      <c r="CX115" s="1334">
        <f t="shared" si="168"/>
        <v>0</v>
      </c>
      <c r="CY115" s="1334">
        <f t="shared" si="169"/>
        <v>0</v>
      </c>
      <c r="CZ115" s="1334"/>
      <c r="DA115" s="1334">
        <f t="shared" si="170"/>
        <v>1187009.0492639998</v>
      </c>
      <c r="DB115" s="1334">
        <f t="shared" si="171"/>
        <v>1345852.995168</v>
      </c>
      <c r="DC115" s="1223"/>
      <c r="DD115" s="1224" t="e">
        <f t="shared" si="184"/>
        <v>#DIV/0!</v>
      </c>
      <c r="DE115" s="1223"/>
      <c r="DF115" s="1223"/>
      <c r="DG115" s="1223"/>
      <c r="DH115" s="1494"/>
      <c r="DI115" s="1494"/>
      <c r="DJ115" s="1494"/>
      <c r="DK115" s="1389"/>
      <c r="DL115" s="1419">
        <f t="shared" si="172"/>
        <v>0</v>
      </c>
      <c r="DM115" s="1419">
        <f t="shared" si="173"/>
        <v>0</v>
      </c>
      <c r="DN115" s="1419">
        <f t="shared" si="174"/>
        <v>0</v>
      </c>
      <c r="DO115" s="819"/>
      <c r="DP115" s="1315"/>
      <c r="DQ115" s="1315"/>
      <c r="DR115" s="1315"/>
      <c r="DS115" s="1315"/>
      <c r="DT115" s="1315"/>
      <c r="DU115" s="1315"/>
      <c r="DV115" s="1315"/>
      <c r="DW115" s="1315"/>
      <c r="DX115" s="1315"/>
      <c r="DY115" s="1315"/>
      <c r="DZ115" s="1315"/>
      <c r="EA115" s="1315"/>
      <c r="EB115" s="1315"/>
      <c r="EC115" s="1315"/>
      <c r="ED115" s="1315"/>
      <c r="EE115" s="1315"/>
      <c r="EF115" s="1315"/>
      <c r="EG115" s="1315"/>
      <c r="EH115" s="1315"/>
      <c r="EI115" s="1315"/>
      <c r="EJ115" s="1315"/>
      <c r="EK115" s="1315"/>
      <c r="EL115" s="1315"/>
    </row>
    <row r="116" spans="1:142" s="1313" customFormat="1" ht="71.25" hidden="1" customHeight="1">
      <c r="A116" s="6">
        <f t="shared" si="185"/>
        <v>103</v>
      </c>
      <c r="B116" s="1330" t="s">
        <v>42</v>
      </c>
      <c r="C116" s="1753" t="s">
        <v>128</v>
      </c>
      <c r="D116" s="1706" t="s">
        <v>141</v>
      </c>
      <c r="E116" s="1331">
        <v>4632024035</v>
      </c>
      <c r="F116" s="1330" t="s">
        <v>8</v>
      </c>
      <c r="G116" s="1682" t="s">
        <v>1034</v>
      </c>
      <c r="H116" s="1700">
        <v>3314.9639999999995</v>
      </c>
      <c r="I116" s="1701">
        <f t="shared" si="247"/>
        <v>3314.9639999999995</v>
      </c>
      <c r="J116" s="1335"/>
      <c r="K116" s="1335"/>
      <c r="L116" s="1700">
        <v>3314.9639999999995</v>
      </c>
      <c r="M116" s="1390"/>
      <c r="N116" s="1703">
        <f t="shared" si="248"/>
        <v>3758.5679999999998</v>
      </c>
      <c r="O116" s="1704">
        <f t="shared" si="249"/>
        <v>3758.5679999999998</v>
      </c>
      <c r="P116" s="1335"/>
      <c r="Q116" s="1335"/>
      <c r="R116" s="1335">
        <f t="shared" si="250"/>
        <v>3758.5679999999998</v>
      </c>
      <c r="S116" s="1390"/>
      <c r="T116" s="1751">
        <v>67.12</v>
      </c>
      <c r="U116" s="1736"/>
      <c r="V116" s="1736"/>
      <c r="W116" s="1392"/>
      <c r="X116" s="1392"/>
      <c r="Y116" s="1392"/>
      <c r="Z116" s="1393">
        <f t="shared" si="175"/>
        <v>67.12</v>
      </c>
      <c r="AA116" s="1752">
        <v>38.975999999999999</v>
      </c>
      <c r="AB116" s="1810"/>
      <c r="AC116" s="1810"/>
      <c r="AD116" s="1334"/>
      <c r="AE116" s="1334"/>
      <c r="AF116" s="1334"/>
      <c r="AG116" s="1395">
        <f t="shared" si="176"/>
        <v>38.975999999999999</v>
      </c>
      <c r="AH116" s="1391">
        <f t="shared" si="200"/>
        <v>106.096</v>
      </c>
      <c r="AI116" s="1334">
        <f t="shared" si="210"/>
        <v>106.096</v>
      </c>
      <c r="AJ116" s="1334">
        <f t="shared" si="210"/>
        <v>0</v>
      </c>
      <c r="AK116" s="1334">
        <f t="shared" si="210"/>
        <v>0</v>
      </c>
      <c r="AL116" s="1334">
        <f t="shared" si="210"/>
        <v>0</v>
      </c>
      <c r="AM116" s="1334">
        <f t="shared" si="210"/>
        <v>0</v>
      </c>
      <c r="AN116" s="1334"/>
      <c r="AO116" s="1334">
        <f t="shared" si="228"/>
        <v>106.096</v>
      </c>
      <c r="AP116" s="1334">
        <f t="shared" si="229"/>
        <v>106.096</v>
      </c>
      <c r="AQ116" s="1396">
        <f t="shared" si="145"/>
        <v>106.096</v>
      </c>
      <c r="AR116" s="1417">
        <f t="shared" si="177"/>
        <v>0</v>
      </c>
      <c r="AS116" s="1333">
        <f t="shared" si="239"/>
        <v>351704.42054399994</v>
      </c>
      <c r="AT116" s="1334">
        <f t="shared" si="239"/>
        <v>0</v>
      </c>
      <c r="AU116" s="1334">
        <f t="shared" si="239"/>
        <v>0</v>
      </c>
      <c r="AV116" s="1334">
        <f t="shared" si="239"/>
        <v>0</v>
      </c>
      <c r="AW116" s="1334">
        <f t="shared" si="239"/>
        <v>0</v>
      </c>
      <c r="AX116" s="1334">
        <f t="shared" si="146"/>
        <v>351704.42054399994</v>
      </c>
      <c r="AY116" s="1334">
        <f t="shared" si="147"/>
        <v>351704.42054399994</v>
      </c>
      <c r="AZ116" s="1334">
        <f t="shared" si="246"/>
        <v>398769.03052799997</v>
      </c>
      <c r="BA116" s="1334">
        <f t="shared" si="246"/>
        <v>0</v>
      </c>
      <c r="BB116" s="1334">
        <f t="shared" si="245"/>
        <v>0</v>
      </c>
      <c r="BC116" s="1334">
        <f t="shared" si="245"/>
        <v>0</v>
      </c>
      <c r="BD116" s="1334">
        <f t="shared" si="245"/>
        <v>0</v>
      </c>
      <c r="BE116" s="1334">
        <f t="shared" si="148"/>
        <v>398769.03052799997</v>
      </c>
      <c r="BF116" s="1396">
        <f t="shared" si="149"/>
        <v>398769.03052799997</v>
      </c>
      <c r="BG116" s="1397">
        <f t="shared" si="251"/>
        <v>0</v>
      </c>
      <c r="BH116" s="1398">
        <f t="shared" si="252"/>
        <v>0</v>
      </c>
      <c r="BI116" s="1399">
        <f t="shared" si="253"/>
        <v>0</v>
      </c>
      <c r="BJ116" s="1334"/>
      <c r="BK116" s="1643"/>
      <c r="BL116" s="1334">
        <f t="shared" si="256"/>
        <v>222500.38367999997</v>
      </c>
      <c r="BM116" s="1334">
        <f t="shared" si="256"/>
        <v>0</v>
      </c>
      <c r="BN116" s="1334">
        <f t="shared" si="256"/>
        <v>0</v>
      </c>
      <c r="BO116" s="1334">
        <f t="shared" si="256"/>
        <v>0</v>
      </c>
      <c r="BP116" s="1334">
        <f t="shared" si="256"/>
        <v>0</v>
      </c>
      <c r="BQ116" s="1334">
        <f t="shared" si="203"/>
        <v>222500.38367999997</v>
      </c>
      <c r="BR116" s="1334">
        <f t="shared" si="204"/>
        <v>222500.38367999997</v>
      </c>
      <c r="BS116" s="1334">
        <f t="shared" si="257"/>
        <v>146493.94636799998</v>
      </c>
      <c r="BT116" s="1334">
        <f t="shared" si="257"/>
        <v>0</v>
      </c>
      <c r="BU116" s="1334">
        <f t="shared" si="257"/>
        <v>0</v>
      </c>
      <c r="BV116" s="1334">
        <f t="shared" si="205"/>
        <v>0</v>
      </c>
      <c r="BW116" s="1334">
        <f t="shared" si="157"/>
        <v>0</v>
      </c>
      <c r="BX116" s="1334">
        <f t="shared" si="206"/>
        <v>146493.94636799998</v>
      </c>
      <c r="BY116" s="1334">
        <f t="shared" si="207"/>
        <v>146493.94636799998</v>
      </c>
      <c r="BZ116" s="1389">
        <f t="shared" si="155"/>
        <v>0</v>
      </c>
      <c r="CA116" s="1389">
        <f t="shared" si="155"/>
        <v>0</v>
      </c>
      <c r="CB116" s="1389">
        <f t="shared" si="208"/>
        <v>0</v>
      </c>
      <c r="CC116" s="1420" t="e">
        <f t="shared" si="156"/>
        <v>#DIV/0!</v>
      </c>
      <c r="CD116" s="1420" t="e">
        <f t="shared" si="156"/>
        <v>#DIV/0!</v>
      </c>
      <c r="CE116" s="1420" t="e">
        <f t="shared" si="178"/>
        <v>#DIV/0!</v>
      </c>
      <c r="CF116" s="1389" t="e">
        <f t="shared" si="158"/>
        <v>#DIV/0!</v>
      </c>
      <c r="CG116" s="1421">
        <f t="shared" si="159"/>
        <v>0</v>
      </c>
      <c r="CH116" s="1421" t="e">
        <f t="shared" si="179"/>
        <v>#DIV/0!</v>
      </c>
      <c r="CI116" s="1389"/>
      <c r="CJ116" s="1756">
        <f t="shared" si="254"/>
        <v>222.50038367999997</v>
      </c>
      <c r="CK116" s="1756">
        <f t="shared" si="160"/>
        <v>146.49394636799997</v>
      </c>
      <c r="CL116" s="1756">
        <f t="shared" si="255"/>
        <v>368.99433004799994</v>
      </c>
      <c r="CM116" s="1334">
        <f t="shared" si="180"/>
        <v>398.76903052799997</v>
      </c>
      <c r="CN116" s="1334">
        <f t="shared" si="181"/>
        <v>29.774700480000035</v>
      </c>
      <c r="CO116" s="1334">
        <f t="shared" si="161"/>
        <v>368994.33004799997</v>
      </c>
      <c r="CP116" s="1334">
        <f t="shared" si="162"/>
        <v>351704.42054399994</v>
      </c>
      <c r="CQ116" s="1334">
        <f t="shared" si="163"/>
        <v>351704.42054399994</v>
      </c>
      <c r="CR116" s="1334">
        <f t="shared" si="164"/>
        <v>222500.38367999997</v>
      </c>
      <c r="CS116" s="1334">
        <f t="shared" si="165"/>
        <v>398769.03052799997</v>
      </c>
      <c r="CT116" s="1334">
        <f t="shared" si="166"/>
        <v>398769.03052799997</v>
      </c>
      <c r="CU116" s="1334">
        <f t="shared" si="167"/>
        <v>146493.94636799998</v>
      </c>
      <c r="CV116" s="1334">
        <f t="shared" si="182"/>
        <v>750473.45107199997</v>
      </c>
      <c r="CW116" s="1422">
        <f t="shared" si="183"/>
        <v>7073.5319999999992</v>
      </c>
      <c r="CX116" s="1334">
        <f t="shared" si="168"/>
        <v>0</v>
      </c>
      <c r="CY116" s="1334">
        <f t="shared" si="169"/>
        <v>0</v>
      </c>
      <c r="CZ116" s="1334"/>
      <c r="DA116" s="1334">
        <f t="shared" si="170"/>
        <v>351704.42054399994</v>
      </c>
      <c r="DB116" s="1334">
        <f t="shared" si="171"/>
        <v>398769.03052799997</v>
      </c>
      <c r="DC116" s="1223"/>
      <c r="DD116" s="1224" t="e">
        <f t="shared" si="184"/>
        <v>#DIV/0!</v>
      </c>
      <c r="DE116" s="1223"/>
      <c r="DF116" s="1223"/>
      <c r="DG116" s="1223"/>
      <c r="DH116" s="1494"/>
      <c r="DI116" s="1494"/>
      <c r="DJ116" s="1494"/>
      <c r="DK116" s="1389"/>
      <c r="DL116" s="1419">
        <f t="shared" si="172"/>
        <v>0</v>
      </c>
      <c r="DM116" s="1419">
        <f t="shared" si="173"/>
        <v>0</v>
      </c>
      <c r="DN116" s="1419">
        <f t="shared" si="174"/>
        <v>0</v>
      </c>
      <c r="DO116" s="819"/>
      <c r="DP116" s="1315"/>
      <c r="DQ116" s="1315"/>
      <c r="DR116" s="1315"/>
      <c r="DS116" s="1315"/>
      <c r="DT116" s="1315"/>
      <c r="DU116" s="1315"/>
      <c r="DV116" s="1315"/>
      <c r="DW116" s="1315"/>
      <c r="DX116" s="1315"/>
      <c r="DY116" s="1315"/>
      <c r="DZ116" s="1315"/>
      <c r="EA116" s="1315"/>
      <c r="EB116" s="1315"/>
      <c r="EC116" s="1315"/>
      <c r="ED116" s="1315"/>
      <c r="EE116" s="1315"/>
      <c r="EF116" s="1315"/>
      <c r="EG116" s="1315"/>
      <c r="EH116" s="1315"/>
      <c r="EI116" s="1315"/>
      <c r="EJ116" s="1315"/>
      <c r="EK116" s="1315"/>
      <c r="EL116" s="1315"/>
    </row>
    <row r="117" spans="1:142" s="1313" customFormat="1" ht="75.75" hidden="1" customHeight="1">
      <c r="A117" s="6">
        <f t="shared" si="185"/>
        <v>104</v>
      </c>
      <c r="B117" s="1330" t="s">
        <v>42</v>
      </c>
      <c r="C117" s="1753" t="s">
        <v>129</v>
      </c>
      <c r="D117" s="1706" t="s">
        <v>141</v>
      </c>
      <c r="E117" s="1331">
        <v>4632024035</v>
      </c>
      <c r="F117" s="1330" t="s">
        <v>8</v>
      </c>
      <c r="G117" s="1682" t="s">
        <v>1034</v>
      </c>
      <c r="H117" s="1700">
        <v>3314.9639999999995</v>
      </c>
      <c r="I117" s="1701">
        <f t="shared" si="247"/>
        <v>3314.9639999999995</v>
      </c>
      <c r="J117" s="1335"/>
      <c r="K117" s="1335"/>
      <c r="L117" s="1700">
        <v>3314.9639999999995</v>
      </c>
      <c r="M117" s="1390"/>
      <c r="N117" s="1703">
        <f t="shared" si="248"/>
        <v>3758.5679999999998</v>
      </c>
      <c r="O117" s="1704">
        <f t="shared" si="249"/>
        <v>3758.5679999999998</v>
      </c>
      <c r="P117" s="1335"/>
      <c r="Q117" s="1335"/>
      <c r="R117" s="1335">
        <f t="shared" si="250"/>
        <v>3758.5679999999998</v>
      </c>
      <c r="S117" s="1390"/>
      <c r="T117" s="1751">
        <v>117.99499999999999</v>
      </c>
      <c r="U117" s="1736"/>
      <c r="V117" s="1736"/>
      <c r="W117" s="1392"/>
      <c r="X117" s="1392"/>
      <c r="Y117" s="1392"/>
      <c r="Z117" s="1393">
        <f t="shared" si="175"/>
        <v>117.99499999999999</v>
      </c>
      <c r="AA117" s="1752">
        <v>70.992000000000004</v>
      </c>
      <c r="AB117" s="1810"/>
      <c r="AC117" s="1810"/>
      <c r="AD117" s="1334"/>
      <c r="AE117" s="1334"/>
      <c r="AF117" s="1334"/>
      <c r="AG117" s="1395">
        <f t="shared" si="176"/>
        <v>70.992000000000004</v>
      </c>
      <c r="AH117" s="1391">
        <f t="shared" si="200"/>
        <v>188.98699999999999</v>
      </c>
      <c r="AI117" s="1334">
        <f t="shared" si="210"/>
        <v>188.98699999999999</v>
      </c>
      <c r="AJ117" s="1334">
        <f t="shared" si="210"/>
        <v>0</v>
      </c>
      <c r="AK117" s="1334">
        <f t="shared" si="210"/>
        <v>0</v>
      </c>
      <c r="AL117" s="1334">
        <f t="shared" si="210"/>
        <v>0</v>
      </c>
      <c r="AM117" s="1334">
        <f t="shared" si="210"/>
        <v>0</v>
      </c>
      <c r="AN117" s="1334"/>
      <c r="AO117" s="1334">
        <f t="shared" si="228"/>
        <v>188.98699999999999</v>
      </c>
      <c r="AP117" s="1334">
        <f t="shared" si="229"/>
        <v>188.98699999999999</v>
      </c>
      <c r="AQ117" s="1396">
        <f t="shared" si="145"/>
        <v>188.98699999999999</v>
      </c>
      <c r="AR117" s="1417">
        <f t="shared" si="177"/>
        <v>0</v>
      </c>
      <c r="AS117" s="1333">
        <f t="shared" si="239"/>
        <v>626485.10146799986</v>
      </c>
      <c r="AT117" s="1334">
        <f t="shared" si="239"/>
        <v>0</v>
      </c>
      <c r="AU117" s="1334">
        <f t="shared" si="239"/>
        <v>0</v>
      </c>
      <c r="AV117" s="1334">
        <f t="shared" si="239"/>
        <v>0</v>
      </c>
      <c r="AW117" s="1334">
        <f t="shared" si="239"/>
        <v>0</v>
      </c>
      <c r="AX117" s="1334">
        <f t="shared" si="146"/>
        <v>626485.10146799986</v>
      </c>
      <c r="AY117" s="1334">
        <f t="shared" si="147"/>
        <v>626485.10146799986</v>
      </c>
      <c r="AZ117" s="1334">
        <f t="shared" si="246"/>
        <v>710320.49061599991</v>
      </c>
      <c r="BA117" s="1334">
        <f t="shared" si="246"/>
        <v>0</v>
      </c>
      <c r="BB117" s="1334">
        <f t="shared" si="245"/>
        <v>0</v>
      </c>
      <c r="BC117" s="1334">
        <f t="shared" si="245"/>
        <v>0</v>
      </c>
      <c r="BD117" s="1334">
        <f t="shared" si="245"/>
        <v>0</v>
      </c>
      <c r="BE117" s="1334">
        <f t="shared" si="148"/>
        <v>710320.49061599991</v>
      </c>
      <c r="BF117" s="1396">
        <f t="shared" si="149"/>
        <v>710320.49061599991</v>
      </c>
      <c r="BG117" s="1397">
        <f t="shared" si="251"/>
        <v>0</v>
      </c>
      <c r="BH117" s="1398">
        <f t="shared" si="252"/>
        <v>0</v>
      </c>
      <c r="BI117" s="1399">
        <f t="shared" si="253"/>
        <v>0</v>
      </c>
      <c r="BJ117" s="1334"/>
      <c r="BK117" s="1643"/>
      <c r="BL117" s="1334">
        <f t="shared" si="256"/>
        <v>391149.17717999988</v>
      </c>
      <c r="BM117" s="1334">
        <f t="shared" si="256"/>
        <v>0</v>
      </c>
      <c r="BN117" s="1334">
        <f t="shared" si="256"/>
        <v>0</v>
      </c>
      <c r="BO117" s="1334">
        <f t="shared" si="256"/>
        <v>0</v>
      </c>
      <c r="BP117" s="1334">
        <f t="shared" si="256"/>
        <v>0</v>
      </c>
      <c r="BQ117" s="1334">
        <f t="shared" si="203"/>
        <v>391149.17717999988</v>
      </c>
      <c r="BR117" s="1334">
        <f t="shared" si="204"/>
        <v>391149.17717999988</v>
      </c>
      <c r="BS117" s="1334">
        <f t="shared" si="257"/>
        <v>266828.259456</v>
      </c>
      <c r="BT117" s="1334">
        <f t="shared" si="257"/>
        <v>0</v>
      </c>
      <c r="BU117" s="1334">
        <f t="shared" si="257"/>
        <v>0</v>
      </c>
      <c r="BV117" s="1334">
        <f t="shared" si="205"/>
        <v>0</v>
      </c>
      <c r="BW117" s="1334">
        <f t="shared" si="157"/>
        <v>0</v>
      </c>
      <c r="BX117" s="1334">
        <f t="shared" si="206"/>
        <v>266828.259456</v>
      </c>
      <c r="BY117" s="1334">
        <f t="shared" si="207"/>
        <v>266828.259456</v>
      </c>
      <c r="BZ117" s="1389">
        <f t="shared" si="155"/>
        <v>0</v>
      </c>
      <c r="CA117" s="1389">
        <f t="shared" si="155"/>
        <v>0</v>
      </c>
      <c r="CB117" s="1389">
        <f t="shared" si="208"/>
        <v>0</v>
      </c>
      <c r="CC117" s="1420" t="e">
        <f t="shared" si="156"/>
        <v>#DIV/0!</v>
      </c>
      <c r="CD117" s="1420" t="e">
        <f t="shared" si="156"/>
        <v>#DIV/0!</v>
      </c>
      <c r="CE117" s="1420" t="e">
        <f t="shared" si="178"/>
        <v>#DIV/0!</v>
      </c>
      <c r="CF117" s="1389" t="e">
        <f t="shared" si="158"/>
        <v>#DIV/0!</v>
      </c>
      <c r="CG117" s="1421">
        <f t="shared" si="159"/>
        <v>0</v>
      </c>
      <c r="CH117" s="1421" t="e">
        <f t="shared" si="179"/>
        <v>#DIV/0!</v>
      </c>
      <c r="CI117" s="1389"/>
      <c r="CJ117" s="1756">
        <f t="shared" si="254"/>
        <v>391.14917717999987</v>
      </c>
      <c r="CK117" s="1756">
        <f t="shared" si="160"/>
        <v>266.82825945600001</v>
      </c>
      <c r="CL117" s="1756">
        <f t="shared" si="255"/>
        <v>657.97743663599988</v>
      </c>
      <c r="CM117" s="1334">
        <f t="shared" si="180"/>
        <v>710.32049061599992</v>
      </c>
      <c r="CN117" s="1334">
        <f t="shared" si="181"/>
        <v>52.343053980000036</v>
      </c>
      <c r="CO117" s="1334">
        <f t="shared" si="161"/>
        <v>657977.43663599994</v>
      </c>
      <c r="CP117" s="1334">
        <f t="shared" si="162"/>
        <v>626485.10146799986</v>
      </c>
      <c r="CQ117" s="1334">
        <f t="shared" si="163"/>
        <v>626485.10146799986</v>
      </c>
      <c r="CR117" s="1334">
        <f t="shared" si="164"/>
        <v>391149.17717999988</v>
      </c>
      <c r="CS117" s="1334">
        <f t="shared" si="165"/>
        <v>710320.49061599991</v>
      </c>
      <c r="CT117" s="1334">
        <f t="shared" si="166"/>
        <v>710320.49061599991</v>
      </c>
      <c r="CU117" s="1334">
        <f t="shared" si="167"/>
        <v>266828.259456</v>
      </c>
      <c r="CV117" s="1334">
        <f t="shared" si="182"/>
        <v>1336805.5920839999</v>
      </c>
      <c r="CW117" s="1422">
        <f t="shared" si="183"/>
        <v>7073.5319999999992</v>
      </c>
      <c r="CX117" s="1334">
        <f t="shared" si="168"/>
        <v>0</v>
      </c>
      <c r="CY117" s="1334">
        <f t="shared" si="169"/>
        <v>0</v>
      </c>
      <c r="CZ117" s="1334"/>
      <c r="DA117" s="1334">
        <f t="shared" si="170"/>
        <v>626485.10146799986</v>
      </c>
      <c r="DB117" s="1334">
        <f t="shared" si="171"/>
        <v>710320.49061599991</v>
      </c>
      <c r="DC117" s="1223"/>
      <c r="DD117" s="1224" t="e">
        <f t="shared" si="184"/>
        <v>#DIV/0!</v>
      </c>
      <c r="DE117" s="1223"/>
      <c r="DF117" s="1223"/>
      <c r="DG117" s="1223"/>
      <c r="DH117" s="1494"/>
      <c r="DI117" s="1494"/>
      <c r="DJ117" s="1494"/>
      <c r="DK117" s="1389"/>
      <c r="DL117" s="1419">
        <f t="shared" si="172"/>
        <v>0</v>
      </c>
      <c r="DM117" s="1419">
        <f t="shared" si="173"/>
        <v>0</v>
      </c>
      <c r="DN117" s="1419">
        <f t="shared" si="174"/>
        <v>0</v>
      </c>
      <c r="DO117" s="819"/>
      <c r="DP117" s="1315"/>
      <c r="DQ117" s="1315"/>
      <c r="DR117" s="1315"/>
      <c r="DS117" s="1315"/>
      <c r="DT117" s="1315"/>
      <c r="DU117" s="1315"/>
      <c r="DV117" s="1315"/>
      <c r="DW117" s="1315"/>
      <c r="DX117" s="1315"/>
      <c r="DY117" s="1315"/>
      <c r="DZ117" s="1315"/>
      <c r="EA117" s="1315"/>
      <c r="EB117" s="1315"/>
      <c r="EC117" s="1315"/>
      <c r="ED117" s="1315"/>
      <c r="EE117" s="1315"/>
      <c r="EF117" s="1315"/>
      <c r="EG117" s="1315"/>
      <c r="EH117" s="1315"/>
      <c r="EI117" s="1315"/>
      <c r="EJ117" s="1315"/>
      <c r="EK117" s="1315"/>
      <c r="EL117" s="1315"/>
    </row>
    <row r="118" spans="1:142" s="1313" customFormat="1" ht="72.75" hidden="1" customHeight="1">
      <c r="A118" s="6">
        <f t="shared" si="185"/>
        <v>105</v>
      </c>
      <c r="B118" s="1330" t="s">
        <v>42</v>
      </c>
      <c r="C118" s="1753" t="s">
        <v>130</v>
      </c>
      <c r="D118" s="1706" t="s">
        <v>141</v>
      </c>
      <c r="E118" s="1331">
        <v>4632024035</v>
      </c>
      <c r="F118" s="1330" t="s">
        <v>8</v>
      </c>
      <c r="G118" s="1682" t="s">
        <v>1034</v>
      </c>
      <c r="H118" s="1700">
        <v>3314.9639999999995</v>
      </c>
      <c r="I118" s="1701">
        <f t="shared" si="247"/>
        <v>3314.9639999999995</v>
      </c>
      <c r="J118" s="1335"/>
      <c r="K118" s="1335"/>
      <c r="L118" s="1700">
        <v>3314.9639999999995</v>
      </c>
      <c r="M118" s="1390"/>
      <c r="N118" s="1703">
        <f t="shared" si="248"/>
        <v>3758.5679999999998</v>
      </c>
      <c r="O118" s="1704">
        <f t="shared" si="249"/>
        <v>3758.5679999999998</v>
      </c>
      <c r="P118" s="1335"/>
      <c r="Q118" s="1335"/>
      <c r="R118" s="1335">
        <f t="shared" si="250"/>
        <v>3758.5679999999998</v>
      </c>
      <c r="S118" s="1390"/>
      <c r="T118" s="1751">
        <v>152.22</v>
      </c>
      <c r="U118" s="1736"/>
      <c r="V118" s="1736"/>
      <c r="W118" s="1392"/>
      <c r="X118" s="1392"/>
      <c r="Y118" s="1392"/>
      <c r="Z118" s="1393">
        <f t="shared" si="175"/>
        <v>152.22</v>
      </c>
      <c r="AA118" s="1752">
        <v>88.391999999999996</v>
      </c>
      <c r="AB118" s="1810"/>
      <c r="AC118" s="1810"/>
      <c r="AD118" s="1334"/>
      <c r="AE118" s="1334"/>
      <c r="AF118" s="1334"/>
      <c r="AG118" s="1395">
        <f t="shared" si="176"/>
        <v>88.391999999999996</v>
      </c>
      <c r="AH118" s="1391">
        <f t="shared" si="200"/>
        <v>240.61199999999999</v>
      </c>
      <c r="AI118" s="1334">
        <f t="shared" si="210"/>
        <v>240.61199999999999</v>
      </c>
      <c r="AJ118" s="1334">
        <f t="shared" si="210"/>
        <v>0</v>
      </c>
      <c r="AK118" s="1334">
        <f t="shared" si="210"/>
        <v>0</v>
      </c>
      <c r="AL118" s="1334">
        <f t="shared" si="210"/>
        <v>0</v>
      </c>
      <c r="AM118" s="1334">
        <f t="shared" si="210"/>
        <v>0</v>
      </c>
      <c r="AN118" s="1334"/>
      <c r="AO118" s="1334">
        <f t="shared" si="228"/>
        <v>240.61199999999999</v>
      </c>
      <c r="AP118" s="1334">
        <f t="shared" si="229"/>
        <v>240.61199999999999</v>
      </c>
      <c r="AQ118" s="1396">
        <f t="shared" si="145"/>
        <v>240.61199999999999</v>
      </c>
      <c r="AR118" s="1417">
        <f t="shared" si="177"/>
        <v>0</v>
      </c>
      <c r="AS118" s="1333">
        <f t="shared" si="239"/>
        <v>797620.11796799989</v>
      </c>
      <c r="AT118" s="1334">
        <f t="shared" si="239"/>
        <v>0</v>
      </c>
      <c r="AU118" s="1334">
        <f t="shared" si="239"/>
        <v>0</v>
      </c>
      <c r="AV118" s="1334">
        <f t="shared" si="239"/>
        <v>0</v>
      </c>
      <c r="AW118" s="1334">
        <f t="shared" si="239"/>
        <v>0</v>
      </c>
      <c r="AX118" s="1334">
        <f t="shared" si="146"/>
        <v>797620.11796799989</v>
      </c>
      <c r="AY118" s="1334">
        <f t="shared" si="147"/>
        <v>797620.11796799989</v>
      </c>
      <c r="AZ118" s="1334">
        <f t="shared" si="246"/>
        <v>904356.56361599988</v>
      </c>
      <c r="BA118" s="1334">
        <f t="shared" si="246"/>
        <v>0</v>
      </c>
      <c r="BB118" s="1334">
        <f t="shared" si="245"/>
        <v>0</v>
      </c>
      <c r="BC118" s="1334">
        <f t="shared" si="245"/>
        <v>0</v>
      </c>
      <c r="BD118" s="1334">
        <f t="shared" si="245"/>
        <v>0</v>
      </c>
      <c r="BE118" s="1334">
        <f t="shared" si="148"/>
        <v>904356.56361599988</v>
      </c>
      <c r="BF118" s="1396">
        <f t="shared" si="149"/>
        <v>904356.56361599988</v>
      </c>
      <c r="BG118" s="1397">
        <f t="shared" si="251"/>
        <v>0</v>
      </c>
      <c r="BH118" s="1398">
        <f t="shared" si="252"/>
        <v>0</v>
      </c>
      <c r="BI118" s="1399">
        <f t="shared" si="253"/>
        <v>0</v>
      </c>
      <c r="BJ118" s="1334"/>
      <c r="BK118" s="1643"/>
      <c r="BL118" s="1334">
        <f t="shared" si="256"/>
        <v>504603.82007999992</v>
      </c>
      <c r="BM118" s="1334">
        <f t="shared" si="256"/>
        <v>0</v>
      </c>
      <c r="BN118" s="1334">
        <f t="shared" si="256"/>
        <v>0</v>
      </c>
      <c r="BO118" s="1334">
        <f t="shared" si="256"/>
        <v>0</v>
      </c>
      <c r="BP118" s="1334">
        <f t="shared" si="256"/>
        <v>0</v>
      </c>
      <c r="BQ118" s="1334">
        <f t="shared" si="203"/>
        <v>504603.82007999992</v>
      </c>
      <c r="BR118" s="1334">
        <f t="shared" si="204"/>
        <v>504603.82007999992</v>
      </c>
      <c r="BS118" s="1334">
        <f t="shared" si="257"/>
        <v>332227.34265599994</v>
      </c>
      <c r="BT118" s="1334">
        <f t="shared" si="257"/>
        <v>0</v>
      </c>
      <c r="BU118" s="1334">
        <f t="shared" si="257"/>
        <v>0</v>
      </c>
      <c r="BV118" s="1334">
        <f t="shared" si="205"/>
        <v>0</v>
      </c>
      <c r="BW118" s="1334">
        <f t="shared" si="157"/>
        <v>0</v>
      </c>
      <c r="BX118" s="1334">
        <f t="shared" si="206"/>
        <v>332227.34265599994</v>
      </c>
      <c r="BY118" s="1334">
        <f t="shared" si="207"/>
        <v>332227.34265599994</v>
      </c>
      <c r="BZ118" s="1389">
        <f t="shared" si="155"/>
        <v>0</v>
      </c>
      <c r="CA118" s="1389">
        <f t="shared" si="155"/>
        <v>0</v>
      </c>
      <c r="CB118" s="1389">
        <f t="shared" si="208"/>
        <v>0</v>
      </c>
      <c r="CC118" s="1420" t="e">
        <f t="shared" si="156"/>
        <v>#DIV/0!</v>
      </c>
      <c r="CD118" s="1420" t="e">
        <f t="shared" si="156"/>
        <v>#DIV/0!</v>
      </c>
      <c r="CE118" s="1420" t="e">
        <f t="shared" si="178"/>
        <v>#DIV/0!</v>
      </c>
      <c r="CF118" s="1389" t="e">
        <f t="shared" si="158"/>
        <v>#DIV/0!</v>
      </c>
      <c r="CG118" s="1421">
        <f t="shared" si="159"/>
        <v>0</v>
      </c>
      <c r="CH118" s="1421" t="e">
        <f t="shared" si="179"/>
        <v>#DIV/0!</v>
      </c>
      <c r="CI118" s="1389"/>
      <c r="CJ118" s="1756">
        <f t="shared" si="254"/>
        <v>504.60382007999993</v>
      </c>
      <c r="CK118" s="1756">
        <f t="shared" si="160"/>
        <v>332.22734265599996</v>
      </c>
      <c r="CL118" s="1756">
        <f t="shared" si="255"/>
        <v>836.8311627359999</v>
      </c>
      <c r="CM118" s="1334">
        <f t="shared" si="180"/>
        <v>904.3565636159999</v>
      </c>
      <c r="CN118" s="1334">
        <f t="shared" si="181"/>
        <v>67.525400880000007</v>
      </c>
      <c r="CO118" s="1334">
        <f t="shared" si="161"/>
        <v>836831.16273599979</v>
      </c>
      <c r="CP118" s="1334">
        <f t="shared" si="162"/>
        <v>797620.11796799989</v>
      </c>
      <c r="CQ118" s="1334">
        <f t="shared" si="163"/>
        <v>797620.11796799989</v>
      </c>
      <c r="CR118" s="1334">
        <f t="shared" si="164"/>
        <v>504603.82007999992</v>
      </c>
      <c r="CS118" s="1334">
        <f t="shared" si="165"/>
        <v>904356.56361599988</v>
      </c>
      <c r="CT118" s="1334">
        <f t="shared" si="166"/>
        <v>904356.56361599988</v>
      </c>
      <c r="CU118" s="1334">
        <f t="shared" si="167"/>
        <v>332227.34265599994</v>
      </c>
      <c r="CV118" s="1334">
        <f t="shared" si="182"/>
        <v>1701976.6815839997</v>
      </c>
      <c r="CW118" s="1422">
        <f t="shared" si="183"/>
        <v>7073.5319999999983</v>
      </c>
      <c r="CX118" s="1334">
        <f t="shared" si="168"/>
        <v>0</v>
      </c>
      <c r="CY118" s="1334">
        <f t="shared" si="169"/>
        <v>0</v>
      </c>
      <c r="CZ118" s="1334"/>
      <c r="DA118" s="1334">
        <f t="shared" si="170"/>
        <v>797620.11796799989</v>
      </c>
      <c r="DB118" s="1334">
        <f t="shared" si="171"/>
        <v>904356.56361599988</v>
      </c>
      <c r="DC118" s="1223"/>
      <c r="DD118" s="1224" t="e">
        <f t="shared" si="184"/>
        <v>#DIV/0!</v>
      </c>
      <c r="DE118" s="1223"/>
      <c r="DF118" s="1223"/>
      <c r="DG118" s="1223"/>
      <c r="DH118" s="1494"/>
      <c r="DI118" s="1494"/>
      <c r="DJ118" s="1494"/>
      <c r="DK118" s="1389"/>
      <c r="DL118" s="1419">
        <f t="shared" si="172"/>
        <v>0</v>
      </c>
      <c r="DM118" s="1419">
        <f t="shared" si="173"/>
        <v>0</v>
      </c>
      <c r="DN118" s="1419">
        <f t="shared" si="174"/>
        <v>0</v>
      </c>
      <c r="DO118" s="819"/>
      <c r="DP118" s="1315"/>
      <c r="DQ118" s="1315"/>
      <c r="DR118" s="1315"/>
      <c r="DS118" s="1315"/>
      <c r="DT118" s="1315"/>
      <c r="DU118" s="1315"/>
      <c r="DV118" s="1315"/>
      <c r="DW118" s="1315"/>
      <c r="DX118" s="1315"/>
      <c r="DY118" s="1315"/>
      <c r="DZ118" s="1315"/>
      <c r="EA118" s="1315"/>
      <c r="EB118" s="1315"/>
      <c r="EC118" s="1315"/>
      <c r="ED118" s="1315"/>
      <c r="EE118" s="1315"/>
      <c r="EF118" s="1315"/>
      <c r="EG118" s="1315"/>
      <c r="EH118" s="1315"/>
      <c r="EI118" s="1315"/>
      <c r="EJ118" s="1315"/>
      <c r="EK118" s="1315"/>
      <c r="EL118" s="1315"/>
    </row>
    <row r="119" spans="1:142" s="1313" customFormat="1" ht="72.75" hidden="1" customHeight="1">
      <c r="A119" s="6">
        <f t="shared" si="185"/>
        <v>106</v>
      </c>
      <c r="B119" s="1330" t="s">
        <v>42</v>
      </c>
      <c r="C119" s="1753" t="s">
        <v>131</v>
      </c>
      <c r="D119" s="1706" t="s">
        <v>141</v>
      </c>
      <c r="E119" s="1331">
        <v>4632024035</v>
      </c>
      <c r="F119" s="1330" t="s">
        <v>8</v>
      </c>
      <c r="G119" s="1682" t="s">
        <v>1034</v>
      </c>
      <c r="H119" s="1700">
        <v>3314.9639999999995</v>
      </c>
      <c r="I119" s="1701">
        <f t="shared" si="247"/>
        <v>3314.9639999999995</v>
      </c>
      <c r="J119" s="1335"/>
      <c r="K119" s="1335"/>
      <c r="L119" s="1700">
        <v>3314.9639999999995</v>
      </c>
      <c r="M119" s="1390"/>
      <c r="N119" s="1703">
        <f t="shared" si="248"/>
        <v>3758.5679999999998</v>
      </c>
      <c r="O119" s="1704">
        <f t="shared" si="249"/>
        <v>3758.5679999999998</v>
      </c>
      <c r="P119" s="1335"/>
      <c r="Q119" s="1335"/>
      <c r="R119" s="1335">
        <f t="shared" si="250"/>
        <v>3758.5679999999998</v>
      </c>
      <c r="S119" s="1390"/>
      <c r="T119" s="1751">
        <v>149.82300000000001</v>
      </c>
      <c r="U119" s="1736"/>
      <c r="V119" s="1736"/>
      <c r="W119" s="1392"/>
      <c r="X119" s="1392"/>
      <c r="Y119" s="1392"/>
      <c r="Z119" s="1393">
        <f t="shared" si="175"/>
        <v>149.82300000000001</v>
      </c>
      <c r="AA119" s="1752">
        <v>87</v>
      </c>
      <c r="AB119" s="1810"/>
      <c r="AC119" s="1810"/>
      <c r="AD119" s="1334"/>
      <c r="AE119" s="1334"/>
      <c r="AF119" s="1334"/>
      <c r="AG119" s="1395">
        <f t="shared" si="176"/>
        <v>87</v>
      </c>
      <c r="AH119" s="1391">
        <f t="shared" si="200"/>
        <v>236.82300000000001</v>
      </c>
      <c r="AI119" s="1334">
        <f t="shared" si="210"/>
        <v>236.82300000000001</v>
      </c>
      <c r="AJ119" s="1334">
        <f t="shared" si="210"/>
        <v>0</v>
      </c>
      <c r="AK119" s="1334">
        <f t="shared" si="210"/>
        <v>0</v>
      </c>
      <c r="AL119" s="1334">
        <f t="shared" si="210"/>
        <v>0</v>
      </c>
      <c r="AM119" s="1334">
        <f t="shared" si="210"/>
        <v>0</v>
      </c>
      <c r="AN119" s="1334"/>
      <c r="AO119" s="1334">
        <f t="shared" si="228"/>
        <v>236.82300000000001</v>
      </c>
      <c r="AP119" s="1334">
        <f t="shared" si="229"/>
        <v>236.82300000000001</v>
      </c>
      <c r="AQ119" s="1396">
        <f t="shared" si="145"/>
        <v>236.82300000000001</v>
      </c>
      <c r="AR119" s="1417">
        <f t="shared" si="177"/>
        <v>0</v>
      </c>
      <c r="AS119" s="1333">
        <f t="shared" si="239"/>
        <v>785059.71937199985</v>
      </c>
      <c r="AT119" s="1334">
        <f t="shared" si="239"/>
        <v>0</v>
      </c>
      <c r="AU119" s="1334">
        <f t="shared" si="239"/>
        <v>0</v>
      </c>
      <c r="AV119" s="1334">
        <f t="shared" si="239"/>
        <v>0</v>
      </c>
      <c r="AW119" s="1334">
        <f t="shared" si="239"/>
        <v>0</v>
      </c>
      <c r="AX119" s="1334">
        <f t="shared" si="146"/>
        <v>785059.71937199985</v>
      </c>
      <c r="AY119" s="1334">
        <f t="shared" si="147"/>
        <v>785059.71937199985</v>
      </c>
      <c r="AZ119" s="1334">
        <f t="shared" si="246"/>
        <v>890115.34946399997</v>
      </c>
      <c r="BA119" s="1334">
        <f t="shared" si="246"/>
        <v>0</v>
      </c>
      <c r="BB119" s="1334">
        <f t="shared" si="245"/>
        <v>0</v>
      </c>
      <c r="BC119" s="1334">
        <f t="shared" si="245"/>
        <v>0</v>
      </c>
      <c r="BD119" s="1334">
        <f t="shared" si="245"/>
        <v>0</v>
      </c>
      <c r="BE119" s="1334">
        <f t="shared" si="148"/>
        <v>890115.34946399997</v>
      </c>
      <c r="BF119" s="1396">
        <f t="shared" si="149"/>
        <v>890115.34946399997</v>
      </c>
      <c r="BG119" s="1397">
        <f>(H119-J119)/1.2*U119/1000+(H119-K119)/1.2*V119/1000</f>
        <v>0</v>
      </c>
      <c r="BH119" s="1398">
        <f>(O119-P119)*AB119/1000/1.2+(O119-Q119)/1.2*AC119/1000</f>
        <v>0</v>
      </c>
      <c r="BI119" s="1399">
        <f>BG119+BH119</f>
        <v>0</v>
      </c>
      <c r="BJ119" s="1334"/>
      <c r="BK119" s="1643"/>
      <c r="BL119" s="1334">
        <f t="shared" si="256"/>
        <v>496657.85137199995</v>
      </c>
      <c r="BM119" s="1334">
        <f t="shared" si="256"/>
        <v>0</v>
      </c>
      <c r="BN119" s="1334">
        <f t="shared" si="256"/>
        <v>0</v>
      </c>
      <c r="BO119" s="1334">
        <f t="shared" si="256"/>
        <v>0</v>
      </c>
      <c r="BP119" s="1334">
        <f t="shared" si="256"/>
        <v>0</v>
      </c>
      <c r="BQ119" s="1334">
        <f t="shared" si="203"/>
        <v>496657.85137199995</v>
      </c>
      <c r="BR119" s="1334">
        <f t="shared" si="204"/>
        <v>496657.85137199995</v>
      </c>
      <c r="BS119" s="1334">
        <f t="shared" si="257"/>
        <v>326995.41599999997</v>
      </c>
      <c r="BT119" s="1334">
        <f t="shared" si="257"/>
        <v>0</v>
      </c>
      <c r="BU119" s="1334">
        <f t="shared" si="257"/>
        <v>0</v>
      </c>
      <c r="BV119" s="1334">
        <f t="shared" si="205"/>
        <v>0</v>
      </c>
      <c r="BW119" s="1334">
        <f t="shared" si="157"/>
        <v>0</v>
      </c>
      <c r="BX119" s="1334">
        <f t="shared" si="206"/>
        <v>326995.41599999997</v>
      </c>
      <c r="BY119" s="1334">
        <f t="shared" si="207"/>
        <v>326995.41599999997</v>
      </c>
      <c r="BZ119" s="1389">
        <f t="shared" si="155"/>
        <v>0</v>
      </c>
      <c r="CA119" s="1389">
        <f t="shared" si="155"/>
        <v>0</v>
      </c>
      <c r="CB119" s="1389">
        <f t="shared" si="208"/>
        <v>0</v>
      </c>
      <c r="CC119" s="1420" t="e">
        <f t="shared" si="156"/>
        <v>#DIV/0!</v>
      </c>
      <c r="CD119" s="1420" t="e">
        <f t="shared" si="156"/>
        <v>#DIV/0!</v>
      </c>
      <c r="CE119" s="1420" t="e">
        <f t="shared" si="178"/>
        <v>#DIV/0!</v>
      </c>
      <c r="CF119" s="1389" t="e">
        <f t="shared" si="158"/>
        <v>#DIV/0!</v>
      </c>
      <c r="CG119" s="1421">
        <f t="shared" si="159"/>
        <v>0</v>
      </c>
      <c r="CH119" s="1421" t="e">
        <f t="shared" si="179"/>
        <v>#DIV/0!</v>
      </c>
      <c r="CI119" s="1389"/>
      <c r="CJ119" s="1756">
        <f t="shared" si="254"/>
        <v>496.65785137199993</v>
      </c>
      <c r="CK119" s="1756">
        <f t="shared" si="160"/>
        <v>326.99541599999998</v>
      </c>
      <c r="CL119" s="1756">
        <f t="shared" si="255"/>
        <v>823.65326737199985</v>
      </c>
      <c r="CM119" s="1334">
        <f t="shared" si="180"/>
        <v>890.11534946400002</v>
      </c>
      <c r="CN119" s="1334">
        <f t="shared" si="181"/>
        <v>66.462082092000173</v>
      </c>
      <c r="CO119" s="1334">
        <f t="shared" si="161"/>
        <v>823653.26737199991</v>
      </c>
      <c r="CP119" s="1334">
        <f t="shared" si="162"/>
        <v>785059.71937199985</v>
      </c>
      <c r="CQ119" s="1334">
        <f t="shared" si="163"/>
        <v>785059.71937199985</v>
      </c>
      <c r="CR119" s="1334">
        <f t="shared" si="164"/>
        <v>496657.85137199995</v>
      </c>
      <c r="CS119" s="1334">
        <f t="shared" si="165"/>
        <v>890115.34946399997</v>
      </c>
      <c r="CT119" s="1334">
        <f t="shared" si="166"/>
        <v>890115.34946399997</v>
      </c>
      <c r="CU119" s="1334">
        <f t="shared" si="167"/>
        <v>326995.41599999997</v>
      </c>
      <c r="CV119" s="1334">
        <f t="shared" si="182"/>
        <v>1675175.0688359998</v>
      </c>
      <c r="CW119" s="1422">
        <f t="shared" si="183"/>
        <v>7073.5319999999992</v>
      </c>
      <c r="CX119" s="1334">
        <f t="shared" si="168"/>
        <v>0</v>
      </c>
      <c r="CY119" s="1334">
        <f t="shared" si="169"/>
        <v>0</v>
      </c>
      <c r="CZ119" s="1334"/>
      <c r="DA119" s="1334">
        <f t="shared" si="170"/>
        <v>785059.71937199985</v>
      </c>
      <c r="DB119" s="1334">
        <f t="shared" si="171"/>
        <v>890115.34946399997</v>
      </c>
      <c r="DC119" s="1223"/>
      <c r="DD119" s="1224" t="e">
        <f t="shared" si="184"/>
        <v>#DIV/0!</v>
      </c>
      <c r="DE119" s="1223"/>
      <c r="DF119" s="1223"/>
      <c r="DG119" s="1223"/>
      <c r="DH119" s="1494"/>
      <c r="DI119" s="1494"/>
      <c r="DJ119" s="1494"/>
      <c r="DK119" s="1389"/>
      <c r="DL119" s="1419">
        <f t="shared" si="172"/>
        <v>0</v>
      </c>
      <c r="DM119" s="1419">
        <f t="shared" si="173"/>
        <v>0</v>
      </c>
      <c r="DN119" s="1419">
        <f t="shared" si="174"/>
        <v>0</v>
      </c>
      <c r="DO119" s="819"/>
      <c r="DP119" s="1315"/>
      <c r="DQ119" s="1315"/>
      <c r="DR119" s="1315"/>
      <c r="DS119" s="1315"/>
      <c r="DT119" s="1315"/>
      <c r="DU119" s="1315"/>
      <c r="DV119" s="1315"/>
      <c r="DW119" s="1315"/>
      <c r="DX119" s="1315"/>
      <c r="DY119" s="1315"/>
      <c r="DZ119" s="1315"/>
      <c r="EA119" s="1315"/>
      <c r="EB119" s="1315"/>
      <c r="EC119" s="1315"/>
      <c r="ED119" s="1315"/>
      <c r="EE119" s="1315"/>
      <c r="EF119" s="1315"/>
      <c r="EG119" s="1315"/>
      <c r="EH119" s="1315"/>
      <c r="EI119" s="1315"/>
      <c r="EJ119" s="1315"/>
      <c r="EK119" s="1315"/>
      <c r="EL119" s="1315"/>
    </row>
    <row r="120" spans="1:142" s="50" customFormat="1" ht="75.75" hidden="1" customHeight="1">
      <c r="A120" s="6">
        <f t="shared" si="185"/>
        <v>107</v>
      </c>
      <c r="B120" s="1782" t="s">
        <v>43</v>
      </c>
      <c r="C120" s="1782" t="s">
        <v>53</v>
      </c>
      <c r="D120" s="1782" t="s">
        <v>256</v>
      </c>
      <c r="E120" s="1330">
        <v>4633002394</v>
      </c>
      <c r="F120" s="1330" t="s">
        <v>8</v>
      </c>
      <c r="G120" s="1332" t="s">
        <v>966</v>
      </c>
      <c r="H120" s="1757">
        <f>1743.52*1.2</f>
        <v>2092.2239999999997</v>
      </c>
      <c r="I120" s="1760">
        <f>1743.52*1.2</f>
        <v>2092.2239999999997</v>
      </c>
      <c r="J120" s="1708">
        <f>1743.52*1.2</f>
        <v>2092.2239999999997</v>
      </c>
      <c r="K120" s="1708">
        <v>2036.22</v>
      </c>
      <c r="L120" s="1708">
        <f>1743.52*1.2</f>
        <v>2092.2239999999997</v>
      </c>
      <c r="M120" s="1390"/>
      <c r="N120" s="1403">
        <f>1939.09*1.2</f>
        <v>2326.9079999999999</v>
      </c>
      <c r="O120" s="1335">
        <f>1939.09*1.2</f>
        <v>2326.9079999999999</v>
      </c>
      <c r="P120" s="1335">
        <v>2326.91</v>
      </c>
      <c r="Q120" s="1335">
        <v>2326.91</v>
      </c>
      <c r="R120" s="1335">
        <f>1939.09*1.2</f>
        <v>2326.9079999999999</v>
      </c>
      <c r="S120" s="1390"/>
      <c r="T120" s="1459">
        <v>35138</v>
      </c>
      <c r="U120" s="1334">
        <v>200562.57699999999</v>
      </c>
      <c r="V120" s="1334">
        <v>48177.97100000007</v>
      </c>
      <c r="W120" s="1338">
        <v>24527</v>
      </c>
      <c r="X120" s="1334"/>
      <c r="Y120" s="1334"/>
      <c r="Z120" s="1393">
        <v>308405.54800000007</v>
      </c>
      <c r="AA120" s="1418">
        <v>26552</v>
      </c>
      <c r="AB120" s="1334">
        <v>144060.519</v>
      </c>
      <c r="AC120" s="1334">
        <v>47934.513999999996</v>
      </c>
      <c r="AD120" s="1334">
        <v>16363</v>
      </c>
      <c r="AE120" s="1334"/>
      <c r="AF120" s="1334"/>
      <c r="AG120" s="1395">
        <v>234910.033</v>
      </c>
      <c r="AH120" s="1391">
        <v>543315.58100000001</v>
      </c>
      <c r="AI120" s="1334">
        <v>61690</v>
      </c>
      <c r="AJ120" s="1334">
        <v>344623.09600000002</v>
      </c>
      <c r="AK120" s="1334">
        <v>96112.485000000073</v>
      </c>
      <c r="AL120" s="1334">
        <v>40890</v>
      </c>
      <c r="AM120" s="1334">
        <v>0</v>
      </c>
      <c r="AN120" s="1334"/>
      <c r="AO120" s="1334">
        <v>543315.58100000012</v>
      </c>
      <c r="AP120" s="1334">
        <v>543315.58100000012</v>
      </c>
      <c r="AQ120" s="1396">
        <v>543315.58100000012</v>
      </c>
      <c r="AR120" s="1460">
        <v>2248.3053133333274</v>
      </c>
      <c r="AS120" s="1437">
        <v>2236.9439866666576</v>
      </c>
      <c r="AT120" s="1399">
        <v>4485.2492999999849</v>
      </c>
      <c r="AU120" s="1461"/>
      <c r="AV120" s="1461"/>
      <c r="AW120" s="1334">
        <v>645252.25563656003</v>
      </c>
      <c r="AX120" s="1334">
        <v>491483.46924325998</v>
      </c>
      <c r="AY120" s="1419">
        <v>1136735.7248798199</v>
      </c>
      <c r="AZ120" s="1334">
        <v>1101349272.3023002</v>
      </c>
      <c r="BA120" s="1334">
        <v>1060647765.2614802</v>
      </c>
      <c r="BB120" s="1334">
        <v>1074395695.1158803</v>
      </c>
      <c r="BC120" s="1334">
        <v>602974426.08720016</v>
      </c>
      <c r="BD120" s="1334">
        <v>1131353425.71982</v>
      </c>
      <c r="BE120" s="1334">
        <v>1136735724.8798201</v>
      </c>
      <c r="BF120" s="1396">
        <v>488799136.45925999</v>
      </c>
      <c r="BG120" s="1737">
        <f>(H120-J120)*U120/1000/1.2+(H120-K120)*V120/1000/1.2</f>
        <v>2248.4659065699902</v>
      </c>
      <c r="BH120" s="1738">
        <v>0</v>
      </c>
      <c r="BI120" s="1740">
        <f>BG120+BH120</f>
        <v>2248.4659065699902</v>
      </c>
      <c r="BJ120" s="1419">
        <v>1136735.7248798199</v>
      </c>
      <c r="BK120" s="1642"/>
      <c r="BL120" s="1334">
        <v>1074395695.1158803</v>
      </c>
      <c r="BM120" s="1334">
        <v>1136735724.8798201</v>
      </c>
      <c r="BN120" s="1389"/>
      <c r="BO120" s="1420">
        <v>105.80233428403827</v>
      </c>
      <c r="BP120" s="1389"/>
      <c r="BQ120" s="1389"/>
      <c r="BR120" s="1389"/>
      <c r="BS120" s="1419">
        <v>531967.75699999998</v>
      </c>
      <c r="BT120" s="1334">
        <v>432453.34099999996</v>
      </c>
      <c r="BU120" s="1334">
        <v>99514.416000000027</v>
      </c>
      <c r="BV120" s="1389"/>
      <c r="BW120" s="1419">
        <v>0</v>
      </c>
      <c r="BX120" s="1419">
        <v>0</v>
      </c>
      <c r="BY120" s="1419">
        <v>0</v>
      </c>
      <c r="BZ120" s="1389"/>
      <c r="CA120" s="1389"/>
      <c r="CB120" s="1389"/>
      <c r="CC120" s="1389"/>
      <c r="CD120" s="1351">
        <f t="shared" si="156"/>
        <v>0</v>
      </c>
      <c r="CE120" s="1351">
        <f t="shared" si="178"/>
        <v>0</v>
      </c>
      <c r="CF120" s="1351">
        <f t="shared" si="158"/>
        <v>0</v>
      </c>
      <c r="CG120" s="1367">
        <f t="shared" si="159"/>
        <v>967175722.54671597</v>
      </c>
      <c r="CH120" s="1367">
        <f t="shared" si="179"/>
        <v>2194.458002125124</v>
      </c>
      <c r="CI120" s="1349"/>
      <c r="CJ120" s="1419">
        <f t="shared" si="211"/>
        <v>717631.33688558417</v>
      </c>
      <c r="CK120" s="1419">
        <f t="shared" si="160"/>
        <v>546614.035067964</v>
      </c>
      <c r="CL120" s="1419">
        <f t="shared" si="194"/>
        <v>1264245.3719535482</v>
      </c>
      <c r="CM120" s="1341">
        <f t="shared" si="180"/>
        <v>1264245.3719535479</v>
      </c>
      <c r="CN120" s="1341">
        <f t="shared" si="181"/>
        <v>0</v>
      </c>
      <c r="CO120" s="1334">
        <f t="shared" si="161"/>
        <v>1191867524.3267159</v>
      </c>
      <c r="CP120" s="1334">
        <f t="shared" si="162"/>
        <v>1131355214.5322039</v>
      </c>
      <c r="CQ120" s="1334">
        <f t="shared" si="163"/>
        <v>1136737898.142144</v>
      </c>
      <c r="CR120" s="1334">
        <f t="shared" si="164"/>
        <v>642555330.17086804</v>
      </c>
      <c r="CS120" s="1334">
        <f t="shared" si="165"/>
        <v>1264246253.42471</v>
      </c>
      <c r="CT120" s="1334">
        <f t="shared" si="166"/>
        <v>1264246253.42471</v>
      </c>
      <c r="CU120" s="1334">
        <f t="shared" si="167"/>
        <v>546614419.05803001</v>
      </c>
      <c r="CV120" s="1334">
        <f t="shared" si="182"/>
        <v>2395601467.9569139</v>
      </c>
      <c r="CW120" s="1350">
        <f t="shared" si="183"/>
        <v>4409.2265190475255</v>
      </c>
      <c r="CX120" s="1334">
        <f t="shared" si="168"/>
        <v>916734876.61220407</v>
      </c>
      <c r="CY120" s="1334">
        <f t="shared" si="169"/>
        <v>1025552030.7847102</v>
      </c>
      <c r="CZ120" s="1334"/>
      <c r="DA120" s="1334">
        <f t="shared" si="170"/>
        <v>1136737898.142144</v>
      </c>
      <c r="DB120" s="1334">
        <f t="shared" si="171"/>
        <v>1264245371.953548</v>
      </c>
      <c r="DC120" s="27"/>
      <c r="DD120" s="40">
        <f t="shared" si="184"/>
        <v>111.21696338441774</v>
      </c>
      <c r="DE120" s="27"/>
      <c r="DF120" s="27"/>
      <c r="DG120" s="27"/>
      <c r="DH120" s="1581">
        <v>531967.75699999998</v>
      </c>
      <c r="DI120" s="1487">
        <v>432453.34099999996</v>
      </c>
      <c r="DJ120" s="1487">
        <f t="shared" si="195"/>
        <v>99514.416000000027</v>
      </c>
      <c r="DK120" s="1349"/>
      <c r="DL120" s="1352">
        <f t="shared" si="172"/>
        <v>0</v>
      </c>
      <c r="DM120" s="1352">
        <f t="shared" si="173"/>
        <v>0</v>
      </c>
      <c r="DN120" s="1352">
        <f t="shared" si="174"/>
        <v>0</v>
      </c>
      <c r="DO120" s="6"/>
      <c r="DP120" s="81"/>
      <c r="DQ120" s="81"/>
      <c r="DR120" s="81"/>
      <c r="DS120" s="81"/>
      <c r="DT120" s="81"/>
      <c r="DU120" s="81"/>
      <c r="DV120" s="81"/>
      <c r="DW120" s="81"/>
      <c r="DX120" s="81"/>
      <c r="DY120" s="81"/>
      <c r="DZ120" s="81"/>
      <c r="EA120" s="81"/>
      <c r="EB120" s="81"/>
      <c r="EC120" s="81"/>
      <c r="ED120" s="81"/>
      <c r="EE120" s="81"/>
      <c r="EF120" s="81"/>
      <c r="EG120" s="81"/>
      <c r="EH120" s="81"/>
      <c r="EI120" s="81"/>
      <c r="EJ120" s="81"/>
      <c r="EK120" s="81"/>
      <c r="EL120" s="81"/>
    </row>
    <row r="121" spans="1:142" s="81" customFormat="1" ht="70.5" hidden="1" customHeight="1">
      <c r="A121" s="6">
        <f t="shared" si="185"/>
        <v>108</v>
      </c>
      <c r="B121" s="1330" t="s">
        <v>43</v>
      </c>
      <c r="C121" s="1330" t="s">
        <v>53</v>
      </c>
      <c r="D121" s="1330" t="s">
        <v>276</v>
      </c>
      <c r="E121" s="1330">
        <v>4633001577</v>
      </c>
      <c r="F121" s="1330" t="s">
        <v>8</v>
      </c>
      <c r="G121" s="1332" t="s">
        <v>998</v>
      </c>
      <c r="H121" s="1369">
        <v>2140.0319999999997</v>
      </c>
      <c r="I121" s="1335">
        <v>0</v>
      </c>
      <c r="J121" s="1335">
        <v>0</v>
      </c>
      <c r="K121" s="1335">
        <v>0</v>
      </c>
      <c r="L121" s="1454">
        <v>2140.0319999999997</v>
      </c>
      <c r="M121" s="1390">
        <v>0</v>
      </c>
      <c r="N121" s="1403">
        <f>2111.87*1.2</f>
        <v>2534.2439999999997</v>
      </c>
      <c r="O121" s="1335"/>
      <c r="P121" s="1335"/>
      <c r="Q121" s="1335"/>
      <c r="R121" s="1335">
        <v>2534.2439999999997</v>
      </c>
      <c r="S121" s="1390"/>
      <c r="T121" s="1347">
        <v>0</v>
      </c>
      <c r="U121" s="1341">
        <v>0</v>
      </c>
      <c r="V121" s="1341">
        <v>0</v>
      </c>
      <c r="W121" s="1341">
        <v>9617</v>
      </c>
      <c r="X121" s="1341">
        <v>0</v>
      </c>
      <c r="Y121" s="1341">
        <v>0</v>
      </c>
      <c r="Z121" s="1342">
        <f t="shared" si="175"/>
        <v>9617</v>
      </c>
      <c r="AA121" s="1348">
        <v>0</v>
      </c>
      <c r="AB121" s="1341">
        <v>0</v>
      </c>
      <c r="AC121" s="1341">
        <v>0</v>
      </c>
      <c r="AD121" s="1341">
        <v>6551</v>
      </c>
      <c r="AE121" s="1341">
        <v>0</v>
      </c>
      <c r="AF121" s="1341">
        <v>0</v>
      </c>
      <c r="AG121" s="1344">
        <f>SUM(AA121:AF121)</f>
        <v>6551</v>
      </c>
      <c r="AH121" s="1340">
        <f t="shared" si="200"/>
        <v>16168</v>
      </c>
      <c r="AI121" s="1341">
        <f t="shared" si="210"/>
        <v>0</v>
      </c>
      <c r="AJ121" s="1341">
        <f t="shared" si="210"/>
        <v>0</v>
      </c>
      <c r="AK121" s="1341">
        <f t="shared" si="210"/>
        <v>0</v>
      </c>
      <c r="AL121" s="1341">
        <f t="shared" si="210"/>
        <v>16168</v>
      </c>
      <c r="AM121" s="1341">
        <f t="shared" si="210"/>
        <v>0</v>
      </c>
      <c r="AN121" s="1341"/>
      <c r="AO121" s="1341">
        <f t="shared" si="228"/>
        <v>16168</v>
      </c>
      <c r="AP121" s="1341">
        <f t="shared" si="229"/>
        <v>16168</v>
      </c>
      <c r="AQ121" s="1345">
        <f t="shared" si="145"/>
        <v>16168</v>
      </c>
      <c r="AR121" s="1346">
        <f t="shared" si="177"/>
        <v>0</v>
      </c>
      <c r="AS121" s="1347">
        <f>I121*AI121</f>
        <v>0</v>
      </c>
      <c r="AT121" s="1341">
        <f t="shared" ref="AT121:AW121" si="258">J121*AJ121</f>
        <v>0</v>
      </c>
      <c r="AU121" s="1341">
        <f t="shared" si="258"/>
        <v>0</v>
      </c>
      <c r="AV121" s="1341">
        <f>L121*AL121</f>
        <v>34600037.375999995</v>
      </c>
      <c r="AW121" s="1341">
        <f t="shared" si="258"/>
        <v>0</v>
      </c>
      <c r="AX121" s="1341">
        <f t="shared" si="146"/>
        <v>34600037.375999995</v>
      </c>
      <c r="AY121" s="1341">
        <f t="shared" si="147"/>
        <v>34600037.375999995</v>
      </c>
      <c r="AZ121" s="1341">
        <f t="shared" si="246"/>
        <v>0</v>
      </c>
      <c r="BA121" s="1341">
        <f t="shared" si="246"/>
        <v>0</v>
      </c>
      <c r="BB121" s="1341">
        <f t="shared" si="246"/>
        <v>0</v>
      </c>
      <c r="BC121" s="1341">
        <f>R121*AL121</f>
        <v>40973656.991999991</v>
      </c>
      <c r="BD121" s="1341">
        <f t="shared" ref="BD121:BD142" si="259">S121*AM121</f>
        <v>0</v>
      </c>
      <c r="BE121" s="1341">
        <f t="shared" si="148"/>
        <v>40973656.991999991</v>
      </c>
      <c r="BF121" s="1345">
        <f t="shared" si="149"/>
        <v>40973656.991999991</v>
      </c>
      <c r="BG121" s="1348"/>
      <c r="BH121" s="1341"/>
      <c r="BI121" s="1341">
        <f t="shared" si="143"/>
        <v>0</v>
      </c>
      <c r="BJ121" s="1363">
        <v>31324.843808767346</v>
      </c>
      <c r="BK121" s="1647">
        <v>31793.10350650908</v>
      </c>
      <c r="BL121" s="1341">
        <f>I121*T121</f>
        <v>0</v>
      </c>
      <c r="BM121" s="1341">
        <f>J121*U121</f>
        <v>0</v>
      </c>
      <c r="BN121" s="1341">
        <f>K121*V121</f>
        <v>0</v>
      </c>
      <c r="BO121" s="1341">
        <f>L121*W121</f>
        <v>20580687.743999995</v>
      </c>
      <c r="BP121" s="1341">
        <f t="shared" si="256"/>
        <v>0</v>
      </c>
      <c r="BQ121" s="1341">
        <f>BL121+BM121+BN121+BO121+BP121</f>
        <v>20580687.743999995</v>
      </c>
      <c r="BR121" s="1341">
        <f>BQ121-BP121</f>
        <v>20580687.743999995</v>
      </c>
      <c r="BS121" s="1341">
        <f>O121*AA121</f>
        <v>0</v>
      </c>
      <c r="BT121" s="1341">
        <f>P121*AB121</f>
        <v>0</v>
      </c>
      <c r="BU121" s="1341">
        <f>Q121*AC121</f>
        <v>0</v>
      </c>
      <c r="BV121" s="1341">
        <f>R121*AD121</f>
        <v>16601832.443999998</v>
      </c>
      <c r="BW121" s="1341">
        <f>S121*AE121</f>
        <v>0</v>
      </c>
      <c r="BX121" s="1341">
        <f>BS121+BT121+BU121+BV121+BW121</f>
        <v>16601832.443999998</v>
      </c>
      <c r="BY121" s="1341">
        <f>BX121-BW121</f>
        <v>16601832.443999998</v>
      </c>
      <c r="BZ121" s="1349">
        <f>BM121+BT121</f>
        <v>0</v>
      </c>
      <c r="CA121" s="1349">
        <f>BN121+BU121</f>
        <v>0</v>
      </c>
      <c r="CB121" s="1349">
        <f>BZ121+CA121</f>
        <v>0</v>
      </c>
      <c r="CC121" s="1351" t="e">
        <f>BZ121/AJ121</f>
        <v>#DIV/0!</v>
      </c>
      <c r="CD121" s="1351" t="e">
        <f t="shared" si="156"/>
        <v>#DIV/0!</v>
      </c>
      <c r="CE121" s="1351" t="e">
        <f t="shared" si="178"/>
        <v>#DIV/0!</v>
      </c>
      <c r="CF121" s="1349" t="e">
        <f t="shared" si="158"/>
        <v>#DIV/0!</v>
      </c>
      <c r="CG121" s="1367">
        <f t="shared" si="159"/>
        <v>0</v>
      </c>
      <c r="CH121" s="1367" t="e">
        <f t="shared" si="179"/>
        <v>#DIV/0!</v>
      </c>
      <c r="CI121" s="1423"/>
      <c r="CJ121" s="1341">
        <f>N121*Z121/1000</f>
        <v>24371.824547999997</v>
      </c>
      <c r="CK121" s="1341">
        <f t="shared" si="160"/>
        <v>16601.832444</v>
      </c>
      <c r="CL121" s="1341">
        <f t="shared" si="194"/>
        <v>40973.656991999997</v>
      </c>
      <c r="CM121" s="1341">
        <f t="shared" si="180"/>
        <v>40973.656991999989</v>
      </c>
      <c r="CN121" s="1341">
        <f t="shared" si="181"/>
        <v>0</v>
      </c>
      <c r="CO121" s="1341">
        <f t="shared" si="161"/>
        <v>37182520.187999994</v>
      </c>
      <c r="CP121" s="1341">
        <f t="shared" si="162"/>
        <v>34600037.375999995</v>
      </c>
      <c r="CQ121" s="1341">
        <f t="shared" si="163"/>
        <v>34600037.375999995</v>
      </c>
      <c r="CR121" s="1341">
        <f t="shared" si="164"/>
        <v>20580687.743999995</v>
      </c>
      <c r="CS121" s="1341">
        <f t="shared" si="165"/>
        <v>40973656.991999991</v>
      </c>
      <c r="CT121" s="1341">
        <f t="shared" si="166"/>
        <v>40973656.991999991</v>
      </c>
      <c r="CU121" s="1341">
        <f t="shared" si="167"/>
        <v>16601832.443999998</v>
      </c>
      <c r="CV121" s="1341">
        <f t="shared" si="182"/>
        <v>75573694.367999986</v>
      </c>
      <c r="CW121" s="1350">
        <f t="shared" si="183"/>
        <v>4674.2759999999989</v>
      </c>
      <c r="CX121" s="1341">
        <f t="shared" si="168"/>
        <v>0</v>
      </c>
      <c r="CY121" s="1341">
        <f t="shared" si="169"/>
        <v>0</v>
      </c>
      <c r="CZ121" s="1341"/>
      <c r="DA121" s="1341">
        <f t="shared" si="170"/>
        <v>34600037.375999995</v>
      </c>
      <c r="DB121" s="1341">
        <f t="shared" si="171"/>
        <v>40973656.991999991</v>
      </c>
      <c r="DC121" s="1575"/>
      <c r="DD121" s="40" t="e">
        <f t="shared" si="184"/>
        <v>#DIV/0!</v>
      </c>
      <c r="DE121" s="1575"/>
      <c r="DF121" s="1575"/>
      <c r="DG121" s="1575"/>
      <c r="DH121" s="1341">
        <v>20195</v>
      </c>
      <c r="DI121" s="1341">
        <v>0</v>
      </c>
      <c r="DJ121" s="1341">
        <f t="shared" si="195"/>
        <v>20195</v>
      </c>
      <c r="DK121" s="1423"/>
      <c r="DL121" s="1352">
        <f t="shared" si="172"/>
        <v>0</v>
      </c>
      <c r="DM121" s="1352">
        <f t="shared" si="173"/>
        <v>0</v>
      </c>
      <c r="DN121" s="1352">
        <f t="shared" si="174"/>
        <v>0</v>
      </c>
    </row>
    <row r="122" spans="1:142" s="50" customFormat="1" ht="63.75" hidden="1" customHeight="1">
      <c r="A122" s="6">
        <f t="shared" si="185"/>
        <v>109</v>
      </c>
      <c r="B122" s="1330" t="s">
        <v>43</v>
      </c>
      <c r="C122" s="1330" t="s">
        <v>53</v>
      </c>
      <c r="D122" s="1462" t="s">
        <v>44</v>
      </c>
      <c r="E122" s="1463">
        <v>4633016372</v>
      </c>
      <c r="F122" s="1464" t="s">
        <v>45</v>
      </c>
      <c r="G122" s="1332" t="s">
        <v>1000</v>
      </c>
      <c r="H122" s="1369">
        <f>1886.11*1.2</f>
        <v>2263.3319999999999</v>
      </c>
      <c r="I122" s="1335"/>
      <c r="J122" s="1335"/>
      <c r="K122" s="1335"/>
      <c r="L122" s="1335">
        <v>2263.3319999999999</v>
      </c>
      <c r="M122" s="1336"/>
      <c r="N122" s="1335">
        <v>2263.3319999999999</v>
      </c>
      <c r="O122" s="1339"/>
      <c r="P122" s="1339"/>
      <c r="Q122" s="1339"/>
      <c r="R122" s="1335">
        <v>2263.3319999999999</v>
      </c>
      <c r="S122" s="1336"/>
      <c r="T122" s="1347">
        <v>0</v>
      </c>
      <c r="U122" s="1341">
        <v>0</v>
      </c>
      <c r="V122" s="1341">
        <v>0</v>
      </c>
      <c r="W122" s="1341">
        <v>330.29</v>
      </c>
      <c r="X122" s="1341">
        <v>0</v>
      </c>
      <c r="Y122" s="1341">
        <v>0</v>
      </c>
      <c r="Z122" s="1342">
        <f t="shared" si="175"/>
        <v>330.29</v>
      </c>
      <c r="AA122" s="1348">
        <v>0</v>
      </c>
      <c r="AB122" s="1341">
        <v>0</v>
      </c>
      <c r="AC122" s="1341">
        <v>0</v>
      </c>
      <c r="AD122" s="1341">
        <v>250</v>
      </c>
      <c r="AE122" s="1341">
        <v>0</v>
      </c>
      <c r="AF122" s="1341">
        <v>0</v>
      </c>
      <c r="AG122" s="1344">
        <v>250</v>
      </c>
      <c r="AH122" s="1340">
        <f t="shared" si="200"/>
        <v>580.29</v>
      </c>
      <c r="AI122" s="1341">
        <f t="shared" si="210"/>
        <v>0</v>
      </c>
      <c r="AJ122" s="1341">
        <f t="shared" si="210"/>
        <v>0</v>
      </c>
      <c r="AK122" s="1341">
        <f t="shared" si="210"/>
        <v>0</v>
      </c>
      <c r="AL122" s="1341">
        <f>W122+AD122</f>
        <v>580.29</v>
      </c>
      <c r="AM122" s="1341">
        <f t="shared" si="210"/>
        <v>0</v>
      </c>
      <c r="AN122" s="1341"/>
      <c r="AO122" s="1341">
        <f t="shared" si="228"/>
        <v>580.29</v>
      </c>
      <c r="AP122" s="1341">
        <f t="shared" si="229"/>
        <v>580.29</v>
      </c>
      <c r="AQ122" s="1345">
        <f t="shared" si="145"/>
        <v>580.29</v>
      </c>
      <c r="AR122" s="1346">
        <f t="shared" si="177"/>
        <v>0</v>
      </c>
      <c r="AS122" s="1347">
        <f>I122*AI122</f>
        <v>0</v>
      </c>
      <c r="AT122" s="1341">
        <f>J122*AJ122</f>
        <v>0</v>
      </c>
      <c r="AU122" s="1341">
        <f>K122*AK122</f>
        <v>0</v>
      </c>
      <c r="AV122" s="1341">
        <f>L122*AL122</f>
        <v>1313388.9262799998</v>
      </c>
      <c r="AW122" s="1341">
        <f>M122*AM122</f>
        <v>0</v>
      </c>
      <c r="AX122" s="1341">
        <f t="shared" si="146"/>
        <v>1313388.9262799998</v>
      </c>
      <c r="AY122" s="1341">
        <f t="shared" si="147"/>
        <v>1313388.9262799998</v>
      </c>
      <c r="AZ122" s="1341">
        <f t="shared" si="246"/>
        <v>0</v>
      </c>
      <c r="BA122" s="1341">
        <f t="shared" si="246"/>
        <v>0</v>
      </c>
      <c r="BB122" s="1341">
        <f t="shared" si="246"/>
        <v>0</v>
      </c>
      <c r="BC122" s="1341">
        <f t="shared" si="246"/>
        <v>1313388.9262799998</v>
      </c>
      <c r="BD122" s="1341">
        <f t="shared" si="259"/>
        <v>0</v>
      </c>
      <c r="BE122" s="1341">
        <f t="shared" si="148"/>
        <v>1313388.9262799998</v>
      </c>
      <c r="BF122" s="1345">
        <f t="shared" si="149"/>
        <v>1313388.9262799998</v>
      </c>
      <c r="BG122" s="1348"/>
      <c r="BH122" s="1341"/>
      <c r="BI122" s="1341">
        <f t="shared" si="143"/>
        <v>0</v>
      </c>
      <c r="BJ122" s="1341">
        <v>1094.4932064136203</v>
      </c>
      <c r="BK122" s="1638"/>
      <c r="BL122" s="1341">
        <f t="shared" si="256"/>
        <v>0</v>
      </c>
      <c r="BM122" s="1341">
        <f t="shared" si="256"/>
        <v>0</v>
      </c>
      <c r="BN122" s="1341">
        <f t="shared" si="256"/>
        <v>0</v>
      </c>
      <c r="BO122" s="1341">
        <v>622.96465757871874</v>
      </c>
      <c r="BP122" s="1341">
        <f t="shared" si="256"/>
        <v>0</v>
      </c>
      <c r="BQ122" s="1341">
        <f t="shared" si="203"/>
        <v>622.96465757871874</v>
      </c>
      <c r="BR122" s="1341">
        <f t="shared" si="204"/>
        <v>622.96465757871874</v>
      </c>
      <c r="BS122" s="1341">
        <f t="shared" si="257"/>
        <v>0</v>
      </c>
      <c r="BT122" s="1341">
        <f t="shared" si="257"/>
        <v>0</v>
      </c>
      <c r="BU122" s="1341">
        <f t="shared" si="257"/>
        <v>0</v>
      </c>
      <c r="BV122" s="1341">
        <v>471.52854883490158</v>
      </c>
      <c r="BW122" s="1341">
        <f t="shared" si="157"/>
        <v>0</v>
      </c>
      <c r="BX122" s="1341">
        <f t="shared" si="206"/>
        <v>471.52854883490158</v>
      </c>
      <c r="BY122" s="1341">
        <f t="shared" si="207"/>
        <v>471.52854883490158</v>
      </c>
      <c r="BZ122" s="1349">
        <f t="shared" si="155"/>
        <v>0</v>
      </c>
      <c r="CA122" s="1349">
        <f t="shared" si="155"/>
        <v>0</v>
      </c>
      <c r="CB122" s="1349">
        <f t="shared" si="208"/>
        <v>0</v>
      </c>
      <c r="CC122" s="1351" t="e">
        <f t="shared" si="156"/>
        <v>#DIV/0!</v>
      </c>
      <c r="CD122" s="1351" t="e">
        <f t="shared" si="156"/>
        <v>#DIV/0!</v>
      </c>
      <c r="CE122" s="1351" t="e">
        <f t="shared" si="178"/>
        <v>#DIV/0!</v>
      </c>
      <c r="CF122" s="1349" t="e">
        <f t="shared" si="158"/>
        <v>#DIV/0!</v>
      </c>
      <c r="CG122" s="1367">
        <f t="shared" si="159"/>
        <v>0</v>
      </c>
      <c r="CH122" s="1367" t="e">
        <f t="shared" si="179"/>
        <v>#DIV/0!</v>
      </c>
      <c r="CI122" s="1423"/>
      <c r="CJ122" s="1341">
        <f t="shared" si="211"/>
        <v>747.55592627999999</v>
      </c>
      <c r="CK122" s="1341">
        <f t="shared" si="160"/>
        <v>565.83299999999997</v>
      </c>
      <c r="CL122" s="1366">
        <f t="shared" si="194"/>
        <v>1313.3889262799999</v>
      </c>
      <c r="CM122" s="1341">
        <f t="shared" si="180"/>
        <v>1313.3889262799999</v>
      </c>
      <c r="CN122" s="1341">
        <f t="shared" si="181"/>
        <v>0</v>
      </c>
      <c r="CO122" s="1341">
        <f t="shared" si="161"/>
        <v>1313388.92628</v>
      </c>
      <c r="CP122" s="1341">
        <f t="shared" si="162"/>
        <v>1313388.9262799998</v>
      </c>
      <c r="CQ122" s="1341">
        <f t="shared" si="163"/>
        <v>1313388.9262799998</v>
      </c>
      <c r="CR122" s="1341">
        <f t="shared" si="164"/>
        <v>747555.92628000001</v>
      </c>
      <c r="CS122" s="1341">
        <f t="shared" si="165"/>
        <v>1313388.9262799998</v>
      </c>
      <c r="CT122" s="1341">
        <f t="shared" si="166"/>
        <v>1313388.9262799998</v>
      </c>
      <c r="CU122" s="1341">
        <f t="shared" si="167"/>
        <v>565833</v>
      </c>
      <c r="CV122" s="1341">
        <f t="shared" si="182"/>
        <v>2626777.8525599996</v>
      </c>
      <c r="CW122" s="1350">
        <f t="shared" si="183"/>
        <v>4526.6639999999998</v>
      </c>
      <c r="CX122" s="1341">
        <f t="shared" si="168"/>
        <v>0</v>
      </c>
      <c r="CY122" s="1341">
        <f t="shared" si="169"/>
        <v>0</v>
      </c>
      <c r="CZ122" s="1341"/>
      <c r="DA122" s="1341">
        <f t="shared" si="170"/>
        <v>1313388.9262799998</v>
      </c>
      <c r="DB122" s="1341">
        <f t="shared" si="171"/>
        <v>1313388.9262799998</v>
      </c>
      <c r="DC122" s="1575"/>
      <c r="DD122" s="40" t="e">
        <f t="shared" si="184"/>
        <v>#DIV/0!</v>
      </c>
      <c r="DE122" s="1575"/>
      <c r="DF122" s="1575"/>
      <c r="DG122" s="1575"/>
      <c r="DH122" s="1487">
        <v>580.29</v>
      </c>
      <c r="DI122" s="1487">
        <v>0</v>
      </c>
      <c r="DJ122" s="1487">
        <f t="shared" si="195"/>
        <v>580.29</v>
      </c>
      <c r="DK122" s="1423"/>
      <c r="DL122" s="1352">
        <f t="shared" si="172"/>
        <v>0</v>
      </c>
      <c r="DM122" s="1352">
        <f t="shared" si="173"/>
        <v>0</v>
      </c>
      <c r="DN122" s="1352">
        <f t="shared" si="174"/>
        <v>0</v>
      </c>
      <c r="DO122" s="81"/>
      <c r="DP122" s="81"/>
      <c r="DQ122" s="81"/>
      <c r="DR122" s="81"/>
      <c r="DS122" s="81"/>
      <c r="DT122" s="81"/>
      <c r="DU122" s="81"/>
      <c r="DV122" s="81"/>
      <c r="DW122" s="81"/>
      <c r="DX122" s="81"/>
      <c r="DY122" s="81"/>
      <c r="DZ122" s="81"/>
      <c r="EA122" s="81"/>
      <c r="EB122" s="81"/>
      <c r="EC122" s="81"/>
      <c r="ED122" s="81"/>
      <c r="EE122" s="81"/>
      <c r="EF122" s="81"/>
      <c r="EG122" s="81"/>
      <c r="EH122" s="81"/>
      <c r="EI122" s="81"/>
      <c r="EJ122" s="81"/>
      <c r="EK122" s="81"/>
      <c r="EL122" s="81"/>
    </row>
    <row r="123" spans="1:142" s="50" customFormat="1" ht="69.75" hidden="1" customHeight="1">
      <c r="A123" s="6">
        <f t="shared" si="185"/>
        <v>110</v>
      </c>
      <c r="B123" s="1330" t="s">
        <v>43</v>
      </c>
      <c r="C123" s="1330" t="s">
        <v>53</v>
      </c>
      <c r="D123" s="1462" t="s">
        <v>44</v>
      </c>
      <c r="E123" s="1463">
        <v>4633016372</v>
      </c>
      <c r="F123" s="1330" t="s">
        <v>8</v>
      </c>
      <c r="G123" s="1332" t="s">
        <v>1000</v>
      </c>
      <c r="H123" s="1369">
        <f>2086.64*1.2</f>
        <v>2503.9679999999998</v>
      </c>
      <c r="I123" s="1335"/>
      <c r="J123" s="1335"/>
      <c r="K123" s="1335"/>
      <c r="L123" s="1454">
        <v>2503.9679999999998</v>
      </c>
      <c r="M123" s="1465"/>
      <c r="N123" s="1335">
        <f>2249.04871096537*1.2</f>
        <v>2698.8584531584438</v>
      </c>
      <c r="O123" s="1339"/>
      <c r="P123" s="1339"/>
      <c r="Q123" s="1339"/>
      <c r="R123" s="1335">
        <v>2698.8584531584438</v>
      </c>
      <c r="S123" s="1336"/>
      <c r="T123" s="1347">
        <v>0</v>
      </c>
      <c r="U123" s="1341">
        <v>0</v>
      </c>
      <c r="V123" s="1341">
        <v>0</v>
      </c>
      <c r="W123" s="1363">
        <v>6993.4409999999998</v>
      </c>
      <c r="X123" s="1341">
        <v>0</v>
      </c>
      <c r="Y123" s="1341">
        <v>0</v>
      </c>
      <c r="Z123" s="1364">
        <f t="shared" si="175"/>
        <v>6993.4409999999998</v>
      </c>
      <c r="AA123" s="1348">
        <v>0</v>
      </c>
      <c r="AB123" s="1341">
        <v>0</v>
      </c>
      <c r="AC123" s="1341">
        <v>0</v>
      </c>
      <c r="AD123" s="1363">
        <v>4742.6549999999997</v>
      </c>
      <c r="AE123" s="1341">
        <v>0</v>
      </c>
      <c r="AF123" s="1341">
        <v>0</v>
      </c>
      <c r="AG123" s="1458">
        <v>4742.6549999999997</v>
      </c>
      <c r="AH123" s="1340">
        <f t="shared" si="200"/>
        <v>11736.096</v>
      </c>
      <c r="AI123" s="1341">
        <f t="shared" si="210"/>
        <v>0</v>
      </c>
      <c r="AJ123" s="1341">
        <f t="shared" si="210"/>
        <v>0</v>
      </c>
      <c r="AK123" s="1341">
        <f t="shared" si="210"/>
        <v>0</v>
      </c>
      <c r="AL123" s="1341">
        <f t="shared" si="210"/>
        <v>11736.096</v>
      </c>
      <c r="AM123" s="1341">
        <f t="shared" si="210"/>
        <v>0</v>
      </c>
      <c r="AN123" s="1341"/>
      <c r="AO123" s="1341">
        <f t="shared" si="228"/>
        <v>11736.096</v>
      </c>
      <c r="AP123" s="1341">
        <f t="shared" si="229"/>
        <v>11736.096</v>
      </c>
      <c r="AQ123" s="1345">
        <f t="shared" si="145"/>
        <v>11736.096</v>
      </c>
      <c r="AR123" s="1346">
        <f t="shared" si="177"/>
        <v>0</v>
      </c>
      <c r="AS123" s="1347">
        <f t="shared" ref="AS123:AW142" si="260">I123*AI123</f>
        <v>0</v>
      </c>
      <c r="AT123" s="1341">
        <f t="shared" si="260"/>
        <v>0</v>
      </c>
      <c r="AU123" s="1341">
        <f t="shared" si="260"/>
        <v>0</v>
      </c>
      <c r="AV123" s="1341">
        <f t="shared" si="260"/>
        <v>29386808.828927997</v>
      </c>
      <c r="AW123" s="1341">
        <f t="shared" si="260"/>
        <v>0</v>
      </c>
      <c r="AX123" s="1341">
        <f t="shared" si="146"/>
        <v>29386808.828927997</v>
      </c>
      <c r="AY123" s="1341">
        <f t="shared" si="147"/>
        <v>29386808.828927997</v>
      </c>
      <c r="AZ123" s="1341">
        <f t="shared" si="246"/>
        <v>0</v>
      </c>
      <c r="BA123" s="1341">
        <f t="shared" si="246"/>
        <v>0</v>
      </c>
      <c r="BB123" s="1341">
        <f t="shared" si="246"/>
        <v>0</v>
      </c>
      <c r="BC123" s="1341">
        <f t="shared" si="246"/>
        <v>31674061.896678999</v>
      </c>
      <c r="BD123" s="1341">
        <f t="shared" si="259"/>
        <v>0</v>
      </c>
      <c r="BE123" s="1341">
        <f t="shared" si="148"/>
        <v>31674061.896678999</v>
      </c>
      <c r="BF123" s="1345">
        <f t="shared" si="149"/>
        <v>31674061.896678999</v>
      </c>
      <c r="BG123" s="1348"/>
      <c r="BH123" s="1341"/>
      <c r="BI123" s="1341">
        <f t="shared" si="143"/>
        <v>0</v>
      </c>
      <c r="BJ123" s="1341">
        <v>25259.255842543487</v>
      </c>
      <c r="BK123" s="1638">
        <v>28989.56</v>
      </c>
      <c r="BL123" s="1341">
        <f t="shared" si="256"/>
        <v>0</v>
      </c>
      <c r="BM123" s="1341">
        <f t="shared" si="256"/>
        <v>0</v>
      </c>
      <c r="BN123" s="1341">
        <f t="shared" si="256"/>
        <v>0</v>
      </c>
      <c r="BO123" s="1341">
        <f t="shared" si="256"/>
        <v>17511352.473887999</v>
      </c>
      <c r="BP123" s="1341">
        <f t="shared" si="256"/>
        <v>0</v>
      </c>
      <c r="BQ123" s="1341">
        <f t="shared" si="203"/>
        <v>17511352.473887999</v>
      </c>
      <c r="BR123" s="1341">
        <f t="shared" si="204"/>
        <v>17511352.473887999</v>
      </c>
      <c r="BS123" s="1341">
        <f t="shared" si="257"/>
        <v>0</v>
      </c>
      <c r="BT123" s="1341">
        <f t="shared" si="257"/>
        <v>0</v>
      </c>
      <c r="BU123" s="1341">
        <f t="shared" si="257"/>
        <v>0</v>
      </c>
      <c r="BV123" s="1341">
        <f t="shared" si="205"/>
        <v>18874307.35951484</v>
      </c>
      <c r="BW123" s="1341">
        <f t="shared" si="157"/>
        <v>0</v>
      </c>
      <c r="BX123" s="1341">
        <f t="shared" si="206"/>
        <v>18874307.35951484</v>
      </c>
      <c r="BY123" s="1341">
        <f t="shared" si="207"/>
        <v>18874307.35951484</v>
      </c>
      <c r="BZ123" s="1349">
        <f t="shared" si="155"/>
        <v>0</v>
      </c>
      <c r="CA123" s="1349">
        <f t="shared" si="155"/>
        <v>0</v>
      </c>
      <c r="CB123" s="1349">
        <f t="shared" si="208"/>
        <v>0</v>
      </c>
      <c r="CC123" s="1351" t="e">
        <f t="shared" si="156"/>
        <v>#DIV/0!</v>
      </c>
      <c r="CD123" s="1351" t="e">
        <f t="shared" si="156"/>
        <v>#DIV/0!</v>
      </c>
      <c r="CE123" s="1351" t="e">
        <f t="shared" si="178"/>
        <v>#DIV/0!</v>
      </c>
      <c r="CF123" s="1349" t="e">
        <f t="shared" si="158"/>
        <v>#DIV/0!</v>
      </c>
      <c r="CG123" s="1367">
        <f t="shared" si="159"/>
        <v>0</v>
      </c>
      <c r="CH123" s="1367" t="e">
        <f t="shared" si="179"/>
        <v>#DIV/0!</v>
      </c>
      <c r="CI123" s="1423"/>
      <c r="CJ123" s="1341">
        <f t="shared" si="211"/>
        <v>18874.307359514842</v>
      </c>
      <c r="CK123" s="1341">
        <f t="shared" si="160"/>
        <v>12799.754537164159</v>
      </c>
      <c r="CL123" s="1466">
        <f>CJ123+CK123-0.04</f>
        <v>31674.021896678998</v>
      </c>
      <c r="CM123" s="1341">
        <f t="shared" si="180"/>
        <v>31674.061896678999</v>
      </c>
      <c r="CN123" s="1341">
        <f t="shared" si="181"/>
        <v>4.0000000000873115E-2</v>
      </c>
      <c r="CO123" s="1341">
        <f t="shared" si="161"/>
        <v>30311107.011052158</v>
      </c>
      <c r="CP123" s="1341">
        <f t="shared" si="162"/>
        <v>29386808.828927997</v>
      </c>
      <c r="CQ123" s="1341">
        <f t="shared" si="163"/>
        <v>29386808.828927997</v>
      </c>
      <c r="CR123" s="1341">
        <f t="shared" si="164"/>
        <v>17511352.473887999</v>
      </c>
      <c r="CS123" s="1341">
        <f t="shared" si="165"/>
        <v>31674061.896678999</v>
      </c>
      <c r="CT123" s="1341">
        <f t="shared" si="166"/>
        <v>31674061.896678999</v>
      </c>
      <c r="CU123" s="1341">
        <f t="shared" si="167"/>
        <v>12799754.537164159</v>
      </c>
      <c r="CV123" s="1341">
        <f t="shared" si="182"/>
        <v>61060870.725606993</v>
      </c>
      <c r="CW123" s="1350">
        <f t="shared" si="183"/>
        <v>5202.8264531584437</v>
      </c>
      <c r="CX123" s="1341">
        <f t="shared" si="168"/>
        <v>0</v>
      </c>
      <c r="CY123" s="1341">
        <f t="shared" si="169"/>
        <v>0</v>
      </c>
      <c r="CZ123" s="1341"/>
      <c r="DA123" s="1341">
        <f t="shared" si="170"/>
        <v>29386808.828927997</v>
      </c>
      <c r="DB123" s="1341">
        <f t="shared" si="171"/>
        <v>31674061.896678999</v>
      </c>
      <c r="DC123" s="1575"/>
      <c r="DD123" s="40" t="e">
        <f t="shared" si="184"/>
        <v>#DIV/0!</v>
      </c>
      <c r="DE123" s="1575"/>
      <c r="DF123" s="1575"/>
      <c r="DG123" s="1575"/>
      <c r="DH123" s="1487">
        <v>11736.096</v>
      </c>
      <c r="DI123" s="1487">
        <v>0</v>
      </c>
      <c r="DJ123" s="1487">
        <f t="shared" si="195"/>
        <v>11736.096</v>
      </c>
      <c r="DK123" s="1423"/>
      <c r="DL123" s="1352">
        <f t="shared" si="172"/>
        <v>0</v>
      </c>
      <c r="DM123" s="1352">
        <f t="shared" si="173"/>
        <v>0</v>
      </c>
      <c r="DN123" s="1352">
        <f t="shared" si="174"/>
        <v>0</v>
      </c>
      <c r="DO123" s="81"/>
      <c r="DP123" s="81"/>
      <c r="DQ123" s="81"/>
      <c r="DR123" s="81"/>
      <c r="DS123" s="81"/>
      <c r="DT123" s="81"/>
      <c r="DU123" s="81"/>
      <c r="DV123" s="81"/>
      <c r="DW123" s="81"/>
      <c r="DX123" s="81"/>
      <c r="DY123" s="81"/>
      <c r="DZ123" s="81"/>
      <c r="EA123" s="81"/>
      <c r="EB123" s="81"/>
      <c r="EC123" s="81"/>
      <c r="ED123" s="81"/>
      <c r="EE123" s="81"/>
      <c r="EF123" s="81"/>
      <c r="EG123" s="81"/>
      <c r="EH123" s="81"/>
      <c r="EI123" s="81"/>
      <c r="EJ123" s="81"/>
      <c r="EK123" s="81"/>
      <c r="EL123" s="81"/>
    </row>
    <row r="124" spans="1:142" s="50" customFormat="1" ht="73.5" hidden="1" customHeight="1">
      <c r="A124" s="6">
        <f t="shared" si="185"/>
        <v>111</v>
      </c>
      <c r="B124" s="1330" t="s">
        <v>43</v>
      </c>
      <c r="C124" s="1330" t="s">
        <v>53</v>
      </c>
      <c r="D124" s="1330" t="s">
        <v>46</v>
      </c>
      <c r="E124" s="1330">
        <v>4633022993</v>
      </c>
      <c r="F124" s="1330" t="s">
        <v>8</v>
      </c>
      <c r="G124" s="1332" t="s">
        <v>1025</v>
      </c>
      <c r="H124" s="1369">
        <v>1701.14</v>
      </c>
      <c r="I124" s="1335"/>
      <c r="J124" s="1335">
        <v>1701.14</v>
      </c>
      <c r="K124" s="1335">
        <v>1701.14</v>
      </c>
      <c r="L124" s="1335"/>
      <c r="M124" s="1336"/>
      <c r="N124" s="1371">
        <v>1837.55</v>
      </c>
      <c r="O124" s="1372"/>
      <c r="P124" s="1372">
        <v>1837.55</v>
      </c>
      <c r="Q124" s="1372">
        <v>1837.55</v>
      </c>
      <c r="R124" s="1335"/>
      <c r="S124" s="1336"/>
      <c r="T124" s="1456"/>
      <c r="U124" s="1363">
        <f>26686.2284-0.168</f>
        <v>26686.060399999998</v>
      </c>
      <c r="V124" s="1363">
        <v>6671.5571</v>
      </c>
      <c r="W124" s="1447"/>
      <c r="X124" s="1447"/>
      <c r="Y124" s="1447"/>
      <c r="Z124" s="1342">
        <f>SUM(T124:W124)</f>
        <v>33357.6175</v>
      </c>
      <c r="AA124" s="1457"/>
      <c r="AB124" s="1363">
        <v>9510.5059119999987</v>
      </c>
      <c r="AC124" s="1363">
        <v>2377.6264779999997</v>
      </c>
      <c r="AD124" s="1447"/>
      <c r="AE124" s="1447"/>
      <c r="AF124" s="1447">
        <v>0</v>
      </c>
      <c r="AG124" s="1344">
        <f>SUM(AA124:AD124)</f>
        <v>11888.132389999999</v>
      </c>
      <c r="AH124" s="1340">
        <f>Z124+AG124</f>
        <v>45245.749889999999</v>
      </c>
      <c r="AI124" s="1341">
        <f t="shared" si="210"/>
        <v>0</v>
      </c>
      <c r="AJ124" s="1466">
        <f t="shared" si="210"/>
        <v>36196.566311999995</v>
      </c>
      <c r="AK124" s="1341">
        <f t="shared" si="210"/>
        <v>9049.1835780000001</v>
      </c>
      <c r="AL124" s="1341">
        <f t="shared" si="210"/>
        <v>0</v>
      </c>
      <c r="AM124" s="1341">
        <f t="shared" si="210"/>
        <v>0</v>
      </c>
      <c r="AN124" s="1341"/>
      <c r="AO124" s="1341">
        <f t="shared" si="228"/>
        <v>45245.749889999992</v>
      </c>
      <c r="AP124" s="1341">
        <f t="shared" si="229"/>
        <v>45245.749889999992</v>
      </c>
      <c r="AQ124" s="1455">
        <f t="shared" si="145"/>
        <v>45245.749889999992</v>
      </c>
      <c r="AR124" s="1346">
        <f t="shared" si="177"/>
        <v>0</v>
      </c>
      <c r="AS124" s="1347">
        <f t="shared" si="260"/>
        <v>0</v>
      </c>
      <c r="AT124" s="1341">
        <f t="shared" si="260"/>
        <v>61575426.815995678</v>
      </c>
      <c r="AU124" s="1341">
        <f t="shared" si="260"/>
        <v>15393928.151878921</v>
      </c>
      <c r="AV124" s="1341">
        <f t="shared" si="260"/>
        <v>0</v>
      </c>
      <c r="AW124" s="1341">
        <f t="shared" si="260"/>
        <v>0</v>
      </c>
      <c r="AX124" s="1341">
        <f t="shared" si="146"/>
        <v>76969354.967874601</v>
      </c>
      <c r="AY124" s="1341">
        <f t="shared" si="147"/>
        <v>76969354.967874601</v>
      </c>
      <c r="AZ124" s="1341">
        <f t="shared" si="246"/>
        <v>0</v>
      </c>
      <c r="BA124" s="1341">
        <f t="shared" si="246"/>
        <v>66513000.426615588</v>
      </c>
      <c r="BB124" s="1341">
        <f t="shared" si="246"/>
        <v>16628327.2837539</v>
      </c>
      <c r="BC124" s="1341">
        <f t="shared" si="246"/>
        <v>0</v>
      </c>
      <c r="BD124" s="1341">
        <f t="shared" si="259"/>
        <v>0</v>
      </c>
      <c r="BE124" s="1341">
        <f t="shared" si="148"/>
        <v>83141327.710369483</v>
      </c>
      <c r="BF124" s="1345">
        <f t="shared" si="149"/>
        <v>83141327.710369483</v>
      </c>
      <c r="BG124" s="1348"/>
      <c r="BH124" s="1341"/>
      <c r="BI124" s="1341">
        <f t="shared" si="143"/>
        <v>0</v>
      </c>
      <c r="BJ124" s="1431">
        <v>79682.927563749559</v>
      </c>
      <c r="BK124" s="1638">
        <v>89725.693499999994</v>
      </c>
      <c r="BL124" s="1341">
        <f t="shared" si="256"/>
        <v>0</v>
      </c>
      <c r="BM124" s="1341">
        <f t="shared" si="256"/>
        <v>45396724.788856</v>
      </c>
      <c r="BN124" s="1341">
        <f t="shared" si="256"/>
        <v>11349252.645094</v>
      </c>
      <c r="BO124" s="1341">
        <f t="shared" si="256"/>
        <v>0</v>
      </c>
      <c r="BP124" s="1341">
        <f t="shared" si="256"/>
        <v>0</v>
      </c>
      <c r="BQ124" s="1341">
        <f t="shared" si="203"/>
        <v>56745977.43395</v>
      </c>
      <c r="BR124" s="1341">
        <f t="shared" si="204"/>
        <v>56745977.43395</v>
      </c>
      <c r="BS124" s="1341">
        <f t="shared" si="257"/>
        <v>0</v>
      </c>
      <c r="BT124" s="1341">
        <f t="shared" si="257"/>
        <v>17476030.138595596</v>
      </c>
      <c r="BU124" s="1341">
        <f t="shared" si="257"/>
        <v>4369007.534648899</v>
      </c>
      <c r="BV124" s="1341">
        <f t="shared" si="205"/>
        <v>0</v>
      </c>
      <c r="BW124" s="1341">
        <f t="shared" si="157"/>
        <v>0</v>
      </c>
      <c r="BX124" s="1341">
        <f t="shared" si="206"/>
        <v>21845037.673244495</v>
      </c>
      <c r="BY124" s="1341">
        <f t="shared" si="207"/>
        <v>21845037.673244495</v>
      </c>
      <c r="BZ124" s="1349">
        <f t="shared" si="155"/>
        <v>62872754.927451596</v>
      </c>
      <c r="CA124" s="1349">
        <f t="shared" si="155"/>
        <v>15718260.179742899</v>
      </c>
      <c r="CB124" s="1349">
        <f t="shared" si="208"/>
        <v>78591015.107194498</v>
      </c>
      <c r="CC124" s="1351">
        <f t="shared" si="156"/>
        <v>1736.9811927881078</v>
      </c>
      <c r="CD124" s="1351">
        <f t="shared" si="156"/>
        <v>1736.9810264382834</v>
      </c>
      <c r="CE124" s="1351">
        <f t="shared" si="178"/>
        <v>1736.9811595180197</v>
      </c>
      <c r="CF124" s="1351">
        <f t="shared" si="158"/>
        <v>1736.9811595180195</v>
      </c>
      <c r="CG124" s="1367">
        <f t="shared" si="159"/>
        <v>0</v>
      </c>
      <c r="CH124" s="1367">
        <f t="shared" si="179"/>
        <v>0</v>
      </c>
      <c r="CI124" s="1423"/>
      <c r="CJ124" s="1341">
        <f t="shared" si="211"/>
        <v>61296.290037125</v>
      </c>
      <c r="CK124" s="1341">
        <f>(N124*AG124/1000)+0.22</f>
        <v>21845.257673244501</v>
      </c>
      <c r="CL124" s="1366">
        <f t="shared" si="194"/>
        <v>83141.547710369501</v>
      </c>
      <c r="CM124" s="1341">
        <f t="shared" si="180"/>
        <v>83141.3277103695</v>
      </c>
      <c r="CN124" s="1341">
        <f t="shared" si="181"/>
        <v>-0.22000000000116415</v>
      </c>
      <c r="CO124" s="1341">
        <f t="shared" si="161"/>
        <v>78591015.107194513</v>
      </c>
      <c r="CP124" s="1341">
        <f t="shared" si="162"/>
        <v>76969354.967874601</v>
      </c>
      <c r="CQ124" s="1341">
        <f t="shared" si="163"/>
        <v>76969354.967874587</v>
      </c>
      <c r="CR124" s="1341">
        <f t="shared" si="164"/>
        <v>56745977.43395</v>
      </c>
      <c r="CS124" s="1341">
        <f t="shared" si="165"/>
        <v>83141327.710369483</v>
      </c>
      <c r="CT124" s="1341">
        <f t="shared" si="166"/>
        <v>83141327.710369483</v>
      </c>
      <c r="CU124" s="1341">
        <f t="shared" si="167"/>
        <v>21845037.673244495</v>
      </c>
      <c r="CV124" s="1341">
        <f t="shared" si="182"/>
        <v>160110682.67824408</v>
      </c>
      <c r="CW124" s="1350">
        <f t="shared" si="183"/>
        <v>3538.6899999999996</v>
      </c>
      <c r="CX124" s="1341">
        <f t="shared" si="168"/>
        <v>76969354.967874601</v>
      </c>
      <c r="CY124" s="1341">
        <f t="shared" si="169"/>
        <v>83141327.710369483</v>
      </c>
      <c r="CZ124" s="1341"/>
      <c r="DA124" s="1341">
        <f t="shared" si="170"/>
        <v>76969354.967874601</v>
      </c>
      <c r="DB124" s="1341">
        <f t="shared" si="171"/>
        <v>83141327.710369483</v>
      </c>
      <c r="DC124" s="1575"/>
      <c r="DD124" s="40">
        <f t="shared" si="184"/>
        <v>108.01874037410207</v>
      </c>
      <c r="DE124" s="1575"/>
      <c r="DF124" s="1575"/>
      <c r="DG124" s="1575"/>
      <c r="DH124" s="1487">
        <v>45245.752166666702</v>
      </c>
      <c r="DI124" s="1487">
        <v>45245.752166666702</v>
      </c>
      <c r="DJ124" s="1487">
        <f t="shared" si="195"/>
        <v>0</v>
      </c>
      <c r="DK124" s="1423"/>
      <c r="DL124" s="1352">
        <f t="shared" si="172"/>
        <v>0</v>
      </c>
      <c r="DM124" s="1352">
        <f t="shared" si="173"/>
        <v>0</v>
      </c>
      <c r="DN124" s="1352">
        <f t="shared" si="174"/>
        <v>0</v>
      </c>
      <c r="DO124" s="81"/>
      <c r="DP124" s="81"/>
      <c r="DQ124" s="81"/>
      <c r="DR124" s="81"/>
      <c r="DS124" s="81"/>
      <c r="DT124" s="81"/>
      <c r="DU124" s="81"/>
      <c r="DV124" s="81"/>
      <c r="DW124" s="81"/>
      <c r="DX124" s="81"/>
      <c r="DY124" s="81"/>
      <c r="DZ124" s="81"/>
      <c r="EA124" s="81"/>
      <c r="EB124" s="81"/>
      <c r="EC124" s="81"/>
      <c r="ED124" s="81"/>
      <c r="EE124" s="81"/>
      <c r="EF124" s="81"/>
      <c r="EG124" s="81"/>
      <c r="EH124" s="81"/>
      <c r="EI124" s="81"/>
      <c r="EJ124" s="81"/>
      <c r="EK124" s="81"/>
      <c r="EL124" s="81"/>
    </row>
    <row r="125" spans="1:142" s="81" customFormat="1" ht="71.25" hidden="1" customHeight="1">
      <c r="A125" s="6">
        <f t="shared" si="185"/>
        <v>112</v>
      </c>
      <c r="B125" s="1330" t="s">
        <v>43</v>
      </c>
      <c r="C125" s="1330" t="s">
        <v>53</v>
      </c>
      <c r="D125" s="1330" t="s">
        <v>166</v>
      </c>
      <c r="E125" s="1330">
        <v>4633039010</v>
      </c>
      <c r="F125" s="1330" t="s">
        <v>8</v>
      </c>
      <c r="G125" s="1332" t="s">
        <v>1006</v>
      </c>
      <c r="H125" s="1369">
        <v>1571.285756878892</v>
      </c>
      <c r="I125" s="1335">
        <v>0</v>
      </c>
      <c r="J125" s="1335">
        <v>1571.285756878892</v>
      </c>
      <c r="K125" s="1335">
        <v>1571.285756878892</v>
      </c>
      <c r="L125" s="1335">
        <v>1571.285756878892</v>
      </c>
      <c r="M125" s="1336">
        <v>0</v>
      </c>
      <c r="N125" s="1371">
        <v>1717.71</v>
      </c>
      <c r="O125" s="1372"/>
      <c r="P125" s="1372">
        <v>1717.71</v>
      </c>
      <c r="Q125" s="1372">
        <v>1717.71</v>
      </c>
      <c r="R125" s="1335">
        <v>1717.71</v>
      </c>
      <c r="S125" s="1370"/>
      <c r="T125" s="1347">
        <v>0</v>
      </c>
      <c r="U125" s="1363">
        <v>4001.3144500000003</v>
      </c>
      <c r="V125" s="1363">
        <v>1700.0879000000002</v>
      </c>
      <c r="W125" s="1363">
        <v>180.45496</v>
      </c>
      <c r="X125" s="1341">
        <v>0</v>
      </c>
      <c r="Y125" s="1341">
        <v>0</v>
      </c>
      <c r="Z125" s="1342">
        <f>SUM(T125:W125)</f>
        <v>5881.8573100000003</v>
      </c>
      <c r="AA125" s="1348">
        <v>0</v>
      </c>
      <c r="AB125" s="1363">
        <v>3234.3355499999998</v>
      </c>
      <c r="AC125" s="1363">
        <v>1374.2121000000002</v>
      </c>
      <c r="AD125" s="1363">
        <v>145.86503999999999</v>
      </c>
      <c r="AE125" s="1363">
        <v>0</v>
      </c>
      <c r="AF125" s="1341">
        <v>0</v>
      </c>
      <c r="AG125" s="1344">
        <f t="shared" si="176"/>
        <v>4754.4126900000001</v>
      </c>
      <c r="AH125" s="1340">
        <f>Z125+AG125</f>
        <v>10636.27</v>
      </c>
      <c r="AI125" s="1341">
        <f t="shared" si="210"/>
        <v>0</v>
      </c>
      <c r="AJ125" s="1341">
        <f t="shared" si="210"/>
        <v>7235.65</v>
      </c>
      <c r="AK125" s="1341">
        <f t="shared" si="210"/>
        <v>3074.3</v>
      </c>
      <c r="AL125" s="1341">
        <f t="shared" si="210"/>
        <v>326.32</v>
      </c>
      <c r="AM125" s="1341">
        <f t="shared" si="210"/>
        <v>0</v>
      </c>
      <c r="AN125" s="1341">
        <v>0</v>
      </c>
      <c r="AO125" s="1341">
        <f t="shared" si="228"/>
        <v>10636.27</v>
      </c>
      <c r="AP125" s="1341">
        <f t="shared" si="229"/>
        <v>10636.27</v>
      </c>
      <c r="AQ125" s="1345">
        <f t="shared" si="145"/>
        <v>10636.27</v>
      </c>
      <c r="AR125" s="1346">
        <f t="shared" si="177"/>
        <v>0</v>
      </c>
      <c r="AS125" s="1347">
        <f t="shared" si="260"/>
        <v>0</v>
      </c>
      <c r="AT125" s="1341">
        <f t="shared" si="260"/>
        <v>11369273.786760755</v>
      </c>
      <c r="AU125" s="1341">
        <f t="shared" si="260"/>
        <v>4830603.8023727778</v>
      </c>
      <c r="AV125" s="1341">
        <f t="shared" si="260"/>
        <v>512741.96818472003</v>
      </c>
      <c r="AW125" s="1341">
        <f t="shared" si="260"/>
        <v>0</v>
      </c>
      <c r="AX125" s="1341">
        <f t="shared" si="146"/>
        <v>16712619.557318253</v>
      </c>
      <c r="AY125" s="1341">
        <f t="shared" si="147"/>
        <v>16712619.557318253</v>
      </c>
      <c r="AZ125" s="1341">
        <f t="shared" si="246"/>
        <v>0</v>
      </c>
      <c r="BA125" s="1341">
        <f t="shared" si="246"/>
        <v>12428748.361499999</v>
      </c>
      <c r="BB125" s="1341">
        <f t="shared" si="246"/>
        <v>5280755.8530000001</v>
      </c>
      <c r="BC125" s="1341">
        <f t="shared" si="246"/>
        <v>560523.12719999999</v>
      </c>
      <c r="BD125" s="1341">
        <f t="shared" si="259"/>
        <v>0</v>
      </c>
      <c r="BE125" s="1341">
        <f t="shared" si="148"/>
        <v>18270027.341699999</v>
      </c>
      <c r="BF125" s="1345">
        <f t="shared" si="149"/>
        <v>18270027.341699999</v>
      </c>
      <c r="BG125" s="1348">
        <v>0</v>
      </c>
      <c r="BH125" s="1341">
        <v>0</v>
      </c>
      <c r="BI125" s="1341">
        <f t="shared" si="143"/>
        <v>0</v>
      </c>
      <c r="BJ125" s="1363">
        <v>17408.819379827219</v>
      </c>
      <c r="BK125" s="1647">
        <v>20719.660000000003</v>
      </c>
      <c r="BL125" s="1341">
        <f t="shared" si="256"/>
        <v>0</v>
      </c>
      <c r="BM125" s="1341">
        <f t="shared" si="256"/>
        <v>6287208.4040786978</v>
      </c>
      <c r="BN125" s="1341">
        <f t="shared" si="256"/>
        <v>2671323.9027121463</v>
      </c>
      <c r="BO125" s="1341">
        <f t="shared" si="256"/>
        <v>283546.3084061502</v>
      </c>
      <c r="BP125" s="1341">
        <f t="shared" si="256"/>
        <v>0</v>
      </c>
      <c r="BQ125" s="1341">
        <f>BL125+BM125+BN125+BO125+BP125</f>
        <v>9242078.6151969936</v>
      </c>
      <c r="BR125" s="1341">
        <f t="shared" si="204"/>
        <v>9242078.6151969936</v>
      </c>
      <c r="BS125" s="1341">
        <f t="shared" si="257"/>
        <v>0</v>
      </c>
      <c r="BT125" s="1341">
        <f t="shared" si="257"/>
        <v>5555650.5175904995</v>
      </c>
      <c r="BU125" s="1341">
        <f t="shared" si="257"/>
        <v>2360497.8662910005</v>
      </c>
      <c r="BV125" s="1341">
        <f t="shared" si="205"/>
        <v>309969.28934160003</v>
      </c>
      <c r="BW125" s="1341">
        <f t="shared" si="157"/>
        <v>0</v>
      </c>
      <c r="BX125" s="1341">
        <f t="shared" si="206"/>
        <v>8226117.6732230997</v>
      </c>
      <c r="BY125" s="1341">
        <f t="shared" si="207"/>
        <v>8226117.6732230997</v>
      </c>
      <c r="BZ125" s="1349">
        <f t="shared" si="155"/>
        <v>11842858.921669196</v>
      </c>
      <c r="CA125" s="1349">
        <f t="shared" si="155"/>
        <v>5031821.7690031473</v>
      </c>
      <c r="CB125" s="1349">
        <f t="shared" si="208"/>
        <v>16874680.690672345</v>
      </c>
      <c r="CC125" s="1351">
        <f t="shared" si="156"/>
        <v>1636.7373935540272</v>
      </c>
      <c r="CD125" s="1351">
        <f t="shared" si="156"/>
        <v>1636.7373935540277</v>
      </c>
      <c r="CE125" s="1351">
        <f t="shared" si="178"/>
        <v>1636.7373935540274</v>
      </c>
      <c r="CF125" s="1351">
        <f t="shared" si="158"/>
        <v>1636.7373935540274</v>
      </c>
      <c r="CG125" s="1367">
        <f t="shared" si="159"/>
        <v>0</v>
      </c>
      <c r="CH125" s="1367">
        <f t="shared" si="179"/>
        <v>0</v>
      </c>
      <c r="CI125" s="1423"/>
      <c r="CJ125" s="1341">
        <f t="shared" si="211"/>
        <v>10103.325119960102</v>
      </c>
      <c r="CK125" s="1341">
        <f t="shared" si="160"/>
        <v>8166.7022217398999</v>
      </c>
      <c r="CL125" s="1341">
        <f t="shared" si="194"/>
        <v>18270.027341700003</v>
      </c>
      <c r="CM125" s="1341">
        <f t="shared" si="180"/>
        <v>18270.027341700003</v>
      </c>
      <c r="CN125" s="1341">
        <f t="shared" si="181"/>
        <v>0</v>
      </c>
      <c r="CO125" s="1341">
        <f t="shared" si="161"/>
        <v>17408780.836936895</v>
      </c>
      <c r="CP125" s="1341">
        <f t="shared" si="162"/>
        <v>16712619.557318253</v>
      </c>
      <c r="CQ125" s="1341">
        <f t="shared" si="163"/>
        <v>16712619.557318255</v>
      </c>
      <c r="CR125" s="1341">
        <f t="shared" si="164"/>
        <v>9242078.6151969936</v>
      </c>
      <c r="CS125" s="1341">
        <f t="shared" si="165"/>
        <v>18270027.341699999</v>
      </c>
      <c r="CT125" s="1341">
        <f t="shared" si="166"/>
        <v>18270027.341700003</v>
      </c>
      <c r="CU125" s="1341">
        <f t="shared" si="167"/>
        <v>8166702.2217399003</v>
      </c>
      <c r="CV125" s="1341">
        <f t="shared" si="182"/>
        <v>34982646.89901825</v>
      </c>
      <c r="CW125" s="1350">
        <f t="shared" si="183"/>
        <v>3288.9957568788918</v>
      </c>
      <c r="CX125" s="1341">
        <f t="shared" si="168"/>
        <v>16199877.589133533</v>
      </c>
      <c r="CY125" s="1341">
        <f t="shared" si="169"/>
        <v>17709504.214499999</v>
      </c>
      <c r="CZ125" s="1341"/>
      <c r="DA125" s="1341">
        <f t="shared" si="170"/>
        <v>16712619.557318253</v>
      </c>
      <c r="DB125" s="1341">
        <f t="shared" si="171"/>
        <v>18270027.341699999</v>
      </c>
      <c r="DC125" s="1575"/>
      <c r="DD125" s="40">
        <f t="shared" si="184"/>
        <v>109.31875328724144</v>
      </c>
      <c r="DE125" s="1575"/>
      <c r="DF125" s="1575"/>
      <c r="DG125" s="1575"/>
      <c r="DH125" s="1341">
        <v>8204.75</v>
      </c>
      <c r="DI125" s="1341">
        <v>7915.04</v>
      </c>
      <c r="DJ125" s="1341">
        <f t="shared" si="195"/>
        <v>289.71000000000004</v>
      </c>
      <c r="DK125" s="1423"/>
      <c r="DL125" s="1352">
        <f t="shared" si="172"/>
        <v>0</v>
      </c>
      <c r="DM125" s="1352">
        <f t="shared" si="173"/>
        <v>0</v>
      </c>
      <c r="DN125" s="1352">
        <f t="shared" si="174"/>
        <v>0</v>
      </c>
    </row>
    <row r="126" spans="1:142" s="50" customFormat="1" ht="78" hidden="1" customHeight="1">
      <c r="A126" s="6">
        <f t="shared" si="185"/>
        <v>113</v>
      </c>
      <c r="B126" s="1330" t="s">
        <v>47</v>
      </c>
      <c r="C126" s="1782" t="s">
        <v>56</v>
      </c>
      <c r="D126" s="1782" t="s">
        <v>1035</v>
      </c>
      <c r="E126" s="1782">
        <v>4632121159</v>
      </c>
      <c r="F126" s="1782" t="s">
        <v>8</v>
      </c>
      <c r="G126" s="1791" t="s">
        <v>1036</v>
      </c>
      <c r="H126" s="1369">
        <v>2115.6799999999998</v>
      </c>
      <c r="I126" s="1335">
        <v>2115.6799999999998</v>
      </c>
      <c r="J126" s="1335">
        <v>2115.6799999999998</v>
      </c>
      <c r="K126" s="1335"/>
      <c r="L126" s="1335">
        <v>2115.6799999999998</v>
      </c>
      <c r="M126" s="1390"/>
      <c r="N126" s="1403">
        <v>2391.91</v>
      </c>
      <c r="O126" s="1335">
        <v>2391.91</v>
      </c>
      <c r="P126" s="1335">
        <v>2391.91</v>
      </c>
      <c r="Q126" s="1335"/>
      <c r="R126" s="1335">
        <v>2391.91</v>
      </c>
      <c r="S126" s="1390"/>
      <c r="T126" s="1783">
        <v>2969.9339999999997</v>
      </c>
      <c r="U126" s="1708">
        <v>75174.8</v>
      </c>
      <c r="V126" s="1788">
        <v>0</v>
      </c>
      <c r="W126" s="1708">
        <v>2375.1547921505057</v>
      </c>
      <c r="X126" s="1788">
        <v>0</v>
      </c>
      <c r="Y126" s="1788"/>
      <c r="Z126" s="1789">
        <f>SUM(T126:W126)</f>
        <v>80519.888792150508</v>
      </c>
      <c r="AA126" s="1763">
        <v>2640.0660000000003</v>
      </c>
      <c r="AB126" s="1708">
        <v>66825.2</v>
      </c>
      <c r="AC126" s="1788">
        <v>0</v>
      </c>
      <c r="AD126" s="1708">
        <v>3488.6452078494972</v>
      </c>
      <c r="AE126" s="1788">
        <v>0</v>
      </c>
      <c r="AF126" s="1788">
        <v>0</v>
      </c>
      <c r="AG126" s="1790">
        <f>SUM(AA126:AD126)</f>
        <v>72953.911207849495</v>
      </c>
      <c r="AH126" s="1739">
        <f>Z126+AG126</f>
        <v>153473.79999999999</v>
      </c>
      <c r="AI126" s="1708">
        <f>T126+AA126</f>
        <v>5610</v>
      </c>
      <c r="AJ126" s="1708">
        <f>U126+AB126</f>
        <v>142000</v>
      </c>
      <c r="AK126" s="1788">
        <f>V126+AC126</f>
        <v>0</v>
      </c>
      <c r="AL126" s="1708">
        <f>W126+AD126</f>
        <v>5863.8000000000029</v>
      </c>
      <c r="AM126" s="1788">
        <f t="shared" si="210"/>
        <v>0</v>
      </c>
      <c r="AN126" s="1788"/>
      <c r="AO126" s="1708">
        <f>SUM(AI126:AN126)</f>
        <v>153473.79999999999</v>
      </c>
      <c r="AP126" s="1708">
        <f>SUM(AI126:AM126)</f>
        <v>153473.79999999999</v>
      </c>
      <c r="AQ126" s="1784">
        <f>SUM(AI126:AL126)</f>
        <v>153473.79999999999</v>
      </c>
      <c r="AR126" s="1460">
        <f t="shared" si="177"/>
        <v>0</v>
      </c>
      <c r="AS126" s="1468">
        <f t="shared" si="260"/>
        <v>11868964.799999999</v>
      </c>
      <c r="AT126" s="1467">
        <f t="shared" si="260"/>
        <v>300426560</v>
      </c>
      <c r="AU126" s="1467">
        <f t="shared" si="260"/>
        <v>0</v>
      </c>
      <c r="AV126" s="1467">
        <f t="shared" si="260"/>
        <v>12405924.384000005</v>
      </c>
      <c r="AW126" s="1467">
        <f t="shared" si="260"/>
        <v>0</v>
      </c>
      <c r="AX126" s="1467">
        <f t="shared" si="146"/>
        <v>324701449.18400002</v>
      </c>
      <c r="AY126" s="1467">
        <f t="shared" si="147"/>
        <v>324701449.18400002</v>
      </c>
      <c r="AZ126" s="1467">
        <f t="shared" si="246"/>
        <v>13418615.1</v>
      </c>
      <c r="BA126" s="1467">
        <f t="shared" si="246"/>
        <v>339651220</v>
      </c>
      <c r="BB126" s="1467">
        <f t="shared" si="246"/>
        <v>0</v>
      </c>
      <c r="BC126" s="1467">
        <f t="shared" si="246"/>
        <v>14025681.858000007</v>
      </c>
      <c r="BD126" s="1467">
        <f t="shared" si="259"/>
        <v>0</v>
      </c>
      <c r="BE126" s="1467">
        <f t="shared" si="148"/>
        <v>367095516.958</v>
      </c>
      <c r="BF126" s="1469">
        <f t="shared" si="149"/>
        <v>367095516.958</v>
      </c>
      <c r="BG126" s="1470"/>
      <c r="BH126" s="1467"/>
      <c r="BI126" s="1467">
        <f t="shared" si="143"/>
        <v>0</v>
      </c>
      <c r="BJ126" s="1406">
        <v>325911.25590898877</v>
      </c>
      <c r="BK126" s="1648"/>
      <c r="BL126" s="1467">
        <f>I126*T126</f>
        <v>6283429.9651199989</v>
      </c>
      <c r="BM126" s="1467">
        <f>J126*U126</f>
        <v>159045820.86399999</v>
      </c>
      <c r="BN126" s="1467">
        <f t="shared" si="256"/>
        <v>0</v>
      </c>
      <c r="BO126" s="1467">
        <f>L126*W126</f>
        <v>5025067.4906569812</v>
      </c>
      <c r="BP126" s="1467">
        <f t="shared" si="256"/>
        <v>0</v>
      </c>
      <c r="BQ126" s="1467">
        <f>BL126+BM126+BN126+BO126+BP126</f>
        <v>170354318.31977695</v>
      </c>
      <c r="BR126" s="1467">
        <f>BQ126-BP126</f>
        <v>170354318.31977695</v>
      </c>
      <c r="BS126" s="1467">
        <f>O126*AA126</f>
        <v>6314800.2660600003</v>
      </c>
      <c r="BT126" s="1467">
        <f>P126*AB126</f>
        <v>159839864.13199997</v>
      </c>
      <c r="BU126" s="1467">
        <f t="shared" si="257"/>
        <v>0</v>
      </c>
      <c r="BV126" s="1467">
        <f>R126*W126</f>
        <v>5681156.4988927161</v>
      </c>
      <c r="BW126" s="1467">
        <f t="shared" si="157"/>
        <v>0</v>
      </c>
      <c r="BX126" s="1467">
        <f>BS126+BT126+BU126+BV126+BW126</f>
        <v>171835820.89695269</v>
      </c>
      <c r="BY126" s="1467">
        <f>BX126-BW126</f>
        <v>171835820.89695269</v>
      </c>
      <c r="BZ126" s="1471">
        <f t="shared" si="155"/>
        <v>318885684.99599993</v>
      </c>
      <c r="CA126" s="1471">
        <f t="shared" si="155"/>
        <v>0</v>
      </c>
      <c r="CB126" s="1471">
        <f t="shared" si="208"/>
        <v>318885684.99599993</v>
      </c>
      <c r="CC126" s="1454">
        <f t="shared" si="156"/>
        <v>2245.6738379999997</v>
      </c>
      <c r="CD126" s="1454" t="e">
        <f t="shared" si="156"/>
        <v>#DIV/0!</v>
      </c>
      <c r="CE126" s="1454">
        <f t="shared" si="178"/>
        <v>2245.6738379999997</v>
      </c>
      <c r="CF126" s="1454">
        <f t="shared" si="158"/>
        <v>2245.6738379999997</v>
      </c>
      <c r="CG126" s="1472">
        <f t="shared" si="159"/>
        <v>318885684.99599993</v>
      </c>
      <c r="CH126" s="1472">
        <f t="shared" si="179"/>
        <v>2245.6738379999997</v>
      </c>
      <c r="CI126" s="1423"/>
      <c r="CJ126" s="1473">
        <f t="shared" si="211"/>
        <v>192596.32720083272</v>
      </c>
      <c r="CK126" s="1473">
        <f t="shared" si="160"/>
        <v>174499.18975716727</v>
      </c>
      <c r="CL126" s="1473">
        <f>CJ126+CK126+0.16668498882791</f>
        <v>367095.68364298885</v>
      </c>
      <c r="CM126" s="1341">
        <f t="shared" si="180"/>
        <v>367095.51695799996</v>
      </c>
      <c r="CN126" s="1341">
        <f t="shared" si="181"/>
        <v>-0.16668498888611794</v>
      </c>
      <c r="CO126" s="1467">
        <f t="shared" si="161"/>
        <v>344853508.07694423</v>
      </c>
      <c r="CP126" s="1467">
        <f t="shared" si="162"/>
        <v>324701449.18400002</v>
      </c>
      <c r="CQ126" s="1467">
        <f t="shared" si="163"/>
        <v>324701449.18400002</v>
      </c>
      <c r="CR126" s="1467">
        <f t="shared" si="164"/>
        <v>170354318.31977695</v>
      </c>
      <c r="CS126" s="1467">
        <f t="shared" si="165"/>
        <v>367095516.958</v>
      </c>
      <c r="CT126" s="1467">
        <f t="shared" si="166"/>
        <v>367095516.958</v>
      </c>
      <c r="CU126" s="1467">
        <f t="shared" si="167"/>
        <v>174499189.75716725</v>
      </c>
      <c r="CV126" s="1467">
        <f t="shared" si="182"/>
        <v>691796966.14199996</v>
      </c>
      <c r="CW126" s="1474">
        <f t="shared" si="183"/>
        <v>4507.59</v>
      </c>
      <c r="CX126" s="1467">
        <f t="shared" si="168"/>
        <v>300426560</v>
      </c>
      <c r="CY126" s="1467">
        <f t="shared" si="169"/>
        <v>339651220</v>
      </c>
      <c r="CZ126" s="1467"/>
      <c r="DA126" s="1467">
        <f t="shared" si="170"/>
        <v>324701449.18400002</v>
      </c>
      <c r="DB126" s="1467">
        <f t="shared" si="171"/>
        <v>367095516.958</v>
      </c>
      <c r="DC126" s="1575"/>
      <c r="DD126" s="1316">
        <f t="shared" si="184"/>
        <v>113.05632231717462</v>
      </c>
      <c r="DE126" s="1575"/>
      <c r="DF126" s="1575"/>
      <c r="DG126" s="1575"/>
      <c r="DH126" s="1582">
        <v>154045.54999999999</v>
      </c>
      <c r="DI126" s="1582">
        <v>140500</v>
      </c>
      <c r="DJ126" s="1582">
        <f t="shared" si="195"/>
        <v>13545.549999999988</v>
      </c>
      <c r="DK126" s="1423"/>
      <c r="DL126" s="1406">
        <f t="shared" si="172"/>
        <v>0</v>
      </c>
      <c r="DM126" s="1406">
        <f t="shared" si="173"/>
        <v>0</v>
      </c>
      <c r="DN126" s="1406">
        <f t="shared" si="174"/>
        <v>0</v>
      </c>
      <c r="DO126" s="81"/>
      <c r="DP126" s="81"/>
      <c r="DQ126" s="81"/>
      <c r="DR126" s="81"/>
      <c r="DS126" s="81"/>
      <c r="DT126" s="81"/>
      <c r="DU126" s="81"/>
      <c r="DV126" s="81"/>
      <c r="DW126" s="81"/>
      <c r="DX126" s="81"/>
      <c r="DY126" s="81"/>
      <c r="DZ126" s="81"/>
      <c r="EA126" s="81"/>
      <c r="EB126" s="81"/>
      <c r="EC126" s="81"/>
      <c r="ED126" s="81"/>
      <c r="EE126" s="81"/>
      <c r="EF126" s="81"/>
      <c r="EG126" s="81"/>
      <c r="EH126" s="81"/>
      <c r="EI126" s="81"/>
      <c r="EJ126" s="81"/>
      <c r="EK126" s="81"/>
      <c r="EL126" s="81"/>
    </row>
    <row r="127" spans="1:142" s="50" customFormat="1" ht="72" hidden="1" customHeight="1">
      <c r="A127" s="6">
        <f t="shared" si="185"/>
        <v>114</v>
      </c>
      <c r="B127" s="1330" t="s">
        <v>47</v>
      </c>
      <c r="C127" s="1330" t="s">
        <v>56</v>
      </c>
      <c r="D127" s="1330" t="s">
        <v>224</v>
      </c>
      <c r="E127" s="1475">
        <v>4632113278</v>
      </c>
      <c r="F127" s="1401" t="s">
        <v>8</v>
      </c>
      <c r="G127" s="1476" t="s">
        <v>1024</v>
      </c>
      <c r="H127" s="1369">
        <v>1521.43</v>
      </c>
      <c r="I127" s="1335"/>
      <c r="J127" s="1335">
        <v>1521.43</v>
      </c>
      <c r="K127" s="1335"/>
      <c r="L127" s="1335"/>
      <c r="M127" s="1336"/>
      <c r="N127" s="1428">
        <v>1740.52</v>
      </c>
      <c r="O127" s="1339"/>
      <c r="P127" s="1339">
        <v>1740.52</v>
      </c>
      <c r="Q127" s="1339"/>
      <c r="R127" s="1335"/>
      <c r="S127" s="1336"/>
      <c r="T127" s="1404">
        <v>0</v>
      </c>
      <c r="U127" s="1363">
        <v>3227.71</v>
      </c>
      <c r="V127" s="1363">
        <v>0</v>
      </c>
      <c r="W127" s="1363">
        <v>0</v>
      </c>
      <c r="X127" s="1363"/>
      <c r="Y127" s="1363"/>
      <c r="Z127" s="1342">
        <f t="shared" si="175"/>
        <v>3227.71</v>
      </c>
      <c r="AA127" s="1405">
        <v>0</v>
      </c>
      <c r="AB127" s="1363">
        <v>2474.79</v>
      </c>
      <c r="AC127" s="1363">
        <v>0</v>
      </c>
      <c r="AD127" s="1363">
        <v>0</v>
      </c>
      <c r="AE127" s="1363"/>
      <c r="AF127" s="1363">
        <v>0</v>
      </c>
      <c r="AG127" s="1344">
        <f t="shared" si="176"/>
        <v>2474.79</v>
      </c>
      <c r="AH127" s="1340">
        <f>Z127+AG127</f>
        <v>5702.5</v>
      </c>
      <c r="AI127" s="1341">
        <f t="shared" si="210"/>
        <v>0</v>
      </c>
      <c r="AJ127" s="1341">
        <f t="shared" si="210"/>
        <v>5702.5</v>
      </c>
      <c r="AK127" s="1341">
        <f t="shared" si="210"/>
        <v>0</v>
      </c>
      <c r="AL127" s="1341">
        <f t="shared" si="210"/>
        <v>0</v>
      </c>
      <c r="AM127" s="1341">
        <f t="shared" si="210"/>
        <v>0</v>
      </c>
      <c r="AN127" s="1341"/>
      <c r="AO127" s="1341">
        <f t="shared" si="228"/>
        <v>5702.5</v>
      </c>
      <c r="AP127" s="1341">
        <f t="shared" si="229"/>
        <v>5702.5</v>
      </c>
      <c r="AQ127" s="1455">
        <f t="shared" si="145"/>
        <v>5702.5</v>
      </c>
      <c r="AR127" s="1346">
        <f t="shared" si="177"/>
        <v>0</v>
      </c>
      <c r="AS127" s="1347">
        <f t="shared" si="260"/>
        <v>0</v>
      </c>
      <c r="AT127" s="1341">
        <f t="shared" si="260"/>
        <v>8675954.5750000011</v>
      </c>
      <c r="AU127" s="1341">
        <f t="shared" si="260"/>
        <v>0</v>
      </c>
      <c r="AV127" s="1341">
        <f t="shared" si="260"/>
        <v>0</v>
      </c>
      <c r="AW127" s="1341">
        <f t="shared" si="260"/>
        <v>0</v>
      </c>
      <c r="AX127" s="1341">
        <f t="shared" si="146"/>
        <v>8675954.5750000011</v>
      </c>
      <c r="AY127" s="1341">
        <f t="shared" si="147"/>
        <v>8675954.5750000011</v>
      </c>
      <c r="AZ127" s="1341">
        <f t="shared" si="246"/>
        <v>0</v>
      </c>
      <c r="BA127" s="1341">
        <f t="shared" si="246"/>
        <v>9925315.3000000007</v>
      </c>
      <c r="BB127" s="1341">
        <f t="shared" si="246"/>
        <v>0</v>
      </c>
      <c r="BC127" s="1341">
        <f t="shared" si="246"/>
        <v>0</v>
      </c>
      <c r="BD127" s="1341">
        <f t="shared" si="259"/>
        <v>0</v>
      </c>
      <c r="BE127" s="1341">
        <f t="shared" si="148"/>
        <v>9925315.3000000007</v>
      </c>
      <c r="BF127" s="1345">
        <f t="shared" si="149"/>
        <v>9925315.3000000007</v>
      </c>
      <c r="BG127" s="1405">
        <v>0</v>
      </c>
      <c r="BH127" s="1363">
        <v>0</v>
      </c>
      <c r="BI127" s="1341">
        <f t="shared" si="143"/>
        <v>0</v>
      </c>
      <c r="BJ127" s="1341">
        <v>10071.76</v>
      </c>
      <c r="BK127" s="1647">
        <v>13008.96</v>
      </c>
      <c r="BL127" s="1341">
        <f t="shared" si="256"/>
        <v>0</v>
      </c>
      <c r="BM127" s="1341">
        <f t="shared" si="256"/>
        <v>4910734.8253000006</v>
      </c>
      <c r="BN127" s="1341">
        <f t="shared" si="256"/>
        <v>0</v>
      </c>
      <c r="BO127" s="1341">
        <f t="shared" si="256"/>
        <v>0</v>
      </c>
      <c r="BP127" s="1341">
        <f t="shared" si="256"/>
        <v>0</v>
      </c>
      <c r="BQ127" s="1341">
        <f t="shared" si="203"/>
        <v>4910734.8253000006</v>
      </c>
      <c r="BR127" s="1341">
        <f t="shared" si="204"/>
        <v>4910734.8253000006</v>
      </c>
      <c r="BS127" s="1341">
        <f t="shared" si="257"/>
        <v>0</v>
      </c>
      <c r="BT127" s="1341">
        <f t="shared" si="257"/>
        <v>4307421.4907999998</v>
      </c>
      <c r="BU127" s="1341">
        <f t="shared" si="257"/>
        <v>0</v>
      </c>
      <c r="BV127" s="1341">
        <f t="shared" si="205"/>
        <v>0</v>
      </c>
      <c r="BW127" s="1341">
        <f t="shared" si="157"/>
        <v>0</v>
      </c>
      <c r="BX127" s="1341">
        <f t="shared" si="206"/>
        <v>4307421.4907999998</v>
      </c>
      <c r="BY127" s="1341">
        <f t="shared" si="207"/>
        <v>4307421.4907999998</v>
      </c>
      <c r="BZ127" s="1349">
        <f t="shared" si="155"/>
        <v>9218156.3161000013</v>
      </c>
      <c r="CA127" s="1349">
        <f t="shared" si="155"/>
        <v>0</v>
      </c>
      <c r="CB127" s="1349">
        <f t="shared" si="208"/>
        <v>9218156.3161000013</v>
      </c>
      <c r="CC127" s="1351">
        <f t="shared" si="156"/>
        <v>1616.5114101008332</v>
      </c>
      <c r="CD127" s="1351" t="e">
        <f t="shared" si="156"/>
        <v>#DIV/0!</v>
      </c>
      <c r="CE127" s="1351">
        <f t="shared" si="178"/>
        <v>1616.5114101008332</v>
      </c>
      <c r="CF127" s="1351">
        <f t="shared" si="158"/>
        <v>1616.5114101008332</v>
      </c>
      <c r="CG127" s="1367">
        <f t="shared" si="159"/>
        <v>0</v>
      </c>
      <c r="CH127" s="1367">
        <f t="shared" si="179"/>
        <v>0</v>
      </c>
      <c r="CI127" s="1423"/>
      <c r="CJ127" s="1341">
        <f t="shared" si="211"/>
        <v>5617.8938091999999</v>
      </c>
      <c r="CK127" s="1341">
        <f t="shared" si="160"/>
        <v>4307.4214907999994</v>
      </c>
      <c r="CL127" s="1366">
        <f>CJ127+CK127-0.02</f>
        <v>9925.295299999998</v>
      </c>
      <c r="CM127" s="1341">
        <f t="shared" si="180"/>
        <v>9925.3153000000002</v>
      </c>
      <c r="CN127" s="1341">
        <f t="shared" si="181"/>
        <v>2.0000000002255547E-2</v>
      </c>
      <c r="CO127" s="1341">
        <f t="shared" si="161"/>
        <v>9218156.3161000013</v>
      </c>
      <c r="CP127" s="1341">
        <f t="shared" si="162"/>
        <v>8675954.5750000011</v>
      </c>
      <c r="CQ127" s="1341">
        <f t="shared" si="163"/>
        <v>8675954.5750000011</v>
      </c>
      <c r="CR127" s="1341">
        <f t="shared" si="164"/>
        <v>4910734.8253000006</v>
      </c>
      <c r="CS127" s="1341">
        <f t="shared" si="165"/>
        <v>9925315.3000000007</v>
      </c>
      <c r="CT127" s="1341">
        <f t="shared" si="166"/>
        <v>9925315.3000000007</v>
      </c>
      <c r="CU127" s="1341">
        <f t="shared" si="167"/>
        <v>4307421.4907999998</v>
      </c>
      <c r="CV127" s="1341">
        <f t="shared" si="182"/>
        <v>18601269.875</v>
      </c>
      <c r="CW127" s="1350">
        <f t="shared" si="183"/>
        <v>3261.95</v>
      </c>
      <c r="CX127" s="1341">
        <f t="shared" si="168"/>
        <v>8675954.5750000011</v>
      </c>
      <c r="CY127" s="1341">
        <f t="shared" si="169"/>
        <v>9925315.3000000007</v>
      </c>
      <c r="CZ127" s="1341"/>
      <c r="DA127" s="1341">
        <f t="shared" si="170"/>
        <v>8675954.5750000011</v>
      </c>
      <c r="DB127" s="1341">
        <f t="shared" si="171"/>
        <v>9925315.3000000007</v>
      </c>
      <c r="DC127" s="1575"/>
      <c r="DD127" s="40">
        <f t="shared" si="184"/>
        <v>114.40026816876228</v>
      </c>
      <c r="DE127" s="1575"/>
      <c r="DF127" s="1575"/>
      <c r="DG127" s="1575"/>
      <c r="DH127" s="1487">
        <v>5702.5</v>
      </c>
      <c r="DI127" s="1487">
        <v>5702.5</v>
      </c>
      <c r="DJ127" s="1487">
        <f t="shared" si="195"/>
        <v>0</v>
      </c>
      <c r="DK127" s="1423"/>
      <c r="DL127" s="1352">
        <f t="shared" si="172"/>
        <v>0</v>
      </c>
      <c r="DM127" s="1352">
        <f t="shared" si="173"/>
        <v>0</v>
      </c>
      <c r="DN127" s="1352">
        <f t="shared" si="174"/>
        <v>0</v>
      </c>
      <c r="DO127" s="81"/>
      <c r="DP127" s="81"/>
      <c r="DQ127" s="81"/>
      <c r="DR127" s="81"/>
      <c r="DS127" s="81"/>
      <c r="DT127" s="81"/>
      <c r="DU127" s="81"/>
      <c r="DV127" s="81"/>
      <c r="DW127" s="81"/>
      <c r="DX127" s="81"/>
      <c r="DY127" s="81"/>
      <c r="DZ127" s="81"/>
      <c r="EA127" s="81"/>
      <c r="EB127" s="81"/>
      <c r="EC127" s="81"/>
      <c r="ED127" s="81"/>
      <c r="EE127" s="81"/>
      <c r="EF127" s="81"/>
      <c r="EG127" s="81"/>
      <c r="EH127" s="81"/>
      <c r="EI127" s="81"/>
      <c r="EJ127" s="81"/>
      <c r="EK127" s="81"/>
      <c r="EL127" s="81"/>
    </row>
    <row r="128" spans="1:142" s="50" customFormat="1" ht="87" hidden="1" customHeight="1">
      <c r="A128" s="6">
        <f t="shared" si="185"/>
        <v>115</v>
      </c>
      <c r="B128" s="1330" t="s">
        <v>47</v>
      </c>
      <c r="C128" s="1330" t="s">
        <v>56</v>
      </c>
      <c r="D128" s="1650" t="s">
        <v>162</v>
      </c>
      <c r="E128" s="1330">
        <v>5261077695</v>
      </c>
      <c r="F128" s="1330" t="s">
        <v>8</v>
      </c>
      <c r="G128" s="1332" t="s">
        <v>1010</v>
      </c>
      <c r="H128" s="1411">
        <v>2617.2537028118982</v>
      </c>
      <c r="I128" s="1412">
        <v>2617.2537028118982</v>
      </c>
      <c r="J128" s="1412">
        <v>0</v>
      </c>
      <c r="K128" s="1412">
        <v>0</v>
      </c>
      <c r="L128" s="1412">
        <v>0</v>
      </c>
      <c r="M128" s="1413">
        <v>0</v>
      </c>
      <c r="N128" s="1477">
        <v>3009.84</v>
      </c>
      <c r="O128" s="1478">
        <v>3009.84</v>
      </c>
      <c r="P128" s="1412">
        <v>0</v>
      </c>
      <c r="Q128" s="1412">
        <v>0</v>
      </c>
      <c r="R128" s="1335">
        <v>0</v>
      </c>
      <c r="S128" s="1413">
        <v>0</v>
      </c>
      <c r="T128" s="1379">
        <v>1033.73</v>
      </c>
      <c r="U128" s="1375">
        <v>0</v>
      </c>
      <c r="V128" s="1661">
        <v>0</v>
      </c>
      <c r="W128" s="1375">
        <v>0</v>
      </c>
      <c r="X128" s="1375">
        <v>0</v>
      </c>
      <c r="Y128" s="1372">
        <v>779.2</v>
      </c>
      <c r="Z128" s="1393">
        <f>SUM(T128:W128)</f>
        <v>1033.73</v>
      </c>
      <c r="AA128" s="1383">
        <v>779.84</v>
      </c>
      <c r="AB128" s="1661">
        <v>0</v>
      </c>
      <c r="AC128" s="1661">
        <v>0</v>
      </c>
      <c r="AD128" s="1375">
        <v>0</v>
      </c>
      <c r="AE128" s="1375">
        <v>0</v>
      </c>
      <c r="AF128" s="1375">
        <v>719.26</v>
      </c>
      <c r="AG128" s="1395">
        <f>SUM(AA128:AD128)</f>
        <v>779.84</v>
      </c>
      <c r="AH128" s="1391">
        <f t="shared" si="200"/>
        <v>1813.5700000000002</v>
      </c>
      <c r="AI128" s="1334">
        <f t="shared" si="210"/>
        <v>1813.5700000000002</v>
      </c>
      <c r="AJ128" s="1334">
        <f t="shared" si="210"/>
        <v>0</v>
      </c>
      <c r="AK128" s="1334">
        <f t="shared" si="210"/>
        <v>0</v>
      </c>
      <c r="AL128" s="1334">
        <f t="shared" si="210"/>
        <v>0</v>
      </c>
      <c r="AM128" s="1334">
        <f t="shared" si="210"/>
        <v>0</v>
      </c>
      <c r="AN128" s="1338">
        <f>Y128+AF128</f>
        <v>1498.46</v>
      </c>
      <c r="AO128" s="1334">
        <f t="shared" si="228"/>
        <v>3312.03</v>
      </c>
      <c r="AP128" s="1334">
        <f t="shared" si="229"/>
        <v>1813.5700000000002</v>
      </c>
      <c r="AQ128" s="1396">
        <f t="shared" si="145"/>
        <v>1813.5700000000002</v>
      </c>
      <c r="AR128" s="1417">
        <f t="shared" si="177"/>
        <v>0</v>
      </c>
      <c r="AS128" s="1333">
        <f t="shared" si="260"/>
        <v>4746572.7978085745</v>
      </c>
      <c r="AT128" s="1334">
        <f t="shared" si="260"/>
        <v>0</v>
      </c>
      <c r="AU128" s="1334">
        <f t="shared" si="260"/>
        <v>0</v>
      </c>
      <c r="AV128" s="1334">
        <f t="shared" si="260"/>
        <v>0</v>
      </c>
      <c r="AW128" s="1334">
        <f t="shared" si="260"/>
        <v>0</v>
      </c>
      <c r="AX128" s="1334">
        <f t="shared" si="146"/>
        <v>4746572.7978085745</v>
      </c>
      <c r="AY128" s="1334">
        <f t="shared" si="147"/>
        <v>4746572.7978085745</v>
      </c>
      <c r="AZ128" s="1334">
        <f t="shared" si="246"/>
        <v>5458555.5288000004</v>
      </c>
      <c r="BA128" s="1334">
        <f t="shared" si="246"/>
        <v>0</v>
      </c>
      <c r="BB128" s="1334">
        <f t="shared" si="246"/>
        <v>0</v>
      </c>
      <c r="BC128" s="1334">
        <f t="shared" si="246"/>
        <v>0</v>
      </c>
      <c r="BD128" s="1334">
        <f t="shared" si="259"/>
        <v>0</v>
      </c>
      <c r="BE128" s="1334">
        <f t="shared" si="148"/>
        <v>5458555.5288000004</v>
      </c>
      <c r="BF128" s="1396">
        <f t="shared" si="149"/>
        <v>5458555.5288000004</v>
      </c>
      <c r="BG128" s="1418">
        <v>0</v>
      </c>
      <c r="BH128" s="1334">
        <v>0</v>
      </c>
      <c r="BI128" s="1334">
        <f t="shared" si="143"/>
        <v>0</v>
      </c>
      <c r="BJ128" s="1338">
        <v>7714.12</v>
      </c>
      <c r="BK128" s="1643">
        <v>14352.36</v>
      </c>
      <c r="BL128" s="1341">
        <f t="shared" si="256"/>
        <v>2705533.6702077435</v>
      </c>
      <c r="BM128" s="1341">
        <f t="shared" si="256"/>
        <v>0</v>
      </c>
      <c r="BN128" s="1341">
        <f t="shared" si="256"/>
        <v>0</v>
      </c>
      <c r="BO128" s="1341">
        <f t="shared" si="256"/>
        <v>0</v>
      </c>
      <c r="BP128" s="1341">
        <f t="shared" si="256"/>
        <v>0</v>
      </c>
      <c r="BQ128" s="1341">
        <f t="shared" si="203"/>
        <v>2705533.6702077435</v>
      </c>
      <c r="BR128" s="1341">
        <f t="shared" si="204"/>
        <v>2705533.6702077435</v>
      </c>
      <c r="BS128" s="1341">
        <f t="shared" si="257"/>
        <v>2347193.6256000004</v>
      </c>
      <c r="BT128" s="1341">
        <f t="shared" si="257"/>
        <v>0</v>
      </c>
      <c r="BU128" s="1341">
        <f t="shared" si="257"/>
        <v>0</v>
      </c>
      <c r="BV128" s="1341">
        <f t="shared" si="205"/>
        <v>0</v>
      </c>
      <c r="BW128" s="1341">
        <f t="shared" si="157"/>
        <v>0</v>
      </c>
      <c r="BX128" s="1341">
        <f t="shared" si="206"/>
        <v>2347193.6256000004</v>
      </c>
      <c r="BY128" s="1341">
        <f t="shared" si="207"/>
        <v>2347193.6256000004</v>
      </c>
      <c r="BZ128" s="1349">
        <f t="shared" si="155"/>
        <v>0</v>
      </c>
      <c r="CA128" s="1349">
        <f t="shared" si="155"/>
        <v>0</v>
      </c>
      <c r="CB128" s="1349">
        <f t="shared" si="208"/>
        <v>0</v>
      </c>
      <c r="CC128" s="1351" t="e">
        <f t="shared" si="156"/>
        <v>#DIV/0!</v>
      </c>
      <c r="CD128" s="1351" t="e">
        <f t="shared" si="156"/>
        <v>#DIV/0!</v>
      </c>
      <c r="CE128" s="1351" t="e">
        <f t="shared" si="178"/>
        <v>#DIV/0!</v>
      </c>
      <c r="CF128" s="1351" t="e">
        <f t="shared" si="158"/>
        <v>#DIV/0!</v>
      </c>
      <c r="CG128" s="1367">
        <f t="shared" si="159"/>
        <v>0</v>
      </c>
      <c r="CH128" s="1367" t="e">
        <f t="shared" si="179"/>
        <v>#DIV/0!</v>
      </c>
      <c r="CI128" s="1423"/>
      <c r="CJ128" s="1341">
        <f t="shared" si="211"/>
        <v>3111.3619032000001</v>
      </c>
      <c r="CK128" s="1341">
        <f t="shared" si="160"/>
        <v>2347.1936256000004</v>
      </c>
      <c r="CL128" s="1341">
        <f t="shared" si="194"/>
        <v>5458.5555288000005</v>
      </c>
      <c r="CM128" s="1341">
        <f t="shared" si="180"/>
        <v>5458.5555288000005</v>
      </c>
      <c r="CN128" s="1341">
        <f t="shared" si="181"/>
        <v>0</v>
      </c>
      <c r="CO128" s="1341">
        <f t="shared" si="161"/>
        <v>5052727.2958077434</v>
      </c>
      <c r="CP128" s="1341">
        <f t="shared" si="162"/>
        <v>4746572.7978085745</v>
      </c>
      <c r="CQ128" s="1341">
        <f t="shared" si="163"/>
        <v>4746572.7978085745</v>
      </c>
      <c r="CR128" s="1341">
        <f t="shared" si="164"/>
        <v>2705533.6702077435</v>
      </c>
      <c r="CS128" s="1341">
        <f t="shared" si="165"/>
        <v>5458555.5288000004</v>
      </c>
      <c r="CT128" s="1341">
        <f t="shared" si="166"/>
        <v>5458555.5288000004</v>
      </c>
      <c r="CU128" s="1341">
        <f t="shared" si="167"/>
        <v>2347193.6256000004</v>
      </c>
      <c r="CV128" s="1341">
        <f t="shared" si="182"/>
        <v>10205128.326608576</v>
      </c>
      <c r="CW128" s="1350">
        <f t="shared" si="183"/>
        <v>5627.0937028118988</v>
      </c>
      <c r="CX128" s="1341">
        <f t="shared" si="168"/>
        <v>0</v>
      </c>
      <c r="CY128" s="1341">
        <f t="shared" si="169"/>
        <v>0</v>
      </c>
      <c r="CZ128" s="1341"/>
      <c r="DA128" s="1341">
        <f t="shared" si="170"/>
        <v>4746572.7978085745</v>
      </c>
      <c r="DB128" s="1341">
        <f t="shared" si="171"/>
        <v>5458555.5288000004</v>
      </c>
      <c r="DC128" s="1575"/>
      <c r="DD128" s="40" t="e">
        <f t="shared" si="184"/>
        <v>#DIV/0!</v>
      </c>
      <c r="DE128" s="1575"/>
      <c r="DF128" s="1575"/>
      <c r="DG128" s="1575"/>
      <c r="DH128" s="1487">
        <v>1957.23</v>
      </c>
      <c r="DI128" s="1487">
        <v>143.89000000000001</v>
      </c>
      <c r="DJ128" s="1487">
        <f t="shared" si="195"/>
        <v>1813.34</v>
      </c>
      <c r="DK128" s="1423"/>
      <c r="DL128" s="1352">
        <f t="shared" si="172"/>
        <v>0</v>
      </c>
      <c r="DM128" s="1352">
        <f t="shared" si="173"/>
        <v>0</v>
      </c>
      <c r="DN128" s="1352">
        <f t="shared" si="174"/>
        <v>0</v>
      </c>
      <c r="DO128" s="81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81"/>
      <c r="EG128" s="81"/>
      <c r="EH128" s="81"/>
      <c r="EI128" s="81"/>
      <c r="EJ128" s="81"/>
      <c r="EK128" s="81"/>
      <c r="EL128" s="81"/>
    </row>
    <row r="129" spans="1:142" s="50" customFormat="1" ht="81" hidden="1" customHeight="1">
      <c r="A129" s="6">
        <f t="shared" si="185"/>
        <v>116</v>
      </c>
      <c r="B129" s="1663" t="s">
        <v>47</v>
      </c>
      <c r="C129" s="1663" t="s">
        <v>56</v>
      </c>
      <c r="D129" s="1663" t="s">
        <v>254</v>
      </c>
      <c r="E129" s="1663">
        <v>4632000330</v>
      </c>
      <c r="F129" s="1663" t="s">
        <v>8</v>
      </c>
      <c r="G129" s="1666" t="s">
        <v>1017</v>
      </c>
      <c r="H129" s="1369">
        <v>3400.3919999999998</v>
      </c>
      <c r="I129" s="1335">
        <v>3400.3919999999998</v>
      </c>
      <c r="J129" s="1335">
        <v>2316.2579351999998</v>
      </c>
      <c r="K129" s="1335">
        <v>0</v>
      </c>
      <c r="L129" s="1335">
        <v>3400.3919999999998</v>
      </c>
      <c r="M129" s="1390">
        <v>2769.9120000000003</v>
      </c>
      <c r="N129" s="1403">
        <f>3363.93*1.2</f>
        <v>4036.7159999999994</v>
      </c>
      <c r="O129" s="1335">
        <f>N129</f>
        <v>4036.7159999999994</v>
      </c>
      <c r="P129" s="1335">
        <v>2536.3000000000002</v>
      </c>
      <c r="Q129" s="1335">
        <v>0</v>
      </c>
      <c r="R129" s="1335">
        <f>O129</f>
        <v>4036.7159999999994</v>
      </c>
      <c r="S129" s="1390">
        <f>2657.9*1.2</f>
        <v>3189.48</v>
      </c>
      <c r="T129" s="1347"/>
      <c r="U129" s="1341">
        <v>361</v>
      </c>
      <c r="V129" s="1341">
        <v>0</v>
      </c>
      <c r="W129" s="1341">
        <v>368</v>
      </c>
      <c r="X129" s="1341">
        <v>55718</v>
      </c>
      <c r="Y129" s="1341">
        <v>0</v>
      </c>
      <c r="Z129" s="1342">
        <f>SUM(T129:W129)</f>
        <v>729</v>
      </c>
      <c r="AA129" s="1348"/>
      <c r="AB129" s="1341">
        <v>271</v>
      </c>
      <c r="AC129" s="1341">
        <v>0</v>
      </c>
      <c r="AD129" s="1341">
        <v>266</v>
      </c>
      <c r="AE129" s="1341">
        <v>41755</v>
      </c>
      <c r="AF129" s="1341">
        <v>0</v>
      </c>
      <c r="AG129" s="1344">
        <f>SUM(AA129:AD129)</f>
        <v>537</v>
      </c>
      <c r="AH129" s="1340">
        <f>Z129+AG129</f>
        <v>1266</v>
      </c>
      <c r="AI129" s="1341">
        <f t="shared" si="210"/>
        <v>0</v>
      </c>
      <c r="AJ129" s="1341">
        <f t="shared" si="210"/>
        <v>632</v>
      </c>
      <c r="AK129" s="1341">
        <f t="shared" si="210"/>
        <v>0</v>
      </c>
      <c r="AL129" s="1341">
        <f t="shared" si="210"/>
        <v>634</v>
      </c>
      <c r="AM129" s="1341">
        <f t="shared" si="210"/>
        <v>97473</v>
      </c>
      <c r="AN129" s="1338"/>
      <c r="AO129" s="1341">
        <f>SUM(AI129:AN129)</f>
        <v>98739</v>
      </c>
      <c r="AP129" s="1341">
        <f>SUM(AI129:AM129)</f>
        <v>98739</v>
      </c>
      <c r="AQ129" s="1345">
        <f>SUM(AI129:AL129)</f>
        <v>1266</v>
      </c>
      <c r="AR129" s="1346">
        <f t="shared" si="177"/>
        <v>0</v>
      </c>
      <c r="AS129" s="1347">
        <f t="shared" si="260"/>
        <v>0</v>
      </c>
      <c r="AT129" s="1341">
        <f t="shared" si="260"/>
        <v>1463875.0150463998</v>
      </c>
      <c r="AU129" s="1341">
        <f t="shared" si="260"/>
        <v>0</v>
      </c>
      <c r="AV129" s="1341">
        <f t="shared" si="260"/>
        <v>2155848.5279999999</v>
      </c>
      <c r="AW129" s="1341">
        <f t="shared" si="260"/>
        <v>269991632.37600005</v>
      </c>
      <c r="AX129" s="1341">
        <f t="shared" si="146"/>
        <v>273611355.91904646</v>
      </c>
      <c r="AY129" s="1341">
        <f t="shared" si="147"/>
        <v>3619723.5430464</v>
      </c>
      <c r="AZ129" s="1341">
        <f t="shared" si="246"/>
        <v>0</v>
      </c>
      <c r="BA129" s="1341">
        <f t="shared" si="246"/>
        <v>1602941.6</v>
      </c>
      <c r="BB129" s="1341">
        <f t="shared" si="246"/>
        <v>0</v>
      </c>
      <c r="BC129" s="1341">
        <f t="shared" si="246"/>
        <v>2559277.9439999997</v>
      </c>
      <c r="BD129" s="1341">
        <f t="shared" si="259"/>
        <v>310888184.04000002</v>
      </c>
      <c r="BE129" s="1341">
        <f t="shared" si="148"/>
        <v>315050403.58399999</v>
      </c>
      <c r="BF129" s="1345">
        <f t="shared" si="149"/>
        <v>4162219.5439999998</v>
      </c>
      <c r="BG129" s="1343">
        <v>326.1451419981388</v>
      </c>
      <c r="BH129" s="1366">
        <v>338.84355238816403</v>
      </c>
      <c r="BI129" s="1366">
        <f>BG129+BH129</f>
        <v>664.98869438630277</v>
      </c>
      <c r="BJ129" s="1366">
        <v>243464.50994578368</v>
      </c>
      <c r="BK129" s="1639">
        <v>403257.79639999999</v>
      </c>
      <c r="BL129" s="1341">
        <f>I129*T129</f>
        <v>0</v>
      </c>
      <c r="BM129" s="1341">
        <f>J129*U129</f>
        <v>836169.11460719991</v>
      </c>
      <c r="BN129" s="1341">
        <f>K129*V129</f>
        <v>0</v>
      </c>
      <c r="BO129" s="1341">
        <f>L129*W129</f>
        <v>1251344.2560000001</v>
      </c>
      <c r="BP129" s="1341">
        <f>M129*X129</f>
        <v>154333956.81600001</v>
      </c>
      <c r="BQ129" s="1341">
        <f>BL129+BM129+BN129+BO129+BP129</f>
        <v>156421470.18660721</v>
      </c>
      <c r="BR129" s="1341">
        <f>BQ129-BP129</f>
        <v>2087513.3706071973</v>
      </c>
      <c r="BS129" s="1341">
        <f>O129*AA129</f>
        <v>0</v>
      </c>
      <c r="BT129" s="1341">
        <f>P129*AB129</f>
        <v>687337.3</v>
      </c>
      <c r="BU129" s="1341">
        <f t="shared" si="257"/>
        <v>0</v>
      </c>
      <c r="BV129" s="1341">
        <f>R129*W129</f>
        <v>1485511.4879999999</v>
      </c>
      <c r="BW129" s="1341">
        <f>S129*AE129</f>
        <v>133176737.40000001</v>
      </c>
      <c r="BX129" s="1341">
        <f>BS129+BT129+BU129+BV129+BW129</f>
        <v>135349586.18799999</v>
      </c>
      <c r="BY129" s="1341">
        <f>BX129-BW129</f>
        <v>2172848.7879999876</v>
      </c>
      <c r="BZ129" s="1349">
        <f t="shared" si="155"/>
        <v>1523506.4146071998</v>
      </c>
      <c r="CA129" s="1349">
        <f t="shared" si="155"/>
        <v>0</v>
      </c>
      <c r="CB129" s="1349">
        <f t="shared" si="208"/>
        <v>1523506.4146071998</v>
      </c>
      <c r="CC129" s="1351">
        <f t="shared" si="156"/>
        <v>2410.6114155177211</v>
      </c>
      <c r="CD129" s="1351" t="e">
        <f t="shared" si="156"/>
        <v>#DIV/0!</v>
      </c>
      <c r="CE129" s="1351">
        <f t="shared" si="178"/>
        <v>2410.6114155177211</v>
      </c>
      <c r="CF129" s="1349">
        <f t="shared" si="158"/>
        <v>2410.6114155177211</v>
      </c>
      <c r="CG129" s="1367">
        <f t="shared" si="159"/>
        <v>2321491.5479999995</v>
      </c>
      <c r="CH129" s="1367">
        <f t="shared" si="179"/>
        <v>3673.2461202531636</v>
      </c>
      <c r="CI129" s="1349"/>
      <c r="CJ129" s="1341">
        <f t="shared" si="211"/>
        <v>2942.7659639999997</v>
      </c>
      <c r="CK129" s="1341">
        <f t="shared" si="160"/>
        <v>2167.7164919999996</v>
      </c>
      <c r="CL129" s="1341">
        <f t="shared" si="194"/>
        <v>5110.4824559999997</v>
      </c>
      <c r="CM129" s="1341">
        <f t="shared" si="180"/>
        <v>5110.4824559999997</v>
      </c>
      <c r="CN129" s="1341">
        <f t="shared" si="181"/>
        <v>0</v>
      </c>
      <c r="CO129" s="1341">
        <f t="shared" si="161"/>
        <v>4646602.26</v>
      </c>
      <c r="CP129" s="1341">
        <f t="shared" si="162"/>
        <v>3619723.5430464</v>
      </c>
      <c r="CQ129" s="1341">
        <f t="shared" si="163"/>
        <v>3619723.5430464</v>
      </c>
      <c r="CR129" s="1341">
        <f t="shared" si="164"/>
        <v>2087513.3706072001</v>
      </c>
      <c r="CS129" s="1341">
        <f t="shared" si="165"/>
        <v>4162219.5439999998</v>
      </c>
      <c r="CT129" s="1341">
        <f t="shared" si="166"/>
        <v>4162219.5439999998</v>
      </c>
      <c r="CU129" s="1341">
        <f t="shared" si="167"/>
        <v>1761103.7559999998</v>
      </c>
      <c r="CV129" s="1341">
        <f t="shared" si="182"/>
        <v>7781943.0870463997</v>
      </c>
      <c r="CW129" s="1350">
        <f t="shared" si="183"/>
        <v>6146.8744763399682</v>
      </c>
      <c r="CX129" s="1341">
        <f t="shared" si="168"/>
        <v>1463875.0150463998</v>
      </c>
      <c r="CY129" s="1341">
        <f t="shared" si="169"/>
        <v>1602941.6</v>
      </c>
      <c r="CZ129" s="1341"/>
      <c r="DA129" s="1341">
        <f t="shared" si="170"/>
        <v>4304896.2719999999</v>
      </c>
      <c r="DB129" s="1341">
        <f t="shared" si="171"/>
        <v>5110482.4559999993</v>
      </c>
      <c r="DC129" s="27"/>
      <c r="DD129" s="40">
        <f>N129/J129*100</f>
        <v>174.27748173700027</v>
      </c>
      <c r="DE129" s="27"/>
      <c r="DF129" s="27"/>
      <c r="DG129" s="27"/>
      <c r="DH129" s="1487">
        <f>AQ129</f>
        <v>1266</v>
      </c>
      <c r="DI129" s="1487">
        <f>AJ129</f>
        <v>632</v>
      </c>
      <c r="DJ129" s="1487">
        <f t="shared" si="195"/>
        <v>634</v>
      </c>
      <c r="DK129" s="1349"/>
      <c r="DL129" s="1352">
        <f t="shared" si="172"/>
        <v>154333.95681600002</v>
      </c>
      <c r="DM129" s="1352">
        <f t="shared" si="173"/>
        <v>133176.73740000001</v>
      </c>
      <c r="DN129" s="1352">
        <f t="shared" si="174"/>
        <v>287510.69421600003</v>
      </c>
      <c r="DO129" s="6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</row>
    <row r="130" spans="1:142" s="50" customFormat="1" ht="84.75" hidden="1" customHeight="1">
      <c r="A130" s="6">
        <f t="shared" si="185"/>
        <v>117</v>
      </c>
      <c r="B130" s="1782" t="s">
        <v>47</v>
      </c>
      <c r="C130" s="1782" t="s">
        <v>56</v>
      </c>
      <c r="D130" s="1782" t="s">
        <v>154</v>
      </c>
      <c r="E130" s="1330">
        <v>7729314745</v>
      </c>
      <c r="F130" s="1330" t="s">
        <v>8</v>
      </c>
      <c r="G130" s="1792" t="s">
        <v>1037</v>
      </c>
      <c r="H130" s="1783">
        <v>4187.424</v>
      </c>
      <c r="I130" s="1708">
        <v>4187.424</v>
      </c>
      <c r="J130" s="1708"/>
      <c r="K130" s="1708"/>
      <c r="L130" s="1708"/>
      <c r="M130" s="1784"/>
      <c r="N130" s="1763">
        <f>3664*1.2</f>
        <v>4396.8</v>
      </c>
      <c r="O130" s="1708">
        <f>3664*1.2</f>
        <v>4396.8</v>
      </c>
      <c r="P130" s="1708"/>
      <c r="Q130" s="1708"/>
      <c r="R130" s="1708"/>
      <c r="S130" s="1784"/>
      <c r="T130" s="1448">
        <v>537.89799274946938</v>
      </c>
      <c r="U130" s="1338"/>
      <c r="V130" s="1338"/>
      <c r="W130" s="1338"/>
      <c r="X130" s="1338"/>
      <c r="Y130" s="1338"/>
      <c r="Z130" s="1416">
        <f t="shared" si="175"/>
        <v>537.89799274946938</v>
      </c>
      <c r="AA130" s="1337">
        <v>358.79541816631297</v>
      </c>
      <c r="AB130" s="1338"/>
      <c r="AC130" s="1338"/>
      <c r="AD130" s="1334"/>
      <c r="AE130" s="1334"/>
      <c r="AF130" s="1334"/>
      <c r="AG130" s="1395">
        <f t="shared" si="176"/>
        <v>358.79541816631297</v>
      </c>
      <c r="AH130" s="1391">
        <f t="shared" si="200"/>
        <v>896.69341091578235</v>
      </c>
      <c r="AI130" s="1334">
        <f t="shared" si="210"/>
        <v>896.69341091578235</v>
      </c>
      <c r="AJ130" s="1334">
        <f t="shared" si="210"/>
        <v>0</v>
      </c>
      <c r="AK130" s="1334">
        <f t="shared" si="210"/>
        <v>0</v>
      </c>
      <c r="AL130" s="1334">
        <f t="shared" si="210"/>
        <v>0</v>
      </c>
      <c r="AM130" s="1334">
        <f t="shared" si="210"/>
        <v>0</v>
      </c>
      <c r="AN130" s="1338"/>
      <c r="AO130" s="1334">
        <f t="shared" si="228"/>
        <v>896.69341091578235</v>
      </c>
      <c r="AP130" s="1334">
        <f t="shared" si="229"/>
        <v>896.69341091578235</v>
      </c>
      <c r="AQ130" s="1479">
        <f t="shared" si="145"/>
        <v>896.69341091578235</v>
      </c>
      <c r="AR130" s="1417">
        <f t="shared" si="177"/>
        <v>0</v>
      </c>
      <c r="AS130" s="1333">
        <f t="shared" si="260"/>
        <v>3754835.5095106089</v>
      </c>
      <c r="AT130" s="1334">
        <f t="shared" si="260"/>
        <v>0</v>
      </c>
      <c r="AU130" s="1334">
        <f t="shared" si="260"/>
        <v>0</v>
      </c>
      <c r="AV130" s="1334">
        <f t="shared" si="260"/>
        <v>0</v>
      </c>
      <c r="AW130" s="1334">
        <f t="shared" si="260"/>
        <v>0</v>
      </c>
      <c r="AX130" s="1334">
        <f t="shared" si="146"/>
        <v>3754835.5095106089</v>
      </c>
      <c r="AY130" s="1334">
        <f t="shared" si="147"/>
        <v>3754835.5095106089</v>
      </c>
      <c r="AZ130" s="1334">
        <f t="shared" si="246"/>
        <v>3942581.5891145119</v>
      </c>
      <c r="BA130" s="1334">
        <f t="shared" si="246"/>
        <v>0</v>
      </c>
      <c r="BB130" s="1334">
        <f t="shared" si="246"/>
        <v>0</v>
      </c>
      <c r="BC130" s="1334">
        <f t="shared" si="246"/>
        <v>0</v>
      </c>
      <c r="BD130" s="1334">
        <f t="shared" si="259"/>
        <v>0</v>
      </c>
      <c r="BE130" s="1334">
        <f t="shared" si="148"/>
        <v>3942581.5891145119</v>
      </c>
      <c r="BF130" s="1396">
        <f t="shared" si="149"/>
        <v>3942581.5891145119</v>
      </c>
      <c r="BG130" s="1748">
        <f t="shared" ref="BG130" si="261">(H130-J130)/1.2*U130/1000+(H130-K130)/1.2*V130/1000</f>
        <v>0</v>
      </c>
      <c r="BH130" s="1749">
        <f t="shared" ref="BH130" si="262">(O130-P130)*AB130/1000/1.2+(O130-Q130)/1.2*AC130/1000</f>
        <v>0</v>
      </c>
      <c r="BI130" s="1750">
        <f t="shared" ref="BI130:BI142" si="263">BG130+BH130</f>
        <v>0</v>
      </c>
      <c r="BJ130" s="1419">
        <v>49563.717546628141</v>
      </c>
      <c r="BK130" s="1642"/>
      <c r="BL130" s="1334">
        <f t="shared" si="256"/>
        <v>2252406.964390954</v>
      </c>
      <c r="BM130" s="1334">
        <f t="shared" si="256"/>
        <v>0</v>
      </c>
      <c r="BN130" s="1334">
        <f t="shared" si="256"/>
        <v>0</v>
      </c>
      <c r="BO130" s="1334">
        <f t="shared" si="256"/>
        <v>0</v>
      </c>
      <c r="BP130" s="1334">
        <f t="shared" si="256"/>
        <v>0</v>
      </c>
      <c r="BQ130" s="1334">
        <f t="shared" si="203"/>
        <v>2252406.964390954</v>
      </c>
      <c r="BR130" s="1334">
        <f t="shared" si="204"/>
        <v>2252406.964390954</v>
      </c>
      <c r="BS130" s="1334">
        <f t="shared" si="257"/>
        <v>1577551.6945936449</v>
      </c>
      <c r="BT130" s="1334">
        <f t="shared" si="257"/>
        <v>0</v>
      </c>
      <c r="BU130" s="1334">
        <f t="shared" si="257"/>
        <v>0</v>
      </c>
      <c r="BV130" s="1334">
        <f t="shared" si="205"/>
        <v>0</v>
      </c>
      <c r="BW130" s="1334">
        <f t="shared" si="157"/>
        <v>0</v>
      </c>
      <c r="BX130" s="1334">
        <f t="shared" si="206"/>
        <v>1577551.6945936449</v>
      </c>
      <c r="BY130" s="1334">
        <f t="shared" si="207"/>
        <v>1577551.6945936449</v>
      </c>
      <c r="BZ130" s="1389">
        <f t="shared" si="155"/>
        <v>0</v>
      </c>
      <c r="CA130" s="1389">
        <f t="shared" si="155"/>
        <v>0</v>
      </c>
      <c r="CB130" s="1389">
        <f t="shared" si="208"/>
        <v>0</v>
      </c>
      <c r="CC130" s="1420" t="e">
        <f t="shared" si="156"/>
        <v>#DIV/0!</v>
      </c>
      <c r="CD130" s="1420" t="e">
        <f t="shared" si="156"/>
        <v>#DIV/0!</v>
      </c>
      <c r="CE130" s="1420" t="e">
        <f t="shared" si="178"/>
        <v>#DIV/0!</v>
      </c>
      <c r="CF130" s="1389" t="e">
        <f t="shared" si="158"/>
        <v>#DIV/0!</v>
      </c>
      <c r="CG130" s="1421">
        <f t="shared" si="159"/>
        <v>0</v>
      </c>
      <c r="CH130" s="1421" t="e">
        <f t="shared" si="179"/>
        <v>#DIV/0!</v>
      </c>
      <c r="CI130" s="1389"/>
      <c r="CJ130" s="1338">
        <f t="shared" si="211"/>
        <v>2365.0298945208669</v>
      </c>
      <c r="CK130" s="1338">
        <f t="shared" si="160"/>
        <v>1577.5516945936449</v>
      </c>
      <c r="CL130" s="1338">
        <f>CJ130+CK130</f>
        <v>3942.5815891145121</v>
      </c>
      <c r="CM130" s="1341">
        <f t="shared" si="180"/>
        <v>3942.5815891145116</v>
      </c>
      <c r="CN130" s="1341">
        <f t="shared" si="181"/>
        <v>0</v>
      </c>
      <c r="CO130" s="1334">
        <f t="shared" si="161"/>
        <v>3829958.6589845987</v>
      </c>
      <c r="CP130" s="1334">
        <f t="shared" si="162"/>
        <v>3754835.5095106089</v>
      </c>
      <c r="CQ130" s="1334">
        <f t="shared" si="163"/>
        <v>3754835.5095106089</v>
      </c>
      <c r="CR130" s="1334">
        <f t="shared" si="164"/>
        <v>2252406.964390954</v>
      </c>
      <c r="CS130" s="1334">
        <f t="shared" si="165"/>
        <v>3942581.5891145119</v>
      </c>
      <c r="CT130" s="1334">
        <f t="shared" si="166"/>
        <v>3942581.5891145119</v>
      </c>
      <c r="CU130" s="1334">
        <f t="shared" si="167"/>
        <v>1577551.6945936449</v>
      </c>
      <c r="CV130" s="1334">
        <f t="shared" si="182"/>
        <v>7697417.0986251207</v>
      </c>
      <c r="CW130" s="1422">
        <f t="shared" si="183"/>
        <v>8584.2240000000002</v>
      </c>
      <c r="CX130" s="1334">
        <f t="shared" si="168"/>
        <v>0</v>
      </c>
      <c r="CY130" s="1334">
        <f t="shared" si="169"/>
        <v>0</v>
      </c>
      <c r="CZ130" s="1334"/>
      <c r="DA130" s="1334">
        <f t="shared" si="170"/>
        <v>3754835.5095106089</v>
      </c>
      <c r="DB130" s="1334">
        <f t="shared" si="171"/>
        <v>3942581.5891145119</v>
      </c>
      <c r="DC130" s="1223"/>
      <c r="DD130" s="1224" t="e">
        <f t="shared" si="184"/>
        <v>#DIV/0!</v>
      </c>
      <c r="DE130" s="1223"/>
      <c r="DF130" s="1223"/>
      <c r="DG130" s="1223"/>
      <c r="DH130" s="1494">
        <v>943.69068600000003</v>
      </c>
      <c r="DI130" s="1494">
        <v>0</v>
      </c>
      <c r="DJ130" s="1494">
        <f t="shared" si="195"/>
        <v>943.69068600000003</v>
      </c>
      <c r="DK130" s="1389"/>
      <c r="DL130" s="1419">
        <f t="shared" si="172"/>
        <v>0</v>
      </c>
      <c r="DM130" s="1419">
        <f t="shared" si="173"/>
        <v>0</v>
      </c>
      <c r="DN130" s="1419">
        <f t="shared" si="174"/>
        <v>0</v>
      </c>
      <c r="DO130" s="819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</row>
    <row r="131" spans="1:142" s="50" customFormat="1" ht="83.25" hidden="1" customHeight="1">
      <c r="A131" s="6">
        <f t="shared" si="185"/>
        <v>118</v>
      </c>
      <c r="B131" s="1330" t="s">
        <v>47</v>
      </c>
      <c r="C131" s="1330" t="s">
        <v>56</v>
      </c>
      <c r="D131" s="1650" t="s">
        <v>137</v>
      </c>
      <c r="E131" s="1330">
        <v>4632001454</v>
      </c>
      <c r="F131" s="1330" t="s">
        <v>8</v>
      </c>
      <c r="G131" s="1332" t="s">
        <v>1011</v>
      </c>
      <c r="H131" s="1369">
        <v>3966.6</v>
      </c>
      <c r="I131" s="1335">
        <v>0</v>
      </c>
      <c r="J131" s="1335">
        <v>0</v>
      </c>
      <c r="K131" s="1335">
        <v>0</v>
      </c>
      <c r="L131" s="1335">
        <v>3966.6</v>
      </c>
      <c r="M131" s="1390">
        <v>0</v>
      </c>
      <c r="N131" s="1403">
        <v>4459.1000000000004</v>
      </c>
      <c r="O131" s="1335">
        <v>0</v>
      </c>
      <c r="P131" s="1335">
        <v>0</v>
      </c>
      <c r="Q131" s="1335">
        <v>0</v>
      </c>
      <c r="R131" s="1335">
        <v>4459.1000000000004</v>
      </c>
      <c r="S131" s="1390">
        <v>0</v>
      </c>
      <c r="T131" s="1381">
        <v>0</v>
      </c>
      <c r="U131" s="1375">
        <v>0</v>
      </c>
      <c r="V131" s="1375">
        <v>0</v>
      </c>
      <c r="W131" s="1374">
        <v>472</v>
      </c>
      <c r="X131" s="1375">
        <v>0</v>
      </c>
      <c r="Y131" s="1374">
        <v>1826</v>
      </c>
      <c r="Z131" s="1393">
        <f t="shared" si="175"/>
        <v>472</v>
      </c>
      <c r="AA131" s="1383">
        <v>0</v>
      </c>
      <c r="AB131" s="1375">
        <v>0</v>
      </c>
      <c r="AC131" s="1375">
        <v>0</v>
      </c>
      <c r="AD131" s="1374">
        <v>275</v>
      </c>
      <c r="AE131" s="1375">
        <v>0</v>
      </c>
      <c r="AF131" s="1374">
        <v>1494</v>
      </c>
      <c r="AG131" s="1395">
        <f t="shared" si="176"/>
        <v>275</v>
      </c>
      <c r="AH131" s="1391">
        <f t="shared" si="200"/>
        <v>747</v>
      </c>
      <c r="AI131" s="1334">
        <f t="shared" si="210"/>
        <v>0</v>
      </c>
      <c r="AJ131" s="1334">
        <f t="shared" si="210"/>
        <v>0</v>
      </c>
      <c r="AK131" s="1334">
        <f t="shared" si="210"/>
        <v>0</v>
      </c>
      <c r="AL131" s="1415">
        <f t="shared" si="210"/>
        <v>747</v>
      </c>
      <c r="AM131" s="1334">
        <f t="shared" si="210"/>
        <v>0</v>
      </c>
      <c r="AN131" s="1338">
        <f t="shared" si="210"/>
        <v>3320</v>
      </c>
      <c r="AO131" s="1415">
        <f>SUM(AI131:AN131)</f>
        <v>4067</v>
      </c>
      <c r="AP131" s="1415">
        <f t="shared" si="229"/>
        <v>747</v>
      </c>
      <c r="AQ131" s="1480">
        <f t="shared" si="145"/>
        <v>747</v>
      </c>
      <c r="AR131" s="1417">
        <f t="shared" si="177"/>
        <v>0</v>
      </c>
      <c r="AS131" s="1333">
        <f t="shared" si="260"/>
        <v>0</v>
      </c>
      <c r="AT131" s="1334">
        <f t="shared" si="260"/>
        <v>0</v>
      </c>
      <c r="AU131" s="1334">
        <f t="shared" si="260"/>
        <v>0</v>
      </c>
      <c r="AV131" s="1334">
        <f t="shared" si="260"/>
        <v>2963050.1999999997</v>
      </c>
      <c r="AW131" s="1334">
        <f t="shared" si="260"/>
        <v>0</v>
      </c>
      <c r="AX131" s="1334">
        <f t="shared" si="146"/>
        <v>2963050.1999999997</v>
      </c>
      <c r="AY131" s="1334">
        <f t="shared" si="147"/>
        <v>2963050.1999999997</v>
      </c>
      <c r="AZ131" s="1334">
        <f t="shared" si="246"/>
        <v>0</v>
      </c>
      <c r="BA131" s="1334">
        <f t="shared" si="246"/>
        <v>0</v>
      </c>
      <c r="BB131" s="1334">
        <f t="shared" si="246"/>
        <v>0</v>
      </c>
      <c r="BC131" s="1334">
        <f t="shared" si="246"/>
        <v>3330947.7</v>
      </c>
      <c r="BD131" s="1334">
        <f t="shared" si="259"/>
        <v>0</v>
      </c>
      <c r="BE131" s="1334">
        <f t="shared" si="148"/>
        <v>3330947.7</v>
      </c>
      <c r="BF131" s="1396">
        <f t="shared" si="149"/>
        <v>3330947.7</v>
      </c>
      <c r="BG131" s="1418">
        <v>0</v>
      </c>
      <c r="BH131" s="1334">
        <v>0</v>
      </c>
      <c r="BI131" s="1334">
        <f t="shared" si="263"/>
        <v>0</v>
      </c>
      <c r="BJ131" s="1338">
        <v>14169.5</v>
      </c>
      <c r="BK131" s="1644">
        <v>14946.3</v>
      </c>
      <c r="BL131" s="1341">
        <f t="shared" si="256"/>
        <v>0</v>
      </c>
      <c r="BM131" s="1341">
        <f t="shared" si="256"/>
        <v>0</v>
      </c>
      <c r="BN131" s="1341">
        <f t="shared" si="256"/>
        <v>0</v>
      </c>
      <c r="BO131" s="1341">
        <f t="shared" si="256"/>
        <v>1872235.2</v>
      </c>
      <c r="BP131" s="1341">
        <f t="shared" si="256"/>
        <v>0</v>
      </c>
      <c r="BQ131" s="1341">
        <f t="shared" si="203"/>
        <v>1872235.2</v>
      </c>
      <c r="BR131" s="1341">
        <f t="shared" si="204"/>
        <v>1872235.2</v>
      </c>
      <c r="BS131" s="1341">
        <f t="shared" si="257"/>
        <v>0</v>
      </c>
      <c r="BT131" s="1341">
        <f t="shared" si="257"/>
        <v>0</v>
      </c>
      <c r="BU131" s="1341">
        <f t="shared" si="257"/>
        <v>0</v>
      </c>
      <c r="BV131" s="1341">
        <f t="shared" si="205"/>
        <v>2104695.2000000002</v>
      </c>
      <c r="BW131" s="1341">
        <f t="shared" si="157"/>
        <v>0</v>
      </c>
      <c r="BX131" s="1341">
        <f t="shared" si="206"/>
        <v>2104695.2000000002</v>
      </c>
      <c r="BY131" s="1341">
        <f t="shared" si="207"/>
        <v>2104695.2000000002</v>
      </c>
      <c r="BZ131" s="1349">
        <f t="shared" si="155"/>
        <v>0</v>
      </c>
      <c r="CA131" s="1349">
        <f t="shared" si="155"/>
        <v>0</v>
      </c>
      <c r="CB131" s="1349">
        <f t="shared" si="208"/>
        <v>0</v>
      </c>
      <c r="CC131" s="1351" t="e">
        <f t="shared" si="156"/>
        <v>#DIV/0!</v>
      </c>
      <c r="CD131" s="1351" t="e">
        <f t="shared" si="156"/>
        <v>#DIV/0!</v>
      </c>
      <c r="CE131" s="1351" t="e">
        <f t="shared" si="178"/>
        <v>#DIV/0!</v>
      </c>
      <c r="CF131" s="1349" t="e">
        <f t="shared" si="158"/>
        <v>#DIV/0!</v>
      </c>
      <c r="CG131" s="1367">
        <f t="shared" si="159"/>
        <v>0</v>
      </c>
      <c r="CH131" s="1367" t="e">
        <f t="shared" si="179"/>
        <v>#DIV/0!</v>
      </c>
      <c r="CI131" s="1423"/>
      <c r="CJ131" s="1341">
        <f t="shared" si="211"/>
        <v>2104.6952000000001</v>
      </c>
      <c r="CK131" s="1341">
        <f t="shared" si="160"/>
        <v>1226.2525000000001</v>
      </c>
      <c r="CL131" s="1341">
        <f t="shared" si="194"/>
        <v>3330.9477000000002</v>
      </c>
      <c r="CM131" s="1341">
        <f t="shared" si="180"/>
        <v>3330.9477000000002</v>
      </c>
      <c r="CN131" s="1341">
        <f t="shared" si="181"/>
        <v>0</v>
      </c>
      <c r="CO131" s="1341">
        <f t="shared" si="161"/>
        <v>3098487.7</v>
      </c>
      <c r="CP131" s="1341">
        <f t="shared" si="162"/>
        <v>2963050.1999999997</v>
      </c>
      <c r="CQ131" s="1341">
        <f t="shared" si="163"/>
        <v>2963050.1999999997</v>
      </c>
      <c r="CR131" s="1341">
        <f t="shared" si="164"/>
        <v>1872235.2</v>
      </c>
      <c r="CS131" s="1341">
        <f t="shared" si="165"/>
        <v>3330947.7</v>
      </c>
      <c r="CT131" s="1341">
        <f t="shared" si="166"/>
        <v>3330947.7</v>
      </c>
      <c r="CU131" s="1341">
        <f t="shared" si="167"/>
        <v>1226252.5</v>
      </c>
      <c r="CV131" s="1341">
        <f t="shared" si="182"/>
        <v>6293997.9000000004</v>
      </c>
      <c r="CW131" s="1350">
        <f t="shared" si="183"/>
        <v>8425.7000000000007</v>
      </c>
      <c r="CX131" s="1341">
        <f t="shared" si="168"/>
        <v>0</v>
      </c>
      <c r="CY131" s="1341">
        <f t="shared" si="169"/>
        <v>0</v>
      </c>
      <c r="CZ131" s="1341"/>
      <c r="DA131" s="1341">
        <f t="shared" si="170"/>
        <v>2963050.1999999997</v>
      </c>
      <c r="DB131" s="1341">
        <f t="shared" si="171"/>
        <v>3330947.7</v>
      </c>
      <c r="DC131" s="1575"/>
      <c r="DD131" s="40" t="e">
        <f t="shared" si="184"/>
        <v>#DIV/0!</v>
      </c>
      <c r="DE131" s="1575"/>
      <c r="DF131" s="1575"/>
      <c r="DG131" s="1575"/>
      <c r="DH131" s="1487">
        <v>747</v>
      </c>
      <c r="DI131" s="1487">
        <v>0</v>
      </c>
      <c r="DJ131" s="1487">
        <f t="shared" si="195"/>
        <v>747</v>
      </c>
      <c r="DK131" s="1423"/>
      <c r="DL131" s="1352">
        <f t="shared" si="172"/>
        <v>0</v>
      </c>
      <c r="DM131" s="1352">
        <f t="shared" si="173"/>
        <v>0</v>
      </c>
      <c r="DN131" s="1352">
        <f t="shared" si="174"/>
        <v>0</v>
      </c>
      <c r="DO131" s="81"/>
      <c r="DP131" s="81"/>
      <c r="DQ131" s="81"/>
      <c r="DR131" s="81"/>
      <c r="DS131" s="81"/>
      <c r="DT131" s="81"/>
      <c r="DU131" s="81"/>
      <c r="DV131" s="81"/>
      <c r="DW131" s="81"/>
      <c r="DX131" s="81"/>
      <c r="DY131" s="81"/>
      <c r="DZ131" s="81"/>
      <c r="EA131" s="81"/>
      <c r="EB131" s="81"/>
      <c r="EC131" s="81"/>
      <c r="ED131" s="81"/>
      <c r="EE131" s="81"/>
      <c r="EF131" s="81"/>
      <c r="EG131" s="81"/>
      <c r="EH131" s="81"/>
      <c r="EI131" s="81"/>
      <c r="EJ131" s="81"/>
      <c r="EK131" s="81"/>
      <c r="EL131" s="81"/>
    </row>
    <row r="132" spans="1:142" s="50" customFormat="1" ht="83.25" hidden="1" customHeight="1">
      <c r="A132" s="6">
        <f t="shared" si="185"/>
        <v>119</v>
      </c>
      <c r="B132" s="1330" t="s">
        <v>47</v>
      </c>
      <c r="C132" s="1330" t="s">
        <v>56</v>
      </c>
      <c r="D132" s="1330" t="s">
        <v>49</v>
      </c>
      <c r="E132" s="1330">
        <v>4632033706</v>
      </c>
      <c r="F132" s="1330" t="s">
        <v>184</v>
      </c>
      <c r="G132" s="1332" t="s">
        <v>1026</v>
      </c>
      <c r="H132" s="1369">
        <v>200.21</v>
      </c>
      <c r="I132" s="1335"/>
      <c r="J132" s="1335"/>
      <c r="K132" s="1335"/>
      <c r="L132" s="1335">
        <v>200.21</v>
      </c>
      <c r="M132" s="1390"/>
      <c r="N132" s="1428">
        <f>185.13*1.2</f>
        <v>222.15599999999998</v>
      </c>
      <c r="O132" s="1339"/>
      <c r="P132" s="1339"/>
      <c r="Q132" s="1339"/>
      <c r="R132" s="1363">
        <v>222.15599999999998</v>
      </c>
      <c r="S132" s="1336"/>
      <c r="T132" s="1347"/>
      <c r="U132" s="1341"/>
      <c r="V132" s="1341"/>
      <c r="W132" s="1431"/>
      <c r="X132" s="1341"/>
      <c r="Y132" s="1341"/>
      <c r="Z132" s="1342"/>
      <c r="AA132" s="1348"/>
      <c r="AB132" s="1341"/>
      <c r="AC132" s="1341"/>
      <c r="AD132" s="1431"/>
      <c r="AE132" s="1341"/>
      <c r="AF132" s="1341"/>
      <c r="AG132" s="1344"/>
      <c r="AH132" s="1340">
        <f t="shared" si="200"/>
        <v>0</v>
      </c>
      <c r="AI132" s="1341">
        <f t="shared" si="210"/>
        <v>0</v>
      </c>
      <c r="AJ132" s="1341">
        <f t="shared" si="210"/>
        <v>0</v>
      </c>
      <c r="AK132" s="1341">
        <f t="shared" si="210"/>
        <v>0</v>
      </c>
      <c r="AL132" s="1341">
        <f t="shared" si="210"/>
        <v>0</v>
      </c>
      <c r="AM132" s="1341">
        <f t="shared" si="210"/>
        <v>0</v>
      </c>
      <c r="AN132" s="1341"/>
      <c r="AO132" s="1341">
        <f t="shared" si="228"/>
        <v>0</v>
      </c>
      <c r="AP132" s="1341">
        <f t="shared" si="229"/>
        <v>0</v>
      </c>
      <c r="AQ132" s="1345">
        <f t="shared" si="145"/>
        <v>0</v>
      </c>
      <c r="AR132" s="1346">
        <f t="shared" si="177"/>
        <v>0</v>
      </c>
      <c r="AS132" s="1347">
        <f t="shared" si="260"/>
        <v>0</v>
      </c>
      <c r="AT132" s="1341">
        <f t="shared" si="260"/>
        <v>0</v>
      </c>
      <c r="AU132" s="1341">
        <f t="shared" si="260"/>
        <v>0</v>
      </c>
      <c r="AV132" s="1341">
        <f t="shared" si="260"/>
        <v>0</v>
      </c>
      <c r="AW132" s="1341">
        <f t="shared" si="260"/>
        <v>0</v>
      </c>
      <c r="AX132" s="1341">
        <f t="shared" si="146"/>
        <v>0</v>
      </c>
      <c r="AY132" s="1341">
        <f t="shared" si="147"/>
        <v>0</v>
      </c>
      <c r="AZ132" s="1341">
        <f t="shared" si="246"/>
        <v>0</v>
      </c>
      <c r="BA132" s="1341">
        <f t="shared" si="246"/>
        <v>0</v>
      </c>
      <c r="BB132" s="1341">
        <f t="shared" si="246"/>
        <v>0</v>
      </c>
      <c r="BC132" s="1341">
        <f t="shared" si="246"/>
        <v>0</v>
      </c>
      <c r="BD132" s="1341">
        <f t="shared" si="259"/>
        <v>0</v>
      </c>
      <c r="BE132" s="1341">
        <f t="shared" si="148"/>
        <v>0</v>
      </c>
      <c r="BF132" s="1345">
        <f t="shared" si="149"/>
        <v>0</v>
      </c>
      <c r="BG132" s="1348"/>
      <c r="BH132" s="1341"/>
      <c r="BI132" s="1341">
        <f t="shared" si="263"/>
        <v>0</v>
      </c>
      <c r="BJ132" s="1363">
        <v>33088.28</v>
      </c>
      <c r="BK132" s="1647">
        <v>38954.61</v>
      </c>
      <c r="BL132" s="1341">
        <f t="shared" ref="BL132:BP142" si="264">I132*T132</f>
        <v>0</v>
      </c>
      <c r="BM132" s="1341">
        <f t="shared" si="264"/>
        <v>0</v>
      </c>
      <c r="BN132" s="1341">
        <f t="shared" si="264"/>
        <v>0</v>
      </c>
      <c r="BO132" s="1341">
        <f t="shared" si="264"/>
        <v>0</v>
      </c>
      <c r="BP132" s="1341">
        <v>0</v>
      </c>
      <c r="BQ132" s="1341">
        <f t="shared" si="203"/>
        <v>0</v>
      </c>
      <c r="BR132" s="1341">
        <f t="shared" si="204"/>
        <v>0</v>
      </c>
      <c r="BS132" s="1341">
        <f t="shared" si="257"/>
        <v>0</v>
      </c>
      <c r="BT132" s="1341">
        <f t="shared" si="257"/>
        <v>0</v>
      </c>
      <c r="BU132" s="1341">
        <f t="shared" si="257"/>
        <v>0</v>
      </c>
      <c r="BV132" s="1341">
        <f t="shared" si="205"/>
        <v>0</v>
      </c>
      <c r="BW132" s="1341">
        <v>0</v>
      </c>
      <c r="BX132" s="1341">
        <f t="shared" si="206"/>
        <v>0</v>
      </c>
      <c r="BY132" s="1341">
        <f t="shared" si="207"/>
        <v>0</v>
      </c>
      <c r="BZ132" s="1349">
        <f t="shared" si="155"/>
        <v>0</v>
      </c>
      <c r="CA132" s="1349">
        <f t="shared" si="155"/>
        <v>0</v>
      </c>
      <c r="CB132" s="1349">
        <f t="shared" si="208"/>
        <v>0</v>
      </c>
      <c r="CC132" s="1351" t="e">
        <f t="shared" si="156"/>
        <v>#DIV/0!</v>
      </c>
      <c r="CD132" s="1351" t="e">
        <f t="shared" si="156"/>
        <v>#DIV/0!</v>
      </c>
      <c r="CE132" s="1351" t="e">
        <f t="shared" si="178"/>
        <v>#DIV/0!</v>
      </c>
      <c r="CF132" s="1349" t="e">
        <f t="shared" si="158"/>
        <v>#DIV/0!</v>
      </c>
      <c r="CG132" s="1367">
        <f t="shared" si="159"/>
        <v>0</v>
      </c>
      <c r="CH132" s="1367" t="e">
        <f t="shared" si="179"/>
        <v>#DIV/0!</v>
      </c>
      <c r="CI132" s="1481"/>
      <c r="CJ132" s="1482">
        <f t="shared" si="211"/>
        <v>0</v>
      </c>
      <c r="CK132" s="1482">
        <f t="shared" si="160"/>
        <v>0</v>
      </c>
      <c r="CL132" s="1483">
        <f>CJ132+CK132</f>
        <v>0</v>
      </c>
      <c r="CM132" s="1484">
        <f t="shared" si="180"/>
        <v>0</v>
      </c>
      <c r="CN132" s="1484">
        <f t="shared" si="181"/>
        <v>0</v>
      </c>
      <c r="CO132" s="1485">
        <f t="shared" si="161"/>
        <v>0</v>
      </c>
      <c r="CP132" s="1485">
        <f t="shared" si="162"/>
        <v>0</v>
      </c>
      <c r="CQ132" s="1485">
        <f t="shared" si="163"/>
        <v>0</v>
      </c>
      <c r="CR132" s="1485">
        <f t="shared" si="164"/>
        <v>0</v>
      </c>
      <c r="CS132" s="1485">
        <f t="shared" si="165"/>
        <v>0</v>
      </c>
      <c r="CT132" s="1485">
        <f t="shared" si="166"/>
        <v>0</v>
      </c>
      <c r="CU132" s="1485">
        <f t="shared" si="167"/>
        <v>0</v>
      </c>
      <c r="CV132" s="1485">
        <f t="shared" si="182"/>
        <v>0</v>
      </c>
      <c r="CW132" s="1526" t="e">
        <f t="shared" si="183"/>
        <v>#DIV/0!</v>
      </c>
      <c r="CX132" s="1485">
        <f t="shared" si="168"/>
        <v>0</v>
      </c>
      <c r="CY132" s="1485">
        <f t="shared" si="169"/>
        <v>0</v>
      </c>
      <c r="CZ132" s="1485"/>
      <c r="DA132" s="1485">
        <f t="shared" si="170"/>
        <v>0</v>
      </c>
      <c r="DB132" s="1485">
        <f t="shared" si="171"/>
        <v>0</v>
      </c>
      <c r="DC132" s="113"/>
      <c r="DD132" s="119" t="e">
        <f t="shared" si="184"/>
        <v>#DIV/0!</v>
      </c>
      <c r="DE132" s="113"/>
      <c r="DF132" s="113"/>
      <c r="DG132" s="113"/>
      <c r="DH132" s="1670">
        <v>190239.08</v>
      </c>
      <c r="DI132" s="1487">
        <v>0</v>
      </c>
      <c r="DJ132" s="1487">
        <f t="shared" si="195"/>
        <v>190239.08</v>
      </c>
      <c r="DK132" s="1481"/>
      <c r="DL132" s="1488">
        <f t="shared" si="172"/>
        <v>0</v>
      </c>
      <c r="DM132" s="1488">
        <f t="shared" si="173"/>
        <v>0</v>
      </c>
      <c r="DN132" s="1488">
        <f t="shared" si="174"/>
        <v>0</v>
      </c>
      <c r="DO132" s="106"/>
    </row>
    <row r="133" spans="1:142" s="50" customFormat="1" ht="83.25" hidden="1" customHeight="1">
      <c r="A133" s="6">
        <f t="shared" si="185"/>
        <v>120</v>
      </c>
      <c r="B133" s="1330" t="s">
        <v>47</v>
      </c>
      <c r="C133" s="1330" t="s">
        <v>56</v>
      </c>
      <c r="D133" s="1650" t="s">
        <v>50</v>
      </c>
      <c r="E133" s="1330">
        <v>4632032678</v>
      </c>
      <c r="F133" s="1330" t="s">
        <v>8</v>
      </c>
      <c r="G133" s="1332" t="s">
        <v>1012</v>
      </c>
      <c r="H133" s="1369">
        <v>2512.6109639158371</v>
      </c>
      <c r="I133" s="1335">
        <v>0</v>
      </c>
      <c r="J133" s="1335">
        <v>0</v>
      </c>
      <c r="K133" s="1335">
        <v>0</v>
      </c>
      <c r="L133" s="1335">
        <v>2512.6109639158371</v>
      </c>
      <c r="M133" s="1390">
        <v>0</v>
      </c>
      <c r="N133" s="1403">
        <v>2662.15</v>
      </c>
      <c r="O133" s="1335">
        <v>0</v>
      </c>
      <c r="P133" s="1335">
        <v>0</v>
      </c>
      <c r="Q133" s="1335">
        <v>0</v>
      </c>
      <c r="R133" s="1335">
        <v>2662.15</v>
      </c>
      <c r="S133" s="1390">
        <v>0</v>
      </c>
      <c r="T133" s="1381">
        <v>0</v>
      </c>
      <c r="U133" s="1375">
        <v>0</v>
      </c>
      <c r="V133" s="1375">
        <v>0</v>
      </c>
      <c r="W133" s="1372">
        <v>7544.35</v>
      </c>
      <c r="X133" s="1375">
        <v>0</v>
      </c>
      <c r="Y133" s="1375">
        <v>0</v>
      </c>
      <c r="Z133" s="1393">
        <f>SUM(T133:W133)</f>
        <v>7544.35</v>
      </c>
      <c r="AA133" s="1383">
        <v>0</v>
      </c>
      <c r="AB133" s="1375">
        <v>0</v>
      </c>
      <c r="AC133" s="1375">
        <v>0</v>
      </c>
      <c r="AD133" s="1372">
        <v>4993.4799999999996</v>
      </c>
      <c r="AE133" s="1375">
        <v>0</v>
      </c>
      <c r="AF133" s="1375">
        <v>0</v>
      </c>
      <c r="AG133" s="1395">
        <f>SUM(AA133:AD133)</f>
        <v>4993.4799999999996</v>
      </c>
      <c r="AH133" s="1391">
        <f t="shared" si="200"/>
        <v>12537.83</v>
      </c>
      <c r="AI133" s="1334">
        <f t="shared" si="210"/>
        <v>0</v>
      </c>
      <c r="AJ133" s="1334">
        <f t="shared" si="210"/>
        <v>0</v>
      </c>
      <c r="AK133" s="1334">
        <f t="shared" si="210"/>
        <v>0</v>
      </c>
      <c r="AL133" s="1338">
        <f t="shared" si="210"/>
        <v>12537.83</v>
      </c>
      <c r="AM133" s="1334">
        <f t="shared" si="210"/>
        <v>0</v>
      </c>
      <c r="AN133" s="1334"/>
      <c r="AO133" s="1415">
        <f t="shared" si="228"/>
        <v>12537.83</v>
      </c>
      <c r="AP133" s="1415">
        <f t="shared" si="229"/>
        <v>12537.83</v>
      </c>
      <c r="AQ133" s="1480">
        <f t="shared" si="145"/>
        <v>12537.83</v>
      </c>
      <c r="AR133" s="1417">
        <f t="shared" si="177"/>
        <v>0</v>
      </c>
      <c r="AS133" s="1333">
        <f t="shared" si="260"/>
        <v>0</v>
      </c>
      <c r="AT133" s="1334">
        <f t="shared" si="260"/>
        <v>0</v>
      </c>
      <c r="AU133" s="1334">
        <f t="shared" si="260"/>
        <v>0</v>
      </c>
      <c r="AV133" s="1334">
        <f t="shared" si="260"/>
        <v>31502689.121712901</v>
      </c>
      <c r="AW133" s="1334">
        <f t="shared" si="260"/>
        <v>0</v>
      </c>
      <c r="AX133" s="1334">
        <f t="shared" si="146"/>
        <v>31502689.121712901</v>
      </c>
      <c r="AY133" s="1334">
        <f t="shared" si="147"/>
        <v>31502689.121712901</v>
      </c>
      <c r="AZ133" s="1334">
        <f t="shared" si="246"/>
        <v>0</v>
      </c>
      <c r="BA133" s="1334">
        <f t="shared" si="246"/>
        <v>0</v>
      </c>
      <c r="BB133" s="1334">
        <f t="shared" si="246"/>
        <v>0</v>
      </c>
      <c r="BC133" s="1334">
        <f t="shared" si="246"/>
        <v>33377584.134500001</v>
      </c>
      <c r="BD133" s="1334">
        <f t="shared" si="259"/>
        <v>0</v>
      </c>
      <c r="BE133" s="1334">
        <f t="shared" si="148"/>
        <v>33377584.134500001</v>
      </c>
      <c r="BF133" s="1396">
        <f t="shared" si="149"/>
        <v>33377584.134500001</v>
      </c>
      <c r="BG133" s="1418">
        <v>0</v>
      </c>
      <c r="BH133" s="1334">
        <v>0</v>
      </c>
      <c r="BI133" s="1334">
        <f t="shared" si="263"/>
        <v>0</v>
      </c>
      <c r="BJ133" s="1338">
        <v>26874.53</v>
      </c>
      <c r="BK133" s="1644">
        <v>29828.31</v>
      </c>
      <c r="BL133" s="1341">
        <f t="shared" si="264"/>
        <v>0</v>
      </c>
      <c r="BM133" s="1341">
        <f t="shared" si="264"/>
        <v>0</v>
      </c>
      <c r="BN133" s="1341">
        <f t="shared" si="264"/>
        <v>0</v>
      </c>
      <c r="BO133" s="1341">
        <f t="shared" si="264"/>
        <v>18956016.525618445</v>
      </c>
      <c r="BP133" s="1341">
        <f t="shared" si="264"/>
        <v>0</v>
      </c>
      <c r="BQ133" s="1341">
        <f t="shared" si="203"/>
        <v>18956016.525618445</v>
      </c>
      <c r="BR133" s="1341">
        <f t="shared" si="204"/>
        <v>18956016.525618445</v>
      </c>
      <c r="BS133" s="1341">
        <f t="shared" si="257"/>
        <v>0</v>
      </c>
      <c r="BT133" s="1341">
        <f t="shared" si="257"/>
        <v>0</v>
      </c>
      <c r="BU133" s="1341">
        <f t="shared" si="257"/>
        <v>0</v>
      </c>
      <c r="BV133" s="1341">
        <f t="shared" si="205"/>
        <v>20084191.352500003</v>
      </c>
      <c r="BW133" s="1341">
        <f t="shared" ref="BW133:BW143" si="265">S133*AE133</f>
        <v>0</v>
      </c>
      <c r="BX133" s="1341">
        <f t="shared" si="206"/>
        <v>20084191.352500003</v>
      </c>
      <c r="BY133" s="1341">
        <f t="shared" si="207"/>
        <v>20084191.352500003</v>
      </c>
      <c r="BZ133" s="1349">
        <f t="shared" si="155"/>
        <v>0</v>
      </c>
      <c r="CA133" s="1349">
        <f t="shared" si="155"/>
        <v>0</v>
      </c>
      <c r="CB133" s="1349">
        <f t="shared" si="208"/>
        <v>0</v>
      </c>
      <c r="CC133" s="1351" t="e">
        <f t="shared" si="156"/>
        <v>#DIV/0!</v>
      </c>
      <c r="CD133" s="1351" t="e">
        <f t="shared" si="156"/>
        <v>#DIV/0!</v>
      </c>
      <c r="CE133" s="1351" t="e">
        <f t="shared" si="178"/>
        <v>#DIV/0!</v>
      </c>
      <c r="CF133" s="1349" t="e">
        <f t="shared" si="158"/>
        <v>#DIV/0!</v>
      </c>
      <c r="CG133" s="1367">
        <f t="shared" si="159"/>
        <v>0</v>
      </c>
      <c r="CH133" s="1367" t="e">
        <f t="shared" si="179"/>
        <v>#DIV/0!</v>
      </c>
      <c r="CI133" s="1623"/>
      <c r="CJ133" s="1482">
        <f t="shared" si="211"/>
        <v>20084.191352500002</v>
      </c>
      <c r="CK133" s="1482">
        <f t="shared" si="160"/>
        <v>13293.392781999999</v>
      </c>
      <c r="CL133" s="1482">
        <f t="shared" si="194"/>
        <v>33377.584134500001</v>
      </c>
      <c r="CM133" s="1484">
        <f t="shared" si="180"/>
        <v>33377.584134500001</v>
      </c>
      <c r="CN133" s="1484">
        <f t="shared" si="181"/>
        <v>0</v>
      </c>
      <c r="CO133" s="1484">
        <f t="shared" si="161"/>
        <v>32249409.307618447</v>
      </c>
      <c r="CP133" s="1484">
        <f t="shared" si="162"/>
        <v>31502689.121712901</v>
      </c>
      <c r="CQ133" s="1484">
        <f t="shared" si="163"/>
        <v>31502689.121712901</v>
      </c>
      <c r="CR133" s="1484">
        <f t="shared" si="164"/>
        <v>18956016.525618445</v>
      </c>
      <c r="CS133" s="1484">
        <f t="shared" si="165"/>
        <v>33377584.134500001</v>
      </c>
      <c r="CT133" s="1484">
        <f t="shared" si="166"/>
        <v>33377584.134500001</v>
      </c>
      <c r="CU133" s="1484">
        <f t="shared" si="167"/>
        <v>13293392.782</v>
      </c>
      <c r="CV133" s="1484">
        <f t="shared" si="182"/>
        <v>64880273.256212905</v>
      </c>
      <c r="CW133" s="1526">
        <f t="shared" si="183"/>
        <v>5174.7609639158372</v>
      </c>
      <c r="CX133" s="1484">
        <f t="shared" si="168"/>
        <v>0</v>
      </c>
      <c r="CY133" s="1484">
        <f t="shared" si="169"/>
        <v>0</v>
      </c>
      <c r="CZ133" s="1484"/>
      <c r="DA133" s="1484">
        <f t="shared" si="170"/>
        <v>31502689.121712901</v>
      </c>
      <c r="DB133" s="1484">
        <f t="shared" si="171"/>
        <v>33377584.134500001</v>
      </c>
      <c r="DC133" s="1624"/>
      <c r="DD133" s="162" t="e">
        <f t="shared" si="184"/>
        <v>#DIV/0!</v>
      </c>
      <c r="DE133" s="1624"/>
      <c r="DF133" s="1624"/>
      <c r="DG133" s="1624"/>
      <c r="DH133" s="1487">
        <v>7442</v>
      </c>
      <c r="DI133" s="1487">
        <v>0</v>
      </c>
      <c r="DJ133" s="1487">
        <f t="shared" si="195"/>
        <v>7442</v>
      </c>
      <c r="DK133" s="1623"/>
      <c r="DL133" s="1489">
        <f t="shared" si="172"/>
        <v>0</v>
      </c>
      <c r="DM133" s="1489">
        <f t="shared" si="173"/>
        <v>0</v>
      </c>
      <c r="DN133" s="1489">
        <f t="shared" si="174"/>
        <v>0</v>
      </c>
    </row>
    <row r="134" spans="1:142" s="50" customFormat="1" ht="76.5" hidden="1" customHeight="1">
      <c r="A134" s="6">
        <f t="shared" si="185"/>
        <v>121</v>
      </c>
      <c r="B134" s="1330" t="s">
        <v>47</v>
      </c>
      <c r="C134" s="1330" t="s">
        <v>56</v>
      </c>
      <c r="D134" s="1650" t="s">
        <v>927</v>
      </c>
      <c r="E134" s="1330">
        <v>4632077904</v>
      </c>
      <c r="F134" s="1330" t="s">
        <v>8</v>
      </c>
      <c r="G134" s="1332" t="s">
        <v>1013</v>
      </c>
      <c r="H134" s="1369">
        <v>2586.6799999999998</v>
      </c>
      <c r="I134" s="1335">
        <v>2586.6799999999998</v>
      </c>
      <c r="J134" s="1335">
        <v>0</v>
      </c>
      <c r="K134" s="1335">
        <v>0</v>
      </c>
      <c r="L134" s="1335">
        <v>2586.6799999999998</v>
      </c>
      <c r="M134" s="1390">
        <v>0</v>
      </c>
      <c r="N134" s="1403">
        <v>3008.94</v>
      </c>
      <c r="O134" s="1335">
        <v>3008.94</v>
      </c>
      <c r="P134" s="1335">
        <v>0</v>
      </c>
      <c r="Q134" s="1335">
        <v>0</v>
      </c>
      <c r="R134" s="1335">
        <v>9008.94</v>
      </c>
      <c r="S134" s="1390">
        <v>0</v>
      </c>
      <c r="T134" s="1381">
        <v>57</v>
      </c>
      <c r="U134" s="1375">
        <v>0</v>
      </c>
      <c r="V134" s="1375">
        <v>0</v>
      </c>
      <c r="W134" s="1374">
        <v>720</v>
      </c>
      <c r="X134" s="1375">
        <v>0</v>
      </c>
      <c r="Y134" s="1375">
        <v>0</v>
      </c>
      <c r="Z134" s="1393">
        <f>SUM(T134:W134)</f>
        <v>777</v>
      </c>
      <c r="AA134" s="1383">
        <v>51</v>
      </c>
      <c r="AB134" s="1375">
        <v>0</v>
      </c>
      <c r="AC134" s="1375">
        <v>0</v>
      </c>
      <c r="AD134" s="1374">
        <v>515</v>
      </c>
      <c r="AE134" s="1375">
        <v>0</v>
      </c>
      <c r="AF134" s="1375">
        <v>0</v>
      </c>
      <c r="AG134" s="1395">
        <f>SUM(AA134:AD134)</f>
        <v>566</v>
      </c>
      <c r="AH134" s="1391">
        <f>Z134+AG134</f>
        <v>1343</v>
      </c>
      <c r="AI134" s="1334">
        <f t="shared" si="210"/>
        <v>108</v>
      </c>
      <c r="AJ134" s="1334">
        <f t="shared" si="210"/>
        <v>0</v>
      </c>
      <c r="AK134" s="1334">
        <f t="shared" si="210"/>
        <v>0</v>
      </c>
      <c r="AL134" s="1415">
        <f t="shared" si="210"/>
        <v>1235</v>
      </c>
      <c r="AM134" s="1334">
        <f t="shared" si="210"/>
        <v>0</v>
      </c>
      <c r="AN134" s="1334"/>
      <c r="AO134" s="1415">
        <f>SUM(AI134:AN134)</f>
        <v>1343</v>
      </c>
      <c r="AP134" s="1415">
        <f>SUM(AI134:AM134)</f>
        <v>1343</v>
      </c>
      <c r="AQ134" s="1480">
        <f>SUM(AI134:AL134)</f>
        <v>1343</v>
      </c>
      <c r="AR134" s="1417">
        <f t="shared" si="177"/>
        <v>0</v>
      </c>
      <c r="AS134" s="1333">
        <f t="shared" si="260"/>
        <v>279361.44</v>
      </c>
      <c r="AT134" s="1334">
        <f t="shared" si="260"/>
        <v>0</v>
      </c>
      <c r="AU134" s="1334">
        <f t="shared" si="260"/>
        <v>0</v>
      </c>
      <c r="AV134" s="1334">
        <f t="shared" si="260"/>
        <v>3194549.8</v>
      </c>
      <c r="AW134" s="1334">
        <f t="shared" si="260"/>
        <v>0</v>
      </c>
      <c r="AX134" s="1334">
        <f t="shared" si="146"/>
        <v>3473911.2399999998</v>
      </c>
      <c r="AY134" s="1334">
        <f t="shared" si="147"/>
        <v>3473911.2399999998</v>
      </c>
      <c r="AZ134" s="1334">
        <f t="shared" si="246"/>
        <v>324965.52</v>
      </c>
      <c r="BA134" s="1334">
        <f t="shared" si="246"/>
        <v>0</v>
      </c>
      <c r="BB134" s="1334">
        <f t="shared" si="246"/>
        <v>0</v>
      </c>
      <c r="BC134" s="1334">
        <f t="shared" si="246"/>
        <v>11126040.9</v>
      </c>
      <c r="BD134" s="1334">
        <f t="shared" si="259"/>
        <v>0</v>
      </c>
      <c r="BE134" s="1334">
        <f t="shared" si="148"/>
        <v>11451006.42</v>
      </c>
      <c r="BF134" s="1396">
        <f t="shared" si="149"/>
        <v>11451006.42</v>
      </c>
      <c r="BG134" s="1418">
        <v>0</v>
      </c>
      <c r="BH134" s="1334">
        <v>0</v>
      </c>
      <c r="BI134" s="1334">
        <f t="shared" si="263"/>
        <v>0</v>
      </c>
      <c r="BJ134" s="1338">
        <v>89500.79</v>
      </c>
      <c r="BK134" s="1644">
        <v>93650.3</v>
      </c>
      <c r="BL134" s="1341">
        <f>I134*T134</f>
        <v>147440.75999999998</v>
      </c>
      <c r="BM134" s="1341">
        <f t="shared" si="264"/>
        <v>0</v>
      </c>
      <c r="BN134" s="1341">
        <f t="shared" si="264"/>
        <v>0</v>
      </c>
      <c r="BO134" s="1341">
        <f t="shared" si="264"/>
        <v>1862409.5999999999</v>
      </c>
      <c r="BP134" s="1341">
        <f t="shared" si="264"/>
        <v>0</v>
      </c>
      <c r="BQ134" s="1341">
        <f t="shared" si="203"/>
        <v>2009850.3599999999</v>
      </c>
      <c r="BR134" s="1341">
        <f t="shared" si="204"/>
        <v>2009850.3599999999</v>
      </c>
      <c r="BS134" s="1341">
        <f t="shared" si="257"/>
        <v>153455.94</v>
      </c>
      <c r="BT134" s="1341">
        <f t="shared" si="257"/>
        <v>0</v>
      </c>
      <c r="BU134" s="1341">
        <f t="shared" si="257"/>
        <v>0</v>
      </c>
      <c r="BV134" s="1341">
        <f t="shared" si="205"/>
        <v>6486436.8000000007</v>
      </c>
      <c r="BW134" s="1341">
        <f t="shared" si="265"/>
        <v>0</v>
      </c>
      <c r="BX134" s="1341">
        <f t="shared" si="206"/>
        <v>6639892.7400000012</v>
      </c>
      <c r="BY134" s="1341">
        <f t="shared" si="207"/>
        <v>6639892.7400000012</v>
      </c>
      <c r="BZ134" s="1349">
        <f t="shared" si="155"/>
        <v>0</v>
      </c>
      <c r="CA134" s="1349">
        <f t="shared" si="155"/>
        <v>0</v>
      </c>
      <c r="CB134" s="1349">
        <f t="shared" si="208"/>
        <v>0</v>
      </c>
      <c r="CC134" s="1351" t="e">
        <f t="shared" si="156"/>
        <v>#DIV/0!</v>
      </c>
      <c r="CD134" s="1351" t="e">
        <f t="shared" si="156"/>
        <v>#DIV/0!</v>
      </c>
      <c r="CE134" s="1351" t="e">
        <f t="shared" si="178"/>
        <v>#DIV/0!</v>
      </c>
      <c r="CF134" s="1349" t="e">
        <f t="shared" si="158"/>
        <v>#DIV/0!</v>
      </c>
      <c r="CG134" s="1367">
        <f t="shared" si="159"/>
        <v>0</v>
      </c>
      <c r="CH134" s="1367" t="e">
        <f t="shared" si="179"/>
        <v>#DIV/0!</v>
      </c>
      <c r="CI134" s="1623"/>
      <c r="CJ134" s="1482">
        <f t="shared" si="211"/>
        <v>2337.9463799999999</v>
      </c>
      <c r="CK134" s="1482">
        <f t="shared" si="160"/>
        <v>1703.0600400000001</v>
      </c>
      <c r="CL134" s="1482">
        <f t="shared" si="194"/>
        <v>4041.0064199999997</v>
      </c>
      <c r="CM134" s="1484">
        <f t="shared" si="180"/>
        <v>4041.0064199999997</v>
      </c>
      <c r="CN134" s="1484">
        <f t="shared" si="181"/>
        <v>0</v>
      </c>
      <c r="CO134" s="1484">
        <f t="shared" si="161"/>
        <v>3712910.4</v>
      </c>
      <c r="CP134" s="1484">
        <f t="shared" si="162"/>
        <v>3473911.2399999998</v>
      </c>
      <c r="CQ134" s="1484">
        <f t="shared" si="163"/>
        <v>3473911.2399999998</v>
      </c>
      <c r="CR134" s="1484">
        <f t="shared" si="164"/>
        <v>2009850.3599999999</v>
      </c>
      <c r="CS134" s="1484">
        <f t="shared" si="165"/>
        <v>11451006.42</v>
      </c>
      <c r="CT134" s="1484">
        <f t="shared" si="166"/>
        <v>11451006.42</v>
      </c>
      <c r="CU134" s="1484">
        <f t="shared" si="167"/>
        <v>4793060.040000001</v>
      </c>
      <c r="CV134" s="1484">
        <f t="shared" si="182"/>
        <v>14924917.66</v>
      </c>
      <c r="CW134" s="1526">
        <f t="shared" si="183"/>
        <v>11113.118138495905</v>
      </c>
      <c r="CX134" s="1484">
        <f t="shared" si="168"/>
        <v>0</v>
      </c>
      <c r="CY134" s="1484">
        <f t="shared" si="169"/>
        <v>0</v>
      </c>
      <c r="CZ134" s="1484"/>
      <c r="DA134" s="1484">
        <f t="shared" si="170"/>
        <v>3473911.2399999998</v>
      </c>
      <c r="DB134" s="1484">
        <f t="shared" si="171"/>
        <v>4041006.42</v>
      </c>
      <c r="DC134" s="1624"/>
      <c r="DD134" s="162" t="e">
        <f t="shared" si="184"/>
        <v>#DIV/0!</v>
      </c>
      <c r="DE134" s="1624"/>
      <c r="DF134" s="1624"/>
      <c r="DG134" s="1624"/>
      <c r="DH134" s="1487">
        <v>8346</v>
      </c>
      <c r="DI134" s="1487">
        <v>0</v>
      </c>
      <c r="DJ134" s="1487">
        <f t="shared" si="195"/>
        <v>8346</v>
      </c>
      <c r="DK134" s="1623"/>
      <c r="DL134" s="1489">
        <f t="shared" si="172"/>
        <v>0</v>
      </c>
      <c r="DM134" s="1489">
        <f t="shared" si="173"/>
        <v>0</v>
      </c>
      <c r="DN134" s="1489">
        <f t="shared" si="174"/>
        <v>0</v>
      </c>
    </row>
    <row r="135" spans="1:142" s="50" customFormat="1" ht="90" hidden="1" customHeight="1">
      <c r="A135" s="6">
        <f t="shared" si="185"/>
        <v>122</v>
      </c>
      <c r="B135" s="1330" t="s">
        <v>47</v>
      </c>
      <c r="C135" s="1330" t="s">
        <v>56</v>
      </c>
      <c r="D135" s="1650" t="s">
        <v>54</v>
      </c>
      <c r="E135" s="1330">
        <v>4632068226</v>
      </c>
      <c r="F135" s="1330" t="s">
        <v>8</v>
      </c>
      <c r="G135" s="1332" t="s">
        <v>1014</v>
      </c>
      <c r="H135" s="1689">
        <v>1686.48</v>
      </c>
      <c r="I135" s="1690">
        <v>1686.48</v>
      </c>
      <c r="J135" s="1412">
        <v>1686.48</v>
      </c>
      <c r="K135" s="1412">
        <v>1686.48</v>
      </c>
      <c r="L135" s="1412">
        <v>1686.48</v>
      </c>
      <c r="M135" s="1413">
        <v>1686.48</v>
      </c>
      <c r="N135" s="1414">
        <v>1828.75</v>
      </c>
      <c r="O135" s="1412">
        <v>1828.75</v>
      </c>
      <c r="P135" s="1412">
        <v>1828.75</v>
      </c>
      <c r="Q135" s="1412">
        <v>1828.75</v>
      </c>
      <c r="R135" s="1412">
        <v>1828.75</v>
      </c>
      <c r="S135" s="1412">
        <v>1828.75</v>
      </c>
      <c r="T135" s="1379">
        <v>126.59</v>
      </c>
      <c r="U135" s="1374">
        <v>59.17</v>
      </c>
      <c r="V135" s="1374">
        <v>11.43</v>
      </c>
      <c r="W135" s="1374">
        <v>2817.84</v>
      </c>
      <c r="X135" s="1372">
        <v>126592.53</v>
      </c>
      <c r="Y135" s="1375">
        <v>0</v>
      </c>
      <c r="Z135" s="1393">
        <f>SUM(T135:W135)</f>
        <v>3015.03</v>
      </c>
      <c r="AA135" s="1371">
        <v>92.42</v>
      </c>
      <c r="AB135" s="1372">
        <v>37.83</v>
      </c>
      <c r="AC135" s="1372">
        <v>7.3</v>
      </c>
      <c r="AD135" s="1372">
        <v>1878.56</v>
      </c>
      <c r="AE135" s="1372">
        <v>100275.8</v>
      </c>
      <c r="AF135" s="1375">
        <v>0</v>
      </c>
      <c r="AG135" s="1395">
        <f>SUM(AA135:AD135)</f>
        <v>2016.11</v>
      </c>
      <c r="AH135" s="1391">
        <f>Z135+AG135</f>
        <v>5031.1400000000003</v>
      </c>
      <c r="AI135" s="1338">
        <f t="shared" si="210"/>
        <v>219.01</v>
      </c>
      <c r="AJ135" s="1338">
        <f t="shared" si="210"/>
        <v>97</v>
      </c>
      <c r="AK135" s="1338">
        <f t="shared" si="210"/>
        <v>18.73</v>
      </c>
      <c r="AL135" s="1338">
        <f t="shared" si="210"/>
        <v>4696.3999999999996</v>
      </c>
      <c r="AM135" s="1338">
        <f t="shared" si="210"/>
        <v>226868.33000000002</v>
      </c>
      <c r="AN135" s="1334"/>
      <c r="AO135" s="1338">
        <f>SUM(AI135:AN135)</f>
        <v>231899.47000000003</v>
      </c>
      <c r="AP135" s="1338">
        <f>SUM(AI135:AM135)</f>
        <v>231899.47000000003</v>
      </c>
      <c r="AQ135" s="1416">
        <f>SUM(AI135:AL135)</f>
        <v>5031.1399999999994</v>
      </c>
      <c r="AR135" s="1417">
        <f t="shared" si="177"/>
        <v>0</v>
      </c>
      <c r="AS135" s="1333">
        <f t="shared" si="260"/>
        <v>369355.98479999998</v>
      </c>
      <c r="AT135" s="1334">
        <f t="shared" si="260"/>
        <v>163588.56</v>
      </c>
      <c r="AU135" s="1334">
        <f t="shared" si="260"/>
        <v>31587.770400000001</v>
      </c>
      <c r="AV135" s="1334">
        <f t="shared" si="260"/>
        <v>7920384.6719999993</v>
      </c>
      <c r="AW135" s="1334">
        <f t="shared" si="260"/>
        <v>382608901.17840004</v>
      </c>
      <c r="AX135" s="1334">
        <f t="shared" ref="AX135:AX142" si="266">SUM(AS135:AW135)</f>
        <v>391093818.16560006</v>
      </c>
      <c r="AY135" s="1334">
        <f t="shared" ref="AY135:AY142" si="267">SUM(AS135:AV135)</f>
        <v>8484916.9871999994</v>
      </c>
      <c r="AZ135" s="1334">
        <f t="shared" si="246"/>
        <v>400514.53749999998</v>
      </c>
      <c r="BA135" s="1334">
        <f t="shared" si="246"/>
        <v>177388.75</v>
      </c>
      <c r="BB135" s="1334">
        <f t="shared" si="246"/>
        <v>34252.487500000003</v>
      </c>
      <c r="BC135" s="1334">
        <f t="shared" si="246"/>
        <v>8588541.5</v>
      </c>
      <c r="BD135" s="1334">
        <f t="shared" si="259"/>
        <v>414885458.48750001</v>
      </c>
      <c r="BE135" s="1334">
        <f t="shared" ref="BE135:BE142" si="268">SUM(AZ135:BD135)</f>
        <v>424086155.76249999</v>
      </c>
      <c r="BF135" s="1396">
        <f t="shared" ref="BF135:BF142" si="269">SUM(AZ135:BC135)</f>
        <v>9200697.2750000004</v>
      </c>
      <c r="BG135" s="1418">
        <v>0</v>
      </c>
      <c r="BH135" s="1490">
        <v>0</v>
      </c>
      <c r="BI135" s="1490">
        <v>0</v>
      </c>
      <c r="BJ135" s="1338">
        <v>338038.79</v>
      </c>
      <c r="BK135" s="1643">
        <v>444364.99</v>
      </c>
      <c r="BL135" s="1341">
        <f>I135*T135</f>
        <v>213491.50320000001</v>
      </c>
      <c r="BM135" s="1341">
        <f>J135*U135</f>
        <v>99789.021600000007</v>
      </c>
      <c r="BN135" s="1341">
        <f>K135*V135</f>
        <v>19276.466400000001</v>
      </c>
      <c r="BO135" s="1341">
        <f>L135*W135</f>
        <v>4752230.8032</v>
      </c>
      <c r="BP135" s="1341">
        <f>M135*X135</f>
        <v>213495769.99439999</v>
      </c>
      <c r="BQ135" s="1341">
        <f>BL135+BM135+BN135+BO135+BP135</f>
        <v>218580557.7888</v>
      </c>
      <c r="BR135" s="1341">
        <f>BQ135-BP135</f>
        <v>5084787.7944000065</v>
      </c>
      <c r="BS135" s="1341">
        <f>O135*AA135</f>
        <v>169013.07500000001</v>
      </c>
      <c r="BT135" s="1341">
        <f>P135*AB135</f>
        <v>69181.612500000003</v>
      </c>
      <c r="BU135" s="1341">
        <f>Q135*AC135</f>
        <v>13349.875</v>
      </c>
      <c r="BV135" s="1341">
        <f>R135*W135</f>
        <v>5153124.9000000004</v>
      </c>
      <c r="BW135" s="1341">
        <f>S135*AE135</f>
        <v>183379369.25</v>
      </c>
      <c r="BX135" s="1341">
        <f>BS135+BT135+BU135+BV135+BW135</f>
        <v>188784038.71250001</v>
      </c>
      <c r="BY135" s="1341">
        <f>BX135-BW135</f>
        <v>5404669.462500006</v>
      </c>
      <c r="BZ135" s="1349">
        <f t="shared" si="155"/>
        <v>168970.63410000002</v>
      </c>
      <c r="CA135" s="1349">
        <f t="shared" si="155"/>
        <v>32626.341400000001</v>
      </c>
      <c r="CB135" s="1349">
        <f t="shared" si="208"/>
        <v>201596.97550000003</v>
      </c>
      <c r="CC135" s="1351">
        <f t="shared" si="156"/>
        <v>1741.9653000000003</v>
      </c>
      <c r="CD135" s="1351">
        <f t="shared" si="156"/>
        <v>1741.9295995728778</v>
      </c>
      <c r="CE135" s="1351">
        <f t="shared" si="178"/>
        <v>1741.9595221636571</v>
      </c>
      <c r="CF135" s="1351">
        <f t="shared" si="158"/>
        <v>1741.9595221636571</v>
      </c>
      <c r="CG135" s="1367">
        <f t="shared" si="159"/>
        <v>201596.9755</v>
      </c>
      <c r="CH135" s="1367">
        <f t="shared" si="179"/>
        <v>1741.9595221636566</v>
      </c>
      <c r="CI135" s="1623"/>
      <c r="CJ135" s="1482">
        <f t="shared" si="211"/>
        <v>5513.7361125000007</v>
      </c>
      <c r="CK135" s="1482">
        <f t="shared" si="160"/>
        <v>3686.9611624999998</v>
      </c>
      <c r="CL135" s="1482">
        <f t="shared" si="194"/>
        <v>9200.6972750000004</v>
      </c>
      <c r="CM135" s="1484">
        <f t="shared" si="180"/>
        <v>9200.6972750000004</v>
      </c>
      <c r="CN135" s="1484">
        <f t="shared" si="181"/>
        <v>0</v>
      </c>
      <c r="CO135" s="1484">
        <f t="shared" si="161"/>
        <v>8771748.9569000006</v>
      </c>
      <c r="CP135" s="1484">
        <f t="shared" si="162"/>
        <v>8484916.9871999994</v>
      </c>
      <c r="CQ135" s="1484">
        <f t="shared" si="163"/>
        <v>8484916.9871999994</v>
      </c>
      <c r="CR135" s="1484">
        <f t="shared" si="164"/>
        <v>5084787.7944</v>
      </c>
      <c r="CS135" s="1484">
        <f t="shared" si="165"/>
        <v>9200697.2750000004</v>
      </c>
      <c r="CT135" s="1484">
        <f t="shared" si="166"/>
        <v>9200697.2750000004</v>
      </c>
      <c r="CU135" s="1484">
        <f t="shared" si="167"/>
        <v>3686961.1625000001</v>
      </c>
      <c r="CV135" s="1484">
        <f t="shared" si="182"/>
        <v>17685614.262199998</v>
      </c>
      <c r="CW135" s="1526">
        <f t="shared" si="183"/>
        <v>3515.2299999999996</v>
      </c>
      <c r="CX135" s="1484">
        <f t="shared" si="168"/>
        <v>195176.33040000001</v>
      </c>
      <c r="CY135" s="1484">
        <f t="shared" si="169"/>
        <v>211641.23749999999</v>
      </c>
      <c r="CZ135" s="1484"/>
      <c r="DA135" s="1484">
        <f t="shared" si="170"/>
        <v>8484916.9871999994</v>
      </c>
      <c r="DB135" s="1484">
        <f t="shared" si="171"/>
        <v>9200697.2750000004</v>
      </c>
      <c r="DC135" s="1624"/>
      <c r="DD135" s="162">
        <f t="shared" si="184"/>
        <v>108.43591385607894</v>
      </c>
      <c r="DE135" s="1624"/>
      <c r="DF135" s="1624"/>
      <c r="DG135" s="1624"/>
      <c r="DH135" s="1487">
        <v>5196.2</v>
      </c>
      <c r="DI135" s="1487">
        <v>160.19999999999999</v>
      </c>
      <c r="DJ135" s="1487">
        <f t="shared" si="195"/>
        <v>5036</v>
      </c>
      <c r="DK135" s="1623"/>
      <c r="DL135" s="1489">
        <f t="shared" si="172"/>
        <v>213495.76999440001</v>
      </c>
      <c r="DM135" s="1489">
        <f t="shared" si="173"/>
        <v>183379.36924999999</v>
      </c>
      <c r="DN135" s="1489">
        <f t="shared" si="174"/>
        <v>396875.13924439996</v>
      </c>
    </row>
    <row r="136" spans="1:142" s="1313" customFormat="1" ht="85.5" customHeight="1">
      <c r="A136" s="6">
        <f t="shared" si="185"/>
        <v>123</v>
      </c>
      <c r="B136" s="1330" t="s">
        <v>47</v>
      </c>
      <c r="C136" s="1753" t="s">
        <v>56</v>
      </c>
      <c r="D136" s="1706" t="s">
        <v>141</v>
      </c>
      <c r="E136" s="1331">
        <v>4632024035</v>
      </c>
      <c r="F136" s="1330" t="s">
        <v>8</v>
      </c>
      <c r="G136" s="1682" t="s">
        <v>1034</v>
      </c>
      <c r="H136" s="1700">
        <v>3314.9639999999995</v>
      </c>
      <c r="I136" s="1701">
        <f>H136</f>
        <v>3314.9639999999995</v>
      </c>
      <c r="J136" s="1707">
        <v>2950.21</v>
      </c>
      <c r="K136" s="1707">
        <v>2950.21</v>
      </c>
      <c r="L136" s="1700">
        <v>3314.9639999999995</v>
      </c>
      <c r="M136" s="1390"/>
      <c r="N136" s="1703">
        <f>3132.14*1.2</f>
        <v>3758.5679999999998</v>
      </c>
      <c r="O136" s="1704">
        <f>N136</f>
        <v>3758.5679999999998</v>
      </c>
      <c r="P136" s="1708">
        <v>2979.71</v>
      </c>
      <c r="Q136" s="1708">
        <v>2979.71</v>
      </c>
      <c r="R136" s="1704">
        <f>O136</f>
        <v>3758.5679999999998</v>
      </c>
      <c r="S136" s="1390"/>
      <c r="T136" s="1836">
        <v>6129.0070000000014</v>
      </c>
      <c r="U136" s="1747">
        <v>62.542999999999999</v>
      </c>
      <c r="V136" s="1747">
        <v>1.5590000000000002</v>
      </c>
      <c r="W136" s="1375"/>
      <c r="X136" s="1375"/>
      <c r="Y136" s="1375"/>
      <c r="Z136" s="1742">
        <f>SUM(T136:W136)</f>
        <v>6193.1090000000013</v>
      </c>
      <c r="AA136" s="1825">
        <v>3524.3859999999995</v>
      </c>
      <c r="AB136" s="1826">
        <v>45.6</v>
      </c>
      <c r="AC136" s="1826">
        <v>4.16</v>
      </c>
      <c r="AD136" s="1375"/>
      <c r="AE136" s="1375"/>
      <c r="AF136" s="1375"/>
      <c r="AG136" s="1395">
        <f t="shared" si="176"/>
        <v>3574.1459999999993</v>
      </c>
      <c r="AH136" s="1391">
        <f t="shared" si="200"/>
        <v>9767.255000000001</v>
      </c>
      <c r="AI136" s="1334">
        <f t="shared" si="210"/>
        <v>9653.393</v>
      </c>
      <c r="AJ136" s="1334">
        <f t="shared" si="210"/>
        <v>108.143</v>
      </c>
      <c r="AK136" s="1334">
        <f t="shared" si="210"/>
        <v>5.7190000000000003</v>
      </c>
      <c r="AL136" s="1334">
        <f t="shared" si="210"/>
        <v>0</v>
      </c>
      <c r="AM136" s="1334">
        <f t="shared" si="210"/>
        <v>0</v>
      </c>
      <c r="AN136" s="1334"/>
      <c r="AO136" s="1334">
        <f t="shared" si="228"/>
        <v>9767.2549999999992</v>
      </c>
      <c r="AP136" s="1334">
        <f t="shared" si="229"/>
        <v>9767.2549999999992</v>
      </c>
      <c r="AQ136" s="1662">
        <f t="shared" ref="AQ136:AQ139" si="270">SUM(AI136:AL136)</f>
        <v>9767.2549999999992</v>
      </c>
      <c r="AR136" s="1417">
        <f t="shared" si="177"/>
        <v>0</v>
      </c>
      <c r="AS136" s="1333">
        <f t="shared" si="260"/>
        <v>32000650.272851996</v>
      </c>
      <c r="AT136" s="1334">
        <f t="shared" si="260"/>
        <v>319044.56002999999</v>
      </c>
      <c r="AU136" s="1334">
        <f t="shared" si="260"/>
        <v>16872.25099</v>
      </c>
      <c r="AV136" s="1334">
        <f t="shared" si="260"/>
        <v>0</v>
      </c>
      <c r="AW136" s="1334">
        <f t="shared" si="260"/>
        <v>0</v>
      </c>
      <c r="AX136" s="1334">
        <f t="shared" si="266"/>
        <v>32336567.083871994</v>
      </c>
      <c r="AY136" s="1334">
        <f t="shared" si="267"/>
        <v>32336567.083871994</v>
      </c>
      <c r="AZ136" s="1334">
        <f t="shared" si="246"/>
        <v>36282934.021224</v>
      </c>
      <c r="BA136" s="1334">
        <f t="shared" si="246"/>
        <v>322234.77853000001</v>
      </c>
      <c r="BB136" s="1334">
        <f t="shared" si="246"/>
        <v>17040.961490000002</v>
      </c>
      <c r="BC136" s="1334">
        <f t="shared" si="246"/>
        <v>0</v>
      </c>
      <c r="BD136" s="1334">
        <f t="shared" si="259"/>
        <v>0</v>
      </c>
      <c r="BE136" s="1334">
        <f t="shared" si="268"/>
        <v>36622209.761243999</v>
      </c>
      <c r="BF136" s="1396">
        <f t="shared" si="269"/>
        <v>36622209.761243999</v>
      </c>
      <c r="BG136" s="1743">
        <f>(H136-J136)/1.2*U136/1000+(H136-K136)/1.2*V136/1000</f>
        <v>19.484550756666639</v>
      </c>
      <c r="BH136" s="1744">
        <f>(O136-P136)*AB136/1000/1.2+(O136-Q136)/1.2*AC136/1000</f>
        <v>32.296645066666656</v>
      </c>
      <c r="BI136" s="1741">
        <f>BG136+BH136</f>
        <v>51.781195823333292</v>
      </c>
      <c r="BJ136" s="1406">
        <v>616146.33295943832</v>
      </c>
      <c r="BK136" s="1641"/>
      <c r="BL136" s="1334">
        <f t="shared" si="264"/>
        <v>20317437.560748003</v>
      </c>
      <c r="BM136" s="1334">
        <f t="shared" si="264"/>
        <v>184514.98402999999</v>
      </c>
      <c r="BN136" s="1334">
        <f t="shared" si="264"/>
        <v>4599.3773900000006</v>
      </c>
      <c r="BO136" s="1334">
        <f t="shared" si="264"/>
        <v>0</v>
      </c>
      <c r="BP136" s="1334">
        <f t="shared" si="264"/>
        <v>0</v>
      </c>
      <c r="BQ136" s="1334">
        <f t="shared" si="203"/>
        <v>20506551.922168005</v>
      </c>
      <c r="BR136" s="1334">
        <f t="shared" si="204"/>
        <v>20506551.922168005</v>
      </c>
      <c r="BS136" s="1334">
        <f t="shared" si="257"/>
        <v>13246644.439247997</v>
      </c>
      <c r="BT136" s="1334">
        <f t="shared" si="257"/>
        <v>135874.77600000001</v>
      </c>
      <c r="BU136" s="1334">
        <f t="shared" si="257"/>
        <v>12395.5936</v>
      </c>
      <c r="BV136" s="1334">
        <f t="shared" si="205"/>
        <v>0</v>
      </c>
      <c r="BW136" s="1334">
        <f t="shared" si="265"/>
        <v>0</v>
      </c>
      <c r="BX136" s="1334">
        <f t="shared" si="206"/>
        <v>13394914.808847997</v>
      </c>
      <c r="BY136" s="1334">
        <f t="shared" si="207"/>
        <v>13394914.808847997</v>
      </c>
      <c r="BZ136" s="1389">
        <f t="shared" si="155"/>
        <v>320389.76003</v>
      </c>
      <c r="CA136" s="1389">
        <f t="shared" si="155"/>
        <v>16994.970990000002</v>
      </c>
      <c r="CB136" s="1389">
        <f t="shared" si="208"/>
        <v>337384.73102000001</v>
      </c>
      <c r="CC136" s="1420">
        <f t="shared" si="156"/>
        <v>2962.6490852852244</v>
      </c>
      <c r="CD136" s="1420">
        <f t="shared" si="156"/>
        <v>2971.6682969050535</v>
      </c>
      <c r="CE136" s="1420">
        <f t="shared" si="178"/>
        <v>2963.1020974513008</v>
      </c>
      <c r="CF136" s="1420">
        <f t="shared" si="158"/>
        <v>2963.1020974513008</v>
      </c>
      <c r="CG136" s="1421">
        <f t="shared" si="159"/>
        <v>399522.16600800003</v>
      </c>
      <c r="CH136" s="1421">
        <f t="shared" si="179"/>
        <v>3508.8279321283662</v>
      </c>
      <c r="CI136" s="1491"/>
      <c r="CJ136" s="1756">
        <f>H136*Z136/1000</f>
        <v>20529.933383076001</v>
      </c>
      <c r="CK136" s="1756">
        <f t="shared" si="160"/>
        <v>13433.670782927995</v>
      </c>
      <c r="CL136" s="1756">
        <f>CJ136+CK136</f>
        <v>33963.604166003992</v>
      </c>
      <c r="CM136" s="1501">
        <f t="shared" si="180"/>
        <v>36710.892090840003</v>
      </c>
      <c r="CN136" s="1501">
        <f t="shared" si="181"/>
        <v>2747.2879248360114</v>
      </c>
      <c r="CO136" s="1493">
        <f t="shared" si="161"/>
        <v>33963604.166003995</v>
      </c>
      <c r="CP136" s="1493">
        <f t="shared" si="162"/>
        <v>32336567.083871994</v>
      </c>
      <c r="CQ136" s="1493">
        <f t="shared" si="163"/>
        <v>32336567.083871998</v>
      </c>
      <c r="CR136" s="1493">
        <f t="shared" si="164"/>
        <v>20506551.922168005</v>
      </c>
      <c r="CS136" s="1493">
        <f t="shared" si="165"/>
        <v>36622209.761243999</v>
      </c>
      <c r="CT136" s="1493">
        <f t="shared" si="166"/>
        <v>36622209.761243999</v>
      </c>
      <c r="CU136" s="1493">
        <f t="shared" si="167"/>
        <v>13394914.808847997</v>
      </c>
      <c r="CV136" s="1493">
        <f t="shared" si="182"/>
        <v>68958776.845115989</v>
      </c>
      <c r="CW136" s="1625">
        <f t="shared" si="183"/>
        <v>7060.2003167846015</v>
      </c>
      <c r="CX136" s="1493">
        <f t="shared" si="168"/>
        <v>335916.81102000002</v>
      </c>
      <c r="CY136" s="1493">
        <f t="shared" si="169"/>
        <v>339275.74002000003</v>
      </c>
      <c r="CZ136" s="1493"/>
      <c r="DA136" s="1493">
        <f t="shared" si="170"/>
        <v>32378098.703819998</v>
      </c>
      <c r="DB136" s="1493">
        <f t="shared" si="171"/>
        <v>36710892.090839997</v>
      </c>
      <c r="DC136" s="675"/>
      <c r="DD136" s="676">
        <f t="shared" si="184"/>
        <v>127.40001559211038</v>
      </c>
      <c r="DE136" s="675"/>
      <c r="DF136" s="675"/>
      <c r="DG136" s="675"/>
      <c r="DH136" s="1494"/>
      <c r="DI136" s="1494"/>
      <c r="DJ136" s="1494"/>
      <c r="DK136" s="1491"/>
      <c r="DL136" s="1502">
        <f t="shared" si="172"/>
        <v>0</v>
      </c>
      <c r="DM136" s="1502">
        <f t="shared" si="173"/>
        <v>0</v>
      </c>
      <c r="DN136" s="1502">
        <f t="shared" si="174"/>
        <v>0</v>
      </c>
      <c r="DO136" s="625"/>
    </row>
    <row r="137" spans="1:142" s="1313" customFormat="1" ht="84.75" hidden="1" customHeight="1">
      <c r="A137" s="6">
        <f t="shared" si="185"/>
        <v>124</v>
      </c>
      <c r="B137" s="1330" t="s">
        <v>47</v>
      </c>
      <c r="C137" s="1663" t="s">
        <v>56</v>
      </c>
      <c r="D137" s="1663" t="s">
        <v>1032</v>
      </c>
      <c r="E137" s="1675">
        <v>6829012680</v>
      </c>
      <c r="F137" s="1663" t="s">
        <v>8</v>
      </c>
      <c r="G137" s="1666" t="s">
        <v>1033</v>
      </c>
      <c r="H137" s="1693">
        <v>2326.752</v>
      </c>
      <c r="I137" s="1694">
        <v>2326.752</v>
      </c>
      <c r="J137" s="1335">
        <v>2231.2199999999998</v>
      </c>
      <c r="K137" s="1335">
        <v>2231.2199999999998</v>
      </c>
      <c r="L137" s="1335">
        <v>2326.752</v>
      </c>
      <c r="M137" s="1390">
        <v>2326.752</v>
      </c>
      <c r="N137" s="1371">
        <f>2165.81*1.2</f>
        <v>2598.9719999999998</v>
      </c>
      <c r="O137" s="1372">
        <f>N137</f>
        <v>2598.9719999999998</v>
      </c>
      <c r="P137" s="1372">
        <v>2403.02</v>
      </c>
      <c r="Q137" s="1372">
        <f>P137</f>
        <v>2403.02</v>
      </c>
      <c r="R137" s="1372">
        <f>O137</f>
        <v>2598.9719999999998</v>
      </c>
      <c r="S137" s="1370">
        <f>R137</f>
        <v>2598.9719999999998</v>
      </c>
      <c r="T137" s="1495">
        <v>165978.1</v>
      </c>
      <c r="U137" s="1676">
        <v>699591.98908299371</v>
      </c>
      <c r="V137" s="1496">
        <f>830181.1-U137</f>
        <v>130589.11091700627</v>
      </c>
      <c r="W137" s="1334">
        <f>125129.86-X137</f>
        <v>121744.86</v>
      </c>
      <c r="X137" s="1334">
        <v>3385</v>
      </c>
      <c r="Y137" s="1334"/>
      <c r="Z137" s="1497">
        <f>SUM(T137:W137)</f>
        <v>1117904.06</v>
      </c>
      <c r="AA137" s="1498">
        <v>105345.1</v>
      </c>
      <c r="AB137" s="1496">
        <v>435637.64910433139</v>
      </c>
      <c r="AC137" s="1496">
        <f>553647.9-AB137</f>
        <v>118010.25089566864</v>
      </c>
      <c r="AD137" s="1419">
        <f>250867.255-AE137</f>
        <v>248307.255</v>
      </c>
      <c r="AE137" s="1334">
        <v>2560</v>
      </c>
      <c r="AF137" s="1334"/>
      <c r="AG137" s="1499">
        <f>SUM(AA137:AD137)</f>
        <v>907300.255</v>
      </c>
      <c r="AH137" s="1495">
        <f t="shared" si="200"/>
        <v>2025204.3149999999</v>
      </c>
      <c r="AI137" s="1334">
        <f t="shared" si="210"/>
        <v>271323.2</v>
      </c>
      <c r="AJ137" s="1334">
        <f t="shared" si="210"/>
        <v>1135229.6381873251</v>
      </c>
      <c r="AK137" s="1334">
        <f t="shared" si="210"/>
        <v>248599.36181267491</v>
      </c>
      <c r="AL137" s="1334">
        <f t="shared" si="210"/>
        <v>370052.11499999999</v>
      </c>
      <c r="AM137" s="1334">
        <f t="shared" si="210"/>
        <v>5945</v>
      </c>
      <c r="AN137" s="1334"/>
      <c r="AO137" s="1419">
        <f t="shared" si="228"/>
        <v>2031149.3149999999</v>
      </c>
      <c r="AP137" s="1419">
        <f t="shared" si="229"/>
        <v>2031149.3149999999</v>
      </c>
      <c r="AQ137" s="1479">
        <f t="shared" si="270"/>
        <v>2025204.3149999999</v>
      </c>
      <c r="AR137" s="1417">
        <f t="shared" si="177"/>
        <v>0</v>
      </c>
      <c r="AS137" s="1333">
        <f t="shared" si="260"/>
        <v>631301798.2464</v>
      </c>
      <c r="AT137" s="1334">
        <f t="shared" si="260"/>
        <v>2532947073.3163233</v>
      </c>
      <c r="AU137" s="1334">
        <f t="shared" si="260"/>
        <v>554679868.06367648</v>
      </c>
      <c r="AV137" s="1334">
        <f t="shared" si="260"/>
        <v>861019498.68048</v>
      </c>
      <c r="AW137" s="1334">
        <f t="shared" si="260"/>
        <v>13832540.640000001</v>
      </c>
      <c r="AX137" s="1334">
        <f t="shared" si="266"/>
        <v>4593780778.9468794</v>
      </c>
      <c r="AY137" s="1334">
        <f t="shared" si="267"/>
        <v>4579948238.306879</v>
      </c>
      <c r="AZ137" s="1334">
        <f t="shared" si="246"/>
        <v>705161399.75039995</v>
      </c>
      <c r="BA137" s="1334">
        <f t="shared" si="246"/>
        <v>2727979525.1569061</v>
      </c>
      <c r="BB137" s="1334">
        <f t="shared" si="246"/>
        <v>597389238.42309403</v>
      </c>
      <c r="BC137" s="1334">
        <f t="shared" si="246"/>
        <v>961755085.42577994</v>
      </c>
      <c r="BD137" s="1334">
        <f t="shared" si="259"/>
        <v>15450888.539999999</v>
      </c>
      <c r="BE137" s="1334">
        <f t="shared" si="268"/>
        <v>5007736137.2961807</v>
      </c>
      <c r="BF137" s="1396">
        <f t="shared" si="269"/>
        <v>4992285248.7561808</v>
      </c>
      <c r="BG137" s="1678">
        <v>66231.922000000006</v>
      </c>
      <c r="BH137" s="1410">
        <v>90631.398000000001</v>
      </c>
      <c r="BI137" s="1677">
        <f>BG137+BH137</f>
        <v>156863.32</v>
      </c>
      <c r="BJ137" s="1419">
        <v>4167008.598864058</v>
      </c>
      <c r="BK137" s="1642">
        <v>6109023.6911929175</v>
      </c>
      <c r="BL137" s="1334">
        <f t="shared" si="264"/>
        <v>386189876.13120002</v>
      </c>
      <c r="BM137" s="1334">
        <f t="shared" si="264"/>
        <v>1560943637.881757</v>
      </c>
      <c r="BN137" s="1334">
        <f t="shared" si="264"/>
        <v>291373036.06024271</v>
      </c>
      <c r="BO137" s="1334">
        <f t="shared" si="264"/>
        <v>283270096.49471998</v>
      </c>
      <c r="BP137" s="1334">
        <f t="shared" si="264"/>
        <v>7876055.5199999996</v>
      </c>
      <c r="BQ137" s="1334">
        <f t="shared" si="203"/>
        <v>2529652702.0879197</v>
      </c>
      <c r="BR137" s="1334">
        <f t="shared" si="204"/>
        <v>2521776646.5679197</v>
      </c>
      <c r="BS137" s="1334">
        <f t="shared" si="257"/>
        <v>273788965.23719996</v>
      </c>
      <c r="BT137" s="1334">
        <f t="shared" si="257"/>
        <v>1046845983.5506904</v>
      </c>
      <c r="BU137" s="1334">
        <f t="shared" si="257"/>
        <v>283580993.10730964</v>
      </c>
      <c r="BV137" s="1334">
        <f t="shared" si="205"/>
        <v>316411482.28391999</v>
      </c>
      <c r="BW137" s="1334">
        <f t="shared" si="265"/>
        <v>6653368.3199999994</v>
      </c>
      <c r="BX137" s="1334">
        <f t="shared" si="206"/>
        <v>1927280792.49912</v>
      </c>
      <c r="BY137" s="1334">
        <f t="shared" si="207"/>
        <v>1920627424.1791201</v>
      </c>
      <c r="BZ137" s="1389">
        <f t="shared" si="155"/>
        <v>2607789621.4324474</v>
      </c>
      <c r="CA137" s="1389">
        <f t="shared" si="155"/>
        <v>574954029.16755235</v>
      </c>
      <c r="CB137" s="1389">
        <f t="shared" si="208"/>
        <v>3182743650.5999999</v>
      </c>
      <c r="CC137" s="1420">
        <f t="shared" si="156"/>
        <v>2297.1472323400826</v>
      </c>
      <c r="CD137" s="1420">
        <f t="shared" si="156"/>
        <v>2312.7735524952509</v>
      </c>
      <c r="CE137" s="1420">
        <f t="shared" si="178"/>
        <v>2299.9544384457904</v>
      </c>
      <c r="CF137" s="1420">
        <f t="shared" si="158"/>
        <v>2299.9544384457904</v>
      </c>
      <c r="CG137" s="1421">
        <f t="shared" si="159"/>
        <v>3370540924.7459998</v>
      </c>
      <c r="CH137" s="1421">
        <f t="shared" si="179"/>
        <v>2435.6628779610774</v>
      </c>
      <c r="CI137" s="1491"/>
      <c r="CJ137" s="1492">
        <f t="shared" si="211"/>
        <v>2905401.3506263201</v>
      </c>
      <c r="CK137" s="1492">
        <f t="shared" si="160"/>
        <v>2358047.9583378597</v>
      </c>
      <c r="CL137" s="1500">
        <f t="shared" si="194"/>
        <v>5263449.3089641798</v>
      </c>
      <c r="CM137" s="1501">
        <f t="shared" si="180"/>
        <v>5263449.3089641789</v>
      </c>
      <c r="CN137" s="1501">
        <f t="shared" si="181"/>
        <v>0</v>
      </c>
      <c r="CO137" s="1493">
        <f t="shared" si="161"/>
        <v>4959133465.7509804</v>
      </c>
      <c r="CP137" s="1493">
        <f t="shared" si="162"/>
        <v>4579948238.306879</v>
      </c>
      <c r="CQ137" s="1493">
        <f t="shared" si="163"/>
        <v>4579948238.306879</v>
      </c>
      <c r="CR137" s="1493">
        <f t="shared" si="164"/>
        <v>2521776646.5679197</v>
      </c>
      <c r="CS137" s="1493">
        <f t="shared" si="165"/>
        <v>4992285248.7561808</v>
      </c>
      <c r="CT137" s="1493">
        <f t="shared" si="166"/>
        <v>4992285248.7561798</v>
      </c>
      <c r="CU137" s="1493">
        <f t="shared" si="167"/>
        <v>2249559545.0370598</v>
      </c>
      <c r="CV137" s="1493">
        <f t="shared" si="182"/>
        <v>9572233487.0630608</v>
      </c>
      <c r="CW137" s="1625">
        <f t="shared" si="183"/>
        <v>4726.5519909101422</v>
      </c>
      <c r="CX137" s="1493">
        <f t="shared" si="168"/>
        <v>3087626941.3799996</v>
      </c>
      <c r="CY137" s="1493">
        <f t="shared" si="169"/>
        <v>3325368763.5799999</v>
      </c>
      <c r="CZ137" s="1493"/>
      <c r="DA137" s="1493">
        <f t="shared" si="170"/>
        <v>4712148190.3348799</v>
      </c>
      <c r="DB137" s="1493">
        <f t="shared" si="171"/>
        <v>5263449308.96418</v>
      </c>
      <c r="DC137" s="675"/>
      <c r="DD137" s="676">
        <f t="shared" si="184"/>
        <v>116.48210396106167</v>
      </c>
      <c r="DE137" s="675"/>
      <c r="DF137" s="675"/>
      <c r="DG137" s="675"/>
      <c r="DH137" s="1679">
        <f>AH137</f>
        <v>2025204.3149999999</v>
      </c>
      <c r="DI137" s="1581">
        <f>AJ137+AK137</f>
        <v>1383829</v>
      </c>
      <c r="DJ137" s="1680">
        <f>DH137-DI137</f>
        <v>641375.31499999994</v>
      </c>
      <c r="DK137" s="1491"/>
      <c r="DL137" s="1502">
        <f t="shared" si="172"/>
        <v>7876.0555199999999</v>
      </c>
      <c r="DM137" s="1502">
        <f t="shared" si="173"/>
        <v>6653.3683199999996</v>
      </c>
      <c r="DN137" s="1502">
        <f t="shared" si="174"/>
        <v>14529.423839999999</v>
      </c>
      <c r="DO137" s="625"/>
    </row>
    <row r="138" spans="1:142" s="50" customFormat="1" ht="81" hidden="1" customHeight="1">
      <c r="A138" s="6">
        <f t="shared" si="185"/>
        <v>125</v>
      </c>
      <c r="B138" s="1330" t="s">
        <v>47</v>
      </c>
      <c r="C138" s="1330" t="s">
        <v>56</v>
      </c>
      <c r="D138" s="1669" t="s">
        <v>272</v>
      </c>
      <c r="E138" s="1464">
        <v>4630001280</v>
      </c>
      <c r="F138" s="1330" t="s">
        <v>8</v>
      </c>
      <c r="G138" s="1332" t="s">
        <v>1027</v>
      </c>
      <c r="H138" s="1369">
        <f>1947.25*1.2</f>
        <v>2336.6999999999998</v>
      </c>
      <c r="I138" s="1335">
        <v>0</v>
      </c>
      <c r="J138" s="1335">
        <v>2336.6999999999998</v>
      </c>
      <c r="K138" s="1335">
        <v>0</v>
      </c>
      <c r="L138" s="1335">
        <v>0</v>
      </c>
      <c r="M138" s="1336">
        <v>0</v>
      </c>
      <c r="N138" s="1428">
        <f>2200.21*1.2</f>
        <v>2640.252</v>
      </c>
      <c r="O138" s="1339">
        <v>0</v>
      </c>
      <c r="P138" s="1339">
        <v>2640.25</v>
      </c>
      <c r="Q138" s="1339">
        <v>0</v>
      </c>
      <c r="R138" s="1339">
        <v>0</v>
      </c>
      <c r="S138" s="1336">
        <v>0</v>
      </c>
      <c r="T138" s="1347">
        <v>0</v>
      </c>
      <c r="U138" s="1341">
        <v>44.88</v>
      </c>
      <c r="V138" s="1341">
        <v>0</v>
      </c>
      <c r="W138" s="1341">
        <v>0</v>
      </c>
      <c r="X138" s="1341">
        <v>0</v>
      </c>
      <c r="Y138" s="1341">
        <v>6010.71</v>
      </c>
      <c r="Z138" s="1342">
        <f>U138</f>
        <v>44.88</v>
      </c>
      <c r="AA138" s="1348">
        <v>0</v>
      </c>
      <c r="AB138" s="1341">
        <v>33.659999999999997</v>
      </c>
      <c r="AC138" s="1341">
        <v>0</v>
      </c>
      <c r="AD138" s="1341">
        <v>0</v>
      </c>
      <c r="AE138" s="1341">
        <v>0</v>
      </c>
      <c r="AF138" s="1341">
        <v>6021.93</v>
      </c>
      <c r="AG138" s="1344">
        <f>AB138</f>
        <v>33.659999999999997</v>
      </c>
      <c r="AH138" s="1340">
        <f>Z138+AG138</f>
        <v>78.539999999999992</v>
      </c>
      <c r="AI138" s="1341">
        <f t="shared" ref="AI138:AM142" si="271">T138+AA138</f>
        <v>0</v>
      </c>
      <c r="AJ138" s="1341">
        <f t="shared" si="271"/>
        <v>78.539999999999992</v>
      </c>
      <c r="AK138" s="1341">
        <f t="shared" si="271"/>
        <v>0</v>
      </c>
      <c r="AL138" s="1341">
        <f t="shared" si="271"/>
        <v>0</v>
      </c>
      <c r="AM138" s="1341">
        <f t="shared" si="271"/>
        <v>0</v>
      </c>
      <c r="AN138" s="1341">
        <f>AF138+Y138</f>
        <v>12032.64</v>
      </c>
      <c r="AO138" s="1341">
        <f>SUM(AI138:AN138)</f>
        <v>12111.18</v>
      </c>
      <c r="AP138" s="1341">
        <f t="shared" si="229"/>
        <v>78.539999999999992</v>
      </c>
      <c r="AQ138" s="1345">
        <f t="shared" si="270"/>
        <v>78.539999999999992</v>
      </c>
      <c r="AR138" s="1346">
        <f t="shared" si="177"/>
        <v>0</v>
      </c>
      <c r="AS138" s="1347">
        <f t="shared" si="260"/>
        <v>0</v>
      </c>
      <c r="AT138" s="1341">
        <f>J138*AJ138</f>
        <v>183524.41799999998</v>
      </c>
      <c r="AU138" s="1341">
        <f t="shared" si="260"/>
        <v>0</v>
      </c>
      <c r="AV138" s="1341">
        <f t="shared" si="260"/>
        <v>0</v>
      </c>
      <c r="AW138" s="1341">
        <f t="shared" si="260"/>
        <v>0</v>
      </c>
      <c r="AX138" s="1341">
        <f t="shared" si="266"/>
        <v>183524.41799999998</v>
      </c>
      <c r="AY138" s="1341">
        <f t="shared" si="267"/>
        <v>183524.41799999998</v>
      </c>
      <c r="AZ138" s="1341">
        <f t="shared" si="246"/>
        <v>0</v>
      </c>
      <c r="BA138" s="1341">
        <f t="shared" si="246"/>
        <v>207365.23499999999</v>
      </c>
      <c r="BB138" s="1341">
        <f t="shared" si="246"/>
        <v>0</v>
      </c>
      <c r="BC138" s="1341">
        <f t="shared" si="246"/>
        <v>0</v>
      </c>
      <c r="BD138" s="1341">
        <f t="shared" si="259"/>
        <v>0</v>
      </c>
      <c r="BE138" s="1341">
        <f t="shared" si="268"/>
        <v>207365.23499999999</v>
      </c>
      <c r="BF138" s="1345">
        <f t="shared" si="269"/>
        <v>207365.23499999999</v>
      </c>
      <c r="BG138" s="1348">
        <v>0</v>
      </c>
      <c r="BH138" s="1341">
        <v>0</v>
      </c>
      <c r="BI138" s="1341">
        <v>0</v>
      </c>
      <c r="BJ138" s="1363">
        <v>25115.32</v>
      </c>
      <c r="BK138" s="1638"/>
      <c r="BL138" s="1341">
        <f t="shared" si="264"/>
        <v>0</v>
      </c>
      <c r="BM138" s="1341">
        <f t="shared" si="264"/>
        <v>104871.09600000001</v>
      </c>
      <c r="BN138" s="1341">
        <f t="shared" si="264"/>
        <v>0</v>
      </c>
      <c r="BO138" s="1341">
        <f t="shared" si="264"/>
        <v>0</v>
      </c>
      <c r="BP138" s="1341">
        <f t="shared" si="264"/>
        <v>0</v>
      </c>
      <c r="BQ138" s="1341">
        <f t="shared" si="203"/>
        <v>104871.09600000001</v>
      </c>
      <c r="BR138" s="1341">
        <f t="shared" si="204"/>
        <v>104871.09600000001</v>
      </c>
      <c r="BS138" s="1341">
        <f t="shared" si="257"/>
        <v>0</v>
      </c>
      <c r="BT138" s="1341">
        <f t="shared" si="257"/>
        <v>88870.814999999988</v>
      </c>
      <c r="BU138" s="1341">
        <f t="shared" si="257"/>
        <v>0</v>
      </c>
      <c r="BV138" s="1341">
        <f t="shared" si="205"/>
        <v>0</v>
      </c>
      <c r="BW138" s="1341">
        <f t="shared" si="265"/>
        <v>0</v>
      </c>
      <c r="BX138" s="1341">
        <f t="shared" si="206"/>
        <v>88870.814999999988</v>
      </c>
      <c r="BY138" s="1341">
        <f t="shared" si="207"/>
        <v>88870.814999999988</v>
      </c>
      <c r="BZ138" s="1349">
        <f t="shared" si="155"/>
        <v>193741.91099999999</v>
      </c>
      <c r="CA138" s="1349">
        <f t="shared" si="155"/>
        <v>0</v>
      </c>
      <c r="CB138" s="1349">
        <f t="shared" si="208"/>
        <v>193741.91099999999</v>
      </c>
      <c r="CC138" s="1351">
        <f t="shared" si="156"/>
        <v>2466.7928571428574</v>
      </c>
      <c r="CD138" s="1351" t="e">
        <f t="shared" si="156"/>
        <v>#DIV/0!</v>
      </c>
      <c r="CE138" s="1351">
        <f t="shared" si="178"/>
        <v>2466.7928571428574</v>
      </c>
      <c r="CF138" s="1351">
        <f t="shared" si="158"/>
        <v>2466.7928571428574</v>
      </c>
      <c r="CG138" s="1367">
        <f t="shared" si="159"/>
        <v>0</v>
      </c>
      <c r="CH138" s="1367">
        <f t="shared" si="179"/>
        <v>0</v>
      </c>
      <c r="CI138" s="1623"/>
      <c r="CJ138" s="1482">
        <f t="shared" si="211"/>
        <v>118.49450976</v>
      </c>
      <c r="CK138" s="1482">
        <f t="shared" si="160"/>
        <v>88.870882319999993</v>
      </c>
      <c r="CL138" s="1482">
        <f t="shared" si="194"/>
        <v>207.36539207999999</v>
      </c>
      <c r="CM138" s="1484">
        <f t="shared" si="180"/>
        <v>207.36539207999996</v>
      </c>
      <c r="CN138" s="1484">
        <f t="shared" si="181"/>
        <v>0</v>
      </c>
      <c r="CO138" s="1484">
        <f>H138*Z138+N138*AG138</f>
        <v>193741.97831999999</v>
      </c>
      <c r="CP138" s="1484">
        <f t="shared" si="162"/>
        <v>183524.41799999998</v>
      </c>
      <c r="CQ138" s="1484">
        <f t="shared" si="163"/>
        <v>183524.41799999998</v>
      </c>
      <c r="CR138" s="1484">
        <f t="shared" si="164"/>
        <v>104871.09600000001</v>
      </c>
      <c r="CS138" s="1484">
        <f t="shared" si="165"/>
        <v>207365.23499999999</v>
      </c>
      <c r="CT138" s="1484">
        <f t="shared" si="166"/>
        <v>207365.23499999999</v>
      </c>
      <c r="CU138" s="1484">
        <f t="shared" si="167"/>
        <v>88870.814999999988</v>
      </c>
      <c r="CV138" s="1484">
        <f t="shared" si="182"/>
        <v>390889.65299999993</v>
      </c>
      <c r="CW138" s="1526">
        <f t="shared" si="183"/>
        <v>4976.95</v>
      </c>
      <c r="CX138" s="1484">
        <f t="shared" si="168"/>
        <v>183524.41799999998</v>
      </c>
      <c r="CY138" s="1484">
        <f t="shared" si="169"/>
        <v>207365.23499999999</v>
      </c>
      <c r="CZ138" s="1484"/>
      <c r="DA138" s="1484">
        <f t="shared" si="170"/>
        <v>183524.41799999998</v>
      </c>
      <c r="DB138" s="1484">
        <f t="shared" si="171"/>
        <v>207365.39207999996</v>
      </c>
      <c r="DC138" s="1624"/>
      <c r="DD138" s="651">
        <f t="shared" si="184"/>
        <v>112.99062780844781</v>
      </c>
      <c r="DE138" s="1624"/>
      <c r="DF138" s="1624"/>
      <c r="DG138" s="1624"/>
      <c r="DH138" s="1487">
        <v>78.539999999999992</v>
      </c>
      <c r="DI138" s="1487">
        <v>78.539999999999992</v>
      </c>
      <c r="DJ138" s="1487">
        <f t="shared" si="195"/>
        <v>0</v>
      </c>
      <c r="DK138" s="1623"/>
      <c r="DL138" s="1489">
        <f t="shared" si="172"/>
        <v>0</v>
      </c>
      <c r="DM138" s="1489">
        <f t="shared" si="173"/>
        <v>0</v>
      </c>
      <c r="DN138" s="1489">
        <f t="shared" si="174"/>
        <v>0</v>
      </c>
    </row>
    <row r="139" spans="1:142" s="81" customFormat="1" ht="81" hidden="1" customHeight="1">
      <c r="A139" s="6">
        <f t="shared" si="185"/>
        <v>126</v>
      </c>
      <c r="B139" s="1330" t="s">
        <v>47</v>
      </c>
      <c r="C139" s="1330" t="s">
        <v>56</v>
      </c>
      <c r="D139" s="1330" t="s">
        <v>981</v>
      </c>
      <c r="E139" s="1626">
        <v>3123389689</v>
      </c>
      <c r="F139" s="1330" t="s">
        <v>8</v>
      </c>
      <c r="G139" s="1332" t="s">
        <v>1008</v>
      </c>
      <c r="H139" s="1369">
        <v>2270.29</v>
      </c>
      <c r="I139" s="1335">
        <v>0</v>
      </c>
      <c r="J139" s="1335">
        <v>2270.29</v>
      </c>
      <c r="K139" s="1335">
        <v>2270.29</v>
      </c>
      <c r="L139" s="1335">
        <v>2270.29</v>
      </c>
      <c r="M139" s="1336">
        <v>0</v>
      </c>
      <c r="N139" s="1371">
        <v>2470.62</v>
      </c>
      <c r="O139" s="1372"/>
      <c r="P139" s="1372">
        <v>2470.62</v>
      </c>
      <c r="Q139" s="1372">
        <v>2470.62</v>
      </c>
      <c r="R139" s="1372">
        <v>2470.62</v>
      </c>
      <c r="S139" s="1370"/>
      <c r="T139" s="1347"/>
      <c r="U139" s="1363">
        <v>1209.5371999972801</v>
      </c>
      <c r="V139" s="1363">
        <v>1054.5145484328</v>
      </c>
      <c r="W139" s="1363">
        <v>87.071399999999997</v>
      </c>
      <c r="X139" s="1341"/>
      <c r="Y139" s="1341"/>
      <c r="Z139" s="1364">
        <f>U139+V139+W139</f>
        <v>2351.1231484300797</v>
      </c>
      <c r="AA139" s="1348"/>
      <c r="AB139" s="1363">
        <v>773.31066885072005</v>
      </c>
      <c r="AC139" s="1363">
        <v>674.19782604720001</v>
      </c>
      <c r="AD139" s="1363">
        <v>55.668600000000005</v>
      </c>
      <c r="AE139" s="1363"/>
      <c r="AF139" s="1363"/>
      <c r="AG139" s="1458">
        <f>AB139+AC139+AD139</f>
        <v>1503.1770948979201</v>
      </c>
      <c r="AH139" s="1340">
        <f>Z139+AG139</f>
        <v>3854.3002433279999</v>
      </c>
      <c r="AI139" s="1341"/>
      <c r="AJ139" s="1363">
        <f t="shared" si="271"/>
        <v>1982.8478688480002</v>
      </c>
      <c r="AK139" s="1363">
        <f t="shared" si="271"/>
        <v>1728.7123744800001</v>
      </c>
      <c r="AL139" s="1363">
        <f t="shared" si="271"/>
        <v>142.74</v>
      </c>
      <c r="AM139" s="1341"/>
      <c r="AN139" s="1341">
        <f>AF139+Y139</f>
        <v>0</v>
      </c>
      <c r="AO139" s="1363">
        <f>SUM(AI139:AN139)</f>
        <v>3854.3002433279999</v>
      </c>
      <c r="AP139" s="1363">
        <f t="shared" si="229"/>
        <v>3854.3002433279999</v>
      </c>
      <c r="AQ139" s="1364">
        <f t="shared" si="270"/>
        <v>3854.3002433279999</v>
      </c>
      <c r="AR139" s="1346">
        <f>AQ139-AH139</f>
        <v>0</v>
      </c>
      <c r="AS139" s="1347"/>
      <c r="AT139" s="1341">
        <f t="shared" si="260"/>
        <v>4501639.6881669266</v>
      </c>
      <c r="AU139" s="1341"/>
      <c r="AV139" s="1341"/>
      <c r="AW139" s="1341"/>
      <c r="AX139" s="1341">
        <f t="shared" si="266"/>
        <v>4501639.6881669266</v>
      </c>
      <c r="AY139" s="1341">
        <f t="shared" si="267"/>
        <v>4501639.6881669266</v>
      </c>
      <c r="AZ139" s="1341"/>
      <c r="BA139" s="1341">
        <f t="shared" si="246"/>
        <v>4898863.6017332459</v>
      </c>
      <c r="BB139" s="1341">
        <f t="shared" si="246"/>
        <v>4270991.3666377775</v>
      </c>
      <c r="BC139" s="1341">
        <f>R139*AL139</f>
        <v>352656.29879999999</v>
      </c>
      <c r="BD139" s="1341"/>
      <c r="BE139" s="1341">
        <f t="shared" si="268"/>
        <v>9522511.2671710216</v>
      </c>
      <c r="BF139" s="1345">
        <f t="shared" si="269"/>
        <v>9522511.2671710216</v>
      </c>
      <c r="BG139" s="1348"/>
      <c r="BH139" s="1341"/>
      <c r="BI139" s="1341"/>
      <c r="BJ139" s="1363">
        <v>9051.514987666862</v>
      </c>
      <c r="BK139" s="1647">
        <v>10146.125120000001</v>
      </c>
      <c r="BL139" s="1341">
        <f t="shared" si="264"/>
        <v>0</v>
      </c>
      <c r="BM139" s="1341">
        <f t="shared" si="264"/>
        <v>2746000.2097818251</v>
      </c>
      <c r="BN139" s="1341">
        <f t="shared" si="264"/>
        <v>2394053.8341615014</v>
      </c>
      <c r="BO139" s="1341">
        <f t="shared" si="264"/>
        <v>197677.328706</v>
      </c>
      <c r="BP139" s="1341">
        <f t="shared" si="264"/>
        <v>0</v>
      </c>
      <c r="BQ139" s="1341">
        <f t="shared" si="203"/>
        <v>5337731.3726493269</v>
      </c>
      <c r="BR139" s="1341">
        <f t="shared" si="204"/>
        <v>5337731.3726493269</v>
      </c>
      <c r="BS139" s="1341">
        <f t="shared" si="257"/>
        <v>0</v>
      </c>
      <c r="BT139" s="1341">
        <f t="shared" si="257"/>
        <v>1910556.8046759658</v>
      </c>
      <c r="BU139" s="1341">
        <f t="shared" si="257"/>
        <v>1665686.6329887332</v>
      </c>
      <c r="BV139" s="1341">
        <f t="shared" si="205"/>
        <v>215120.34226799998</v>
      </c>
      <c r="BW139" s="1341">
        <f t="shared" si="265"/>
        <v>0</v>
      </c>
      <c r="BX139" s="1341">
        <f t="shared" si="206"/>
        <v>3791363.7799326987</v>
      </c>
      <c r="BY139" s="1341">
        <f t="shared" si="207"/>
        <v>3791363.7799326987</v>
      </c>
      <c r="BZ139" s="1349">
        <f t="shared" si="155"/>
        <v>4656557.0144577911</v>
      </c>
      <c r="CA139" s="1349">
        <f t="shared" si="155"/>
        <v>4059740.4671502346</v>
      </c>
      <c r="CB139" s="1349">
        <f t="shared" si="208"/>
        <v>8716297.4816080257</v>
      </c>
      <c r="CC139" s="1351">
        <f t="shared" si="156"/>
        <v>2348.4187000000002</v>
      </c>
      <c r="CD139" s="1351">
        <f t="shared" si="156"/>
        <v>2348.4186999999997</v>
      </c>
      <c r="CE139" s="1351">
        <f t="shared" si="178"/>
        <v>2348.4187000000002</v>
      </c>
      <c r="CF139" s="1351">
        <f t="shared" si="158"/>
        <v>2348.4187000000002</v>
      </c>
      <c r="CG139" s="1367">
        <f t="shared" si="159"/>
        <v>0</v>
      </c>
      <c r="CH139" s="1367">
        <f t="shared" si="179"/>
        <v>0</v>
      </c>
      <c r="CI139" s="1423"/>
      <c r="CJ139" s="1341">
        <f t="shared" si="211"/>
        <v>5808.7318729743229</v>
      </c>
      <c r="CK139" s="1341">
        <f t="shared" si="160"/>
        <v>3713.7793941966993</v>
      </c>
      <c r="CL139" s="1341">
        <f t="shared" si="194"/>
        <v>9522.5112671710231</v>
      </c>
      <c r="CM139" s="1341">
        <f t="shared" si="180"/>
        <v>9522.5112671710231</v>
      </c>
      <c r="CN139" s="1341">
        <f t="shared" si="181"/>
        <v>0</v>
      </c>
      <c r="CO139" s="1341">
        <f>H139*Z139+N139*AG139</f>
        <v>9051510.7668460254</v>
      </c>
      <c r="CP139" s="1341">
        <f t="shared" si="162"/>
        <v>8750379.2994251251</v>
      </c>
      <c r="CQ139" s="1341">
        <f t="shared" si="163"/>
        <v>8750379.2994251251</v>
      </c>
      <c r="CR139" s="1341">
        <f t="shared" si="164"/>
        <v>5337731.3726493269</v>
      </c>
      <c r="CS139" s="1341">
        <f t="shared" si="165"/>
        <v>9522511.2671710216</v>
      </c>
      <c r="CT139" s="1341">
        <f t="shared" si="166"/>
        <v>9522511.2671710216</v>
      </c>
      <c r="CU139" s="1341">
        <f t="shared" si="167"/>
        <v>3713779.3941966989</v>
      </c>
      <c r="CV139" s="1341">
        <f t="shared" si="182"/>
        <v>18272890.566596147</v>
      </c>
      <c r="CW139" s="1350">
        <f t="shared" si="183"/>
        <v>4740.91</v>
      </c>
      <c r="CX139" s="1341">
        <f t="shared" si="168"/>
        <v>8426318.104825126</v>
      </c>
      <c r="CY139" s="1341">
        <f t="shared" si="169"/>
        <v>9169854.9683710225</v>
      </c>
      <c r="CZ139" s="1341"/>
      <c r="DA139" s="1341">
        <f t="shared" si="170"/>
        <v>8750379.2994251251</v>
      </c>
      <c r="DB139" s="1341">
        <f t="shared" si="171"/>
        <v>9522511.2671710216</v>
      </c>
      <c r="DC139" s="1575"/>
      <c r="DD139" s="192">
        <f t="shared" si="184"/>
        <v>108.82398283919674</v>
      </c>
      <c r="DE139" s="1575"/>
      <c r="DF139" s="1575"/>
      <c r="DG139" s="1575"/>
      <c r="DH139" s="1341"/>
      <c r="DI139" s="1341"/>
      <c r="DJ139" s="1341"/>
      <c r="DK139" s="1423"/>
      <c r="DL139" s="1352"/>
      <c r="DM139" s="1352"/>
      <c r="DN139" s="1352"/>
    </row>
    <row r="140" spans="1:142" s="81" customFormat="1" ht="75.75" hidden="1" customHeight="1">
      <c r="A140" s="6">
        <f t="shared" si="185"/>
        <v>127</v>
      </c>
      <c r="B140" s="1330" t="s">
        <v>47</v>
      </c>
      <c r="C140" s="1330" t="s">
        <v>56</v>
      </c>
      <c r="D140" s="1330" t="s">
        <v>189</v>
      </c>
      <c r="E140" s="1464">
        <v>3666120176</v>
      </c>
      <c r="F140" s="1330" t="s">
        <v>8</v>
      </c>
      <c r="G140" s="1332" t="s">
        <v>1007</v>
      </c>
      <c r="H140" s="1369">
        <v>1844.2847200799181</v>
      </c>
      <c r="I140" s="1335">
        <v>0</v>
      </c>
      <c r="J140" s="1335">
        <v>1844.2847200799181</v>
      </c>
      <c r="K140" s="1335">
        <v>1844.2847200799181</v>
      </c>
      <c r="L140" s="1335">
        <v>1844.2847200799181</v>
      </c>
      <c r="M140" s="1336">
        <v>0</v>
      </c>
      <c r="N140" s="1371">
        <v>2069.2199999999998</v>
      </c>
      <c r="O140" s="1372"/>
      <c r="P140" s="1372">
        <v>2069.2199999999998</v>
      </c>
      <c r="Q140" s="1372">
        <v>2069.2199999999998</v>
      </c>
      <c r="R140" s="1372">
        <v>2069.2199999999998</v>
      </c>
      <c r="S140" s="1370"/>
      <c r="T140" s="1347">
        <v>0</v>
      </c>
      <c r="U140" s="1363">
        <v>12888.256680000002</v>
      </c>
      <c r="V140" s="1363">
        <v>6794.6639999999998</v>
      </c>
      <c r="W140" s="1363">
        <v>38.265000000000001</v>
      </c>
      <c r="X140" s="1363">
        <v>0</v>
      </c>
      <c r="Y140" s="1363">
        <v>0</v>
      </c>
      <c r="Z140" s="1364">
        <f>SUM(T140:W140)</f>
        <v>19721.185680000002</v>
      </c>
      <c r="AA140" s="1348">
        <v>0</v>
      </c>
      <c r="AB140" s="1363">
        <v>8914.5193199999994</v>
      </c>
      <c r="AC140" s="1363">
        <v>6551.076</v>
      </c>
      <c r="AD140" s="1363">
        <v>29.622</v>
      </c>
      <c r="AE140" s="1363">
        <v>0</v>
      </c>
      <c r="AF140" s="1363">
        <v>0</v>
      </c>
      <c r="AG140" s="1458">
        <f>SUM(AA140:AD140)</f>
        <v>15495.21732</v>
      </c>
      <c r="AH140" s="1404">
        <f>Z140+AG140</f>
        <v>35216.403000000006</v>
      </c>
      <c r="AI140" s="1341">
        <f t="shared" si="271"/>
        <v>0</v>
      </c>
      <c r="AJ140" s="1363">
        <f t="shared" si="271"/>
        <v>21802.776000000002</v>
      </c>
      <c r="AK140" s="1341">
        <f t="shared" si="271"/>
        <v>13345.74</v>
      </c>
      <c r="AL140" s="1363">
        <f t="shared" si="271"/>
        <v>67.887</v>
      </c>
      <c r="AM140" s="1341">
        <f t="shared" si="271"/>
        <v>0</v>
      </c>
      <c r="AN140" s="1341"/>
      <c r="AO140" s="1363">
        <f>SUM(AI140:AN140)</f>
        <v>35216.403000000006</v>
      </c>
      <c r="AP140" s="1363">
        <f>SUM(AI140:AM140)</f>
        <v>35216.403000000006</v>
      </c>
      <c r="AQ140" s="1364">
        <f>SUM(AI140:AL140)</f>
        <v>35216.403000000006</v>
      </c>
      <c r="AR140" s="1346">
        <f t="shared" si="177"/>
        <v>0</v>
      </c>
      <c r="AS140" s="1347">
        <f t="shared" si="260"/>
        <v>0</v>
      </c>
      <c r="AT140" s="1341">
        <f t="shared" si="260"/>
        <v>40210526.632125162</v>
      </c>
      <c r="AU140" s="1341">
        <f t="shared" si="260"/>
        <v>24613344.360159367</v>
      </c>
      <c r="AV140" s="1341">
        <f t="shared" si="260"/>
        <v>125202.95679206539</v>
      </c>
      <c r="AW140" s="1341">
        <f t="shared" si="260"/>
        <v>0</v>
      </c>
      <c r="AX140" s="1341">
        <f t="shared" si="266"/>
        <v>64949073.949076593</v>
      </c>
      <c r="AY140" s="1341">
        <f t="shared" si="267"/>
        <v>64949073.949076593</v>
      </c>
      <c r="AZ140" s="1341">
        <f t="shared" ref="AZ140:BC142" si="272">O140*AI140</f>
        <v>0</v>
      </c>
      <c r="BA140" s="1341">
        <f t="shared" si="272"/>
        <v>45114740.154720001</v>
      </c>
      <c r="BB140" s="1341">
        <f t="shared" si="272"/>
        <v>27615272.122799996</v>
      </c>
      <c r="BC140" s="1341">
        <f t="shared" si="272"/>
        <v>140473.13814</v>
      </c>
      <c r="BD140" s="1341">
        <f t="shared" si="259"/>
        <v>0</v>
      </c>
      <c r="BE140" s="1341">
        <f t="shared" si="268"/>
        <v>72870485.415659994</v>
      </c>
      <c r="BF140" s="1345">
        <f t="shared" si="269"/>
        <v>72870485.415659994</v>
      </c>
      <c r="BG140" s="1348">
        <v>0</v>
      </c>
      <c r="BH140" s="1341">
        <v>0</v>
      </c>
      <c r="BI140" s="1341">
        <v>0</v>
      </c>
      <c r="BJ140" s="1363">
        <v>68434.438395187681</v>
      </c>
      <c r="BK140" s="1647">
        <v>79854.820000000007</v>
      </c>
      <c r="BL140" s="1341">
        <f t="shared" si="264"/>
        <v>0</v>
      </c>
      <c r="BM140" s="1341">
        <f>J140*U140</f>
        <v>23769614.86339194</v>
      </c>
      <c r="BN140" s="1341">
        <f t="shared" si="264"/>
        <v>12531294.993277095</v>
      </c>
      <c r="BO140" s="1341">
        <f t="shared" si="264"/>
        <v>70571.554813858063</v>
      </c>
      <c r="BP140" s="1341">
        <f t="shared" si="264"/>
        <v>0</v>
      </c>
      <c r="BQ140" s="1341">
        <f t="shared" si="203"/>
        <v>36371481.411482893</v>
      </c>
      <c r="BR140" s="1341">
        <f t="shared" si="204"/>
        <v>36371481.411482893</v>
      </c>
      <c r="BS140" s="1341">
        <f t="shared" si="257"/>
        <v>0</v>
      </c>
      <c r="BT140" s="1341">
        <f t="shared" si="257"/>
        <v>18446101.667330395</v>
      </c>
      <c r="BU140" s="1341">
        <f>Q140*AC140</f>
        <v>13555617.480719998</v>
      </c>
      <c r="BV140" s="1341">
        <f>R140*W140</f>
        <v>79178.703299999994</v>
      </c>
      <c r="BW140" s="1341">
        <f t="shared" si="265"/>
        <v>0</v>
      </c>
      <c r="BX140" s="1341">
        <f>BS140+BT140+BU140+BV140+BW140</f>
        <v>32080897.851350393</v>
      </c>
      <c r="BY140" s="1341">
        <f>BX140-BW140</f>
        <v>32080897.851350393</v>
      </c>
      <c r="BZ140" s="1349">
        <f t="shared" si="155"/>
        <v>42215716.530722335</v>
      </c>
      <c r="CA140" s="1349">
        <f t="shared" si="155"/>
        <v>26086912.473997094</v>
      </c>
      <c r="CB140" s="1349">
        <f t="shared" si="208"/>
        <v>68302629.004719436</v>
      </c>
      <c r="CC140" s="1351">
        <f t="shared" si="156"/>
        <v>1936.2541967464294</v>
      </c>
      <c r="CD140" s="1351">
        <f t="shared" si="156"/>
        <v>1954.6995875835355</v>
      </c>
      <c r="CE140" s="1351">
        <f t="shared" si="178"/>
        <v>1943.2578321292265</v>
      </c>
      <c r="CF140" s="1351">
        <f t="shared" si="158"/>
        <v>1943.2578321292265</v>
      </c>
      <c r="CG140" s="1367">
        <f t="shared" si="159"/>
        <v>0</v>
      </c>
      <c r="CH140" s="1367">
        <f t="shared" si="179"/>
        <v>0</v>
      </c>
      <c r="CI140" s="1423"/>
      <c r="CJ140" s="1341">
        <f t="shared" si="211"/>
        <v>40807.471832769603</v>
      </c>
      <c r="CK140" s="1341">
        <f t="shared" si="160"/>
        <v>32063.013582890395</v>
      </c>
      <c r="CL140" s="1341">
        <f t="shared" si="194"/>
        <v>72870.48541565999</v>
      </c>
      <c r="CM140" s="1341">
        <f t="shared" si="180"/>
        <v>72870.485415660005</v>
      </c>
      <c r="CN140" s="1341">
        <f t="shared" si="181"/>
        <v>0</v>
      </c>
      <c r="CO140" s="1341">
        <f t="shared" si="161"/>
        <v>68434494.994373292</v>
      </c>
      <c r="CP140" s="1341">
        <f t="shared" si="162"/>
        <v>64949073.949076593</v>
      </c>
      <c r="CQ140" s="1341">
        <f t="shared" si="163"/>
        <v>64949073.949076593</v>
      </c>
      <c r="CR140" s="1341">
        <f t="shared" si="164"/>
        <v>36371481.411482893</v>
      </c>
      <c r="CS140" s="1341">
        <f t="shared" si="165"/>
        <v>72870485.415659994</v>
      </c>
      <c r="CT140" s="1341">
        <f t="shared" si="166"/>
        <v>72870485.415659994</v>
      </c>
      <c r="CU140" s="1341">
        <f t="shared" si="167"/>
        <v>32063013.582890395</v>
      </c>
      <c r="CV140" s="1341">
        <f t="shared" si="182"/>
        <v>137819559.36473659</v>
      </c>
      <c r="CW140" s="1350">
        <f t="shared" si="183"/>
        <v>3913.5047200799172</v>
      </c>
      <c r="CX140" s="1341">
        <f t="shared" si="168"/>
        <v>64823870.992284529</v>
      </c>
      <c r="CY140" s="1341">
        <f t="shared" si="169"/>
        <v>72730012.277520001</v>
      </c>
      <c r="CZ140" s="1341"/>
      <c r="DA140" s="1341">
        <f t="shared" si="170"/>
        <v>64949073.949076593</v>
      </c>
      <c r="DB140" s="1341">
        <f t="shared" si="171"/>
        <v>72870485.415659994</v>
      </c>
      <c r="DC140" s="1575"/>
      <c r="DD140" s="40">
        <f t="shared" si="184"/>
        <v>112.19634243406489</v>
      </c>
      <c r="DE140" s="1575"/>
      <c r="DF140" s="1575"/>
      <c r="DG140" s="1575"/>
      <c r="DH140" s="1341">
        <v>25278.739999999998</v>
      </c>
      <c r="DI140" s="1341">
        <v>24910.03</v>
      </c>
      <c r="DJ140" s="1341">
        <f t="shared" si="195"/>
        <v>368.70999999999913</v>
      </c>
      <c r="DK140" s="1423"/>
      <c r="DL140" s="1352">
        <f t="shared" si="172"/>
        <v>0</v>
      </c>
      <c r="DM140" s="1352">
        <f t="shared" si="173"/>
        <v>0</v>
      </c>
      <c r="DN140" s="1352">
        <f t="shared" si="174"/>
        <v>0</v>
      </c>
    </row>
    <row r="141" spans="1:142" s="50" customFormat="1" ht="83.25" hidden="1" customHeight="1">
      <c r="A141" s="6">
        <f t="shared" si="185"/>
        <v>128</v>
      </c>
      <c r="B141" s="1330" t="s">
        <v>52</v>
      </c>
      <c r="C141" s="1663" t="s">
        <v>52</v>
      </c>
      <c r="D141" s="1663" t="s">
        <v>255</v>
      </c>
      <c r="E141" s="1663">
        <v>4634002573</v>
      </c>
      <c r="F141" s="1663" t="s">
        <v>8</v>
      </c>
      <c r="G141" s="1666" t="s">
        <v>1028</v>
      </c>
      <c r="H141" s="1369">
        <v>780.30450254239327</v>
      </c>
      <c r="I141" s="1335">
        <v>780.30450254239327</v>
      </c>
      <c r="J141" s="1335">
        <v>780.30450254239327</v>
      </c>
      <c r="K141" s="1335">
        <v>780.30450254239327</v>
      </c>
      <c r="L141" s="1335">
        <v>780.30450254239327</v>
      </c>
      <c r="M141" s="1390">
        <v>0</v>
      </c>
      <c r="N141" s="1337">
        <v>826.91</v>
      </c>
      <c r="O141" s="1338">
        <f>N141</f>
        <v>826.91</v>
      </c>
      <c r="P141" s="1338">
        <f>O141</f>
        <v>826.91</v>
      </c>
      <c r="Q141" s="1338">
        <f>P141</f>
        <v>826.91</v>
      </c>
      <c r="R141" s="1338">
        <f>Q141</f>
        <v>826.91</v>
      </c>
      <c r="S141" s="1396">
        <v>0</v>
      </c>
      <c r="T141" s="1347">
        <v>23004</v>
      </c>
      <c r="U141" s="1341">
        <f>126399.4-V141</f>
        <v>100355.4</v>
      </c>
      <c r="V141" s="1341">
        <v>26044</v>
      </c>
      <c r="W141" s="1447">
        <v>27165</v>
      </c>
      <c r="X141" s="1447">
        <v>0</v>
      </c>
      <c r="Y141" s="1341">
        <v>0</v>
      </c>
      <c r="Z141" s="1342">
        <f t="shared" si="175"/>
        <v>176568.4</v>
      </c>
      <c r="AA141" s="1348">
        <v>15600</v>
      </c>
      <c r="AB141" s="1341">
        <f>101445.99-AC141</f>
        <v>75401.990000000005</v>
      </c>
      <c r="AC141" s="1341">
        <v>26044</v>
      </c>
      <c r="AD141" s="1341">
        <v>18738.509999999998</v>
      </c>
      <c r="AE141" s="1341">
        <v>0</v>
      </c>
      <c r="AF141" s="1341">
        <v>0</v>
      </c>
      <c r="AG141" s="1344">
        <f>SUM(AA141:AF141)</f>
        <v>135784.5</v>
      </c>
      <c r="AH141" s="1340">
        <f t="shared" si="200"/>
        <v>312352.90000000002</v>
      </c>
      <c r="AI141" s="1504">
        <f t="shared" si="271"/>
        <v>38604</v>
      </c>
      <c r="AJ141" s="1366">
        <f t="shared" si="271"/>
        <v>175757.39</v>
      </c>
      <c r="AK141" s="1366">
        <f t="shared" si="271"/>
        <v>52088</v>
      </c>
      <c r="AL141" s="1505">
        <f t="shared" si="271"/>
        <v>45903.509999999995</v>
      </c>
      <c r="AM141" s="1341">
        <f t="shared" si="271"/>
        <v>0</v>
      </c>
      <c r="AN141" s="1341"/>
      <c r="AO141" s="1447">
        <f>SUM(AI141:AN141)</f>
        <v>312352.90000000002</v>
      </c>
      <c r="AP141" s="1341">
        <f>SUM(AI141:AM141)</f>
        <v>312352.90000000002</v>
      </c>
      <c r="AQ141" s="1345">
        <f>SUM(AI141:AL141)</f>
        <v>312352.90000000002</v>
      </c>
      <c r="AR141" s="1346">
        <f t="shared" si="177"/>
        <v>0</v>
      </c>
      <c r="AS141" s="1347">
        <f t="shared" si="260"/>
        <v>30122875.016146548</v>
      </c>
      <c r="AT141" s="1341">
        <f t="shared" si="260"/>
        <v>137144282.77209941</v>
      </c>
      <c r="AU141" s="1341">
        <f t="shared" si="260"/>
        <v>40644500.928428181</v>
      </c>
      <c r="AV141" s="1341">
        <f t="shared" si="260"/>
        <v>35818715.535499774</v>
      </c>
      <c r="AW141" s="1341">
        <f t="shared" si="260"/>
        <v>0</v>
      </c>
      <c r="AX141" s="1341">
        <f t="shared" si="266"/>
        <v>243730374.2521739</v>
      </c>
      <c r="AY141" s="1341">
        <f t="shared" si="267"/>
        <v>243730374.2521739</v>
      </c>
      <c r="AZ141" s="1341">
        <f t="shared" si="272"/>
        <v>31922033.640000001</v>
      </c>
      <c r="BA141" s="1341">
        <f t="shared" si="272"/>
        <v>145335543.36489999</v>
      </c>
      <c r="BB141" s="1341">
        <f t="shared" si="272"/>
        <v>43072088.079999998</v>
      </c>
      <c r="BC141" s="1341">
        <f t="shared" si="272"/>
        <v>37958071.454099998</v>
      </c>
      <c r="BD141" s="1341">
        <f t="shared" si="259"/>
        <v>0</v>
      </c>
      <c r="BE141" s="1341">
        <f t="shared" si="268"/>
        <v>258287736.53899997</v>
      </c>
      <c r="BF141" s="1345">
        <f t="shared" si="269"/>
        <v>258287736.53899997</v>
      </c>
      <c r="BG141" s="1348">
        <v>0</v>
      </c>
      <c r="BH141" s="1341">
        <v>0</v>
      </c>
      <c r="BI141" s="1341">
        <f t="shared" si="263"/>
        <v>0</v>
      </c>
      <c r="BJ141" s="1341">
        <v>216571.17895999999</v>
      </c>
      <c r="BK141" s="1638">
        <v>208382.13459773851</v>
      </c>
      <c r="BL141" s="1341">
        <f t="shared" si="264"/>
        <v>17950124.776485216</v>
      </c>
      <c r="BM141" s="1341">
        <f t="shared" si="264"/>
        <v>78307770.474442884</v>
      </c>
      <c r="BN141" s="1341">
        <f>K141*V141</f>
        <v>20322250.46421409</v>
      </c>
      <c r="BO141" s="1341">
        <f>L141*W141</f>
        <v>21196971.811564114</v>
      </c>
      <c r="BP141" s="1341">
        <f t="shared" si="264"/>
        <v>0</v>
      </c>
      <c r="BQ141" s="1341">
        <f>BL141+BM141+BN141+BO141+BP141</f>
        <v>137777117.52670631</v>
      </c>
      <c r="BR141" s="1341">
        <f>BQ141-BP141</f>
        <v>137777117.52670631</v>
      </c>
      <c r="BS141" s="1341">
        <f>O141*AA141</f>
        <v>12899796</v>
      </c>
      <c r="BT141" s="1341">
        <f>P141*AB141</f>
        <v>62350659.550900005</v>
      </c>
      <c r="BU141" s="1341">
        <f t="shared" si="257"/>
        <v>21536044.039999999</v>
      </c>
      <c r="BV141" s="1341">
        <f t="shared" si="205"/>
        <v>22463010.149999999</v>
      </c>
      <c r="BW141" s="1341">
        <f t="shared" si="265"/>
        <v>0</v>
      </c>
      <c r="BX141" s="1341">
        <f t="shared" si="206"/>
        <v>119249509.74090001</v>
      </c>
      <c r="BY141" s="1341">
        <f t="shared" si="207"/>
        <v>119249509.74090001</v>
      </c>
      <c r="BZ141" s="1349">
        <f t="shared" si="155"/>
        <v>140658430.02534288</v>
      </c>
      <c r="CA141" s="1349">
        <f t="shared" si="155"/>
        <v>41858294.504214093</v>
      </c>
      <c r="CB141" s="1349">
        <f t="shared" si="208"/>
        <v>182516724.52955699</v>
      </c>
      <c r="CC141" s="1351">
        <f t="shared" si="156"/>
        <v>800.29880977034804</v>
      </c>
      <c r="CD141" s="1351">
        <f t="shared" si="156"/>
        <v>803.60725127119667</v>
      </c>
      <c r="CE141" s="1351">
        <f t="shared" si="178"/>
        <v>801.05515643549768</v>
      </c>
      <c r="CF141" s="1351">
        <f t="shared" si="158"/>
        <v>801.05515643549768</v>
      </c>
      <c r="CG141" s="1367">
        <f t="shared" si="159"/>
        <v>182516724.52955699</v>
      </c>
      <c r="CH141" s="1367">
        <f t="shared" si="179"/>
        <v>801.05515643549768</v>
      </c>
      <c r="CI141" s="1481"/>
      <c r="CJ141" s="1482">
        <f t="shared" si="211"/>
        <v>146006.175644</v>
      </c>
      <c r="CK141" s="1482">
        <f t="shared" si="160"/>
        <v>112281.560895</v>
      </c>
      <c r="CL141" s="1482">
        <f t="shared" si="194"/>
        <v>258287.736539</v>
      </c>
      <c r="CM141" s="1484">
        <f t="shared" si="180"/>
        <v>258287.736539</v>
      </c>
      <c r="CN141" s="1484">
        <f t="shared" si="181"/>
        <v>0</v>
      </c>
      <c r="CO141" s="1485">
        <f t="shared" si="161"/>
        <v>250058678.42170632</v>
      </c>
      <c r="CP141" s="1485">
        <f t="shared" si="162"/>
        <v>243730374.2521739</v>
      </c>
      <c r="CQ141" s="1485">
        <f t="shared" si="163"/>
        <v>243730374.25217393</v>
      </c>
      <c r="CR141" s="1485">
        <f t="shared" si="164"/>
        <v>137777117.52670631</v>
      </c>
      <c r="CS141" s="1485">
        <f t="shared" si="165"/>
        <v>258287736.53899997</v>
      </c>
      <c r="CT141" s="1485">
        <f t="shared" si="166"/>
        <v>258287736.53900003</v>
      </c>
      <c r="CU141" s="1485">
        <f t="shared" si="167"/>
        <v>112281560.895</v>
      </c>
      <c r="CV141" s="1485">
        <f t="shared" si="182"/>
        <v>502018110.79117388</v>
      </c>
      <c r="CW141" s="1526">
        <f t="shared" si="183"/>
        <v>1607.2145025423931</v>
      </c>
      <c r="CX141" s="1485">
        <f t="shared" si="168"/>
        <v>177788783.70052758</v>
      </c>
      <c r="CY141" s="1485">
        <f t="shared" si="169"/>
        <v>188407631.44489998</v>
      </c>
      <c r="CZ141" s="1485"/>
      <c r="DA141" s="1485">
        <f t="shared" si="170"/>
        <v>243730374.2521739</v>
      </c>
      <c r="DB141" s="1485">
        <f t="shared" si="171"/>
        <v>258287736.53899997</v>
      </c>
      <c r="DC141" s="113"/>
      <c r="DD141" s="119">
        <f t="shared" si="184"/>
        <v>105.97273209442677</v>
      </c>
      <c r="DE141" s="113"/>
      <c r="DF141" s="113"/>
      <c r="DG141" s="113"/>
      <c r="DH141" s="1487">
        <f>AQ141</f>
        <v>312352.90000000002</v>
      </c>
      <c r="DI141" s="1672">
        <f>AJ141+AK141</f>
        <v>227845.39</v>
      </c>
      <c r="DJ141" s="1672">
        <f>DH141-DI141</f>
        <v>84507.510000000009</v>
      </c>
      <c r="DK141" s="1481"/>
      <c r="DL141" s="1488">
        <f t="shared" si="172"/>
        <v>0</v>
      </c>
      <c r="DM141" s="1488">
        <f t="shared" si="173"/>
        <v>0</v>
      </c>
      <c r="DN141" s="1488">
        <f t="shared" si="174"/>
        <v>0</v>
      </c>
      <c r="DO141" s="106"/>
    </row>
    <row r="142" spans="1:142" s="50" customFormat="1" ht="82.5" hidden="1" customHeight="1">
      <c r="A142" s="6">
        <f t="shared" si="185"/>
        <v>129</v>
      </c>
      <c r="B142" s="1330" t="s">
        <v>52</v>
      </c>
      <c r="C142" s="1782" t="s">
        <v>52</v>
      </c>
      <c r="D142" s="1782" t="s">
        <v>135</v>
      </c>
      <c r="E142" s="1330">
        <v>7721632827</v>
      </c>
      <c r="F142" s="1330" t="s">
        <v>8</v>
      </c>
      <c r="G142" s="1332" t="s">
        <v>972</v>
      </c>
      <c r="H142" s="1783">
        <v>321.43</v>
      </c>
      <c r="I142" s="1708">
        <v>321.43</v>
      </c>
      <c r="J142" s="1708">
        <v>321.43</v>
      </c>
      <c r="K142" s="1708">
        <v>321.43</v>
      </c>
      <c r="L142" s="1708">
        <v>321.43</v>
      </c>
      <c r="M142" s="1784">
        <v>321.43</v>
      </c>
      <c r="N142" s="1337">
        <f t="shared" ref="N142:S142" si="273">271.03*1.2</f>
        <v>325.23599999999993</v>
      </c>
      <c r="O142" s="1335">
        <f t="shared" si="273"/>
        <v>325.23599999999993</v>
      </c>
      <c r="P142" s="1338">
        <f t="shared" si="273"/>
        <v>325.23599999999993</v>
      </c>
      <c r="Q142" s="1338">
        <f t="shared" si="273"/>
        <v>325.23599999999993</v>
      </c>
      <c r="R142" s="1338">
        <f t="shared" si="273"/>
        <v>325.23599999999993</v>
      </c>
      <c r="S142" s="1416">
        <f t="shared" si="273"/>
        <v>325.23599999999993</v>
      </c>
      <c r="T142" s="1333"/>
      <c r="U142" s="1785">
        <v>248.36297999999999</v>
      </c>
      <c r="V142" s="1785">
        <v>46.63702</v>
      </c>
      <c r="W142" s="1785">
        <f>257061-X142</f>
        <v>55341</v>
      </c>
      <c r="X142" s="1785">
        <v>201720</v>
      </c>
      <c r="Y142" s="1719"/>
      <c r="Z142" s="1720">
        <f t="shared" si="175"/>
        <v>55636</v>
      </c>
      <c r="AA142" s="1418"/>
      <c r="AB142" s="1785">
        <v>125.65690478</v>
      </c>
      <c r="AC142" s="1785">
        <v>78.343095219999995</v>
      </c>
      <c r="AD142" s="1419">
        <f>176247-AE142</f>
        <v>28614</v>
      </c>
      <c r="AE142" s="1419">
        <f>147633</f>
        <v>147633</v>
      </c>
      <c r="AF142" s="1334"/>
      <c r="AG142" s="1395">
        <f t="shared" si="176"/>
        <v>28818</v>
      </c>
      <c r="AH142" s="1786">
        <f t="shared" si="200"/>
        <v>84454</v>
      </c>
      <c r="AI142" s="1719">
        <f t="shared" si="271"/>
        <v>0</v>
      </c>
      <c r="AJ142" s="1785">
        <f t="shared" si="271"/>
        <v>374.01988477999998</v>
      </c>
      <c r="AK142" s="1785">
        <f t="shared" si="271"/>
        <v>124.98011521999999</v>
      </c>
      <c r="AL142" s="1785">
        <f t="shared" si="271"/>
        <v>83955</v>
      </c>
      <c r="AM142" s="1785">
        <f t="shared" si="271"/>
        <v>349353</v>
      </c>
      <c r="AN142" s="1785"/>
      <c r="AO142" s="1785">
        <f>SUM(AI142:AN142)</f>
        <v>433807</v>
      </c>
      <c r="AP142" s="1785">
        <f>SUM(AI142:AM142)</f>
        <v>433807</v>
      </c>
      <c r="AQ142" s="1787">
        <f>SUM(AI142:AL142)</f>
        <v>84454</v>
      </c>
      <c r="AR142" s="1346">
        <f t="shared" si="177"/>
        <v>0</v>
      </c>
      <c r="AS142" s="1347">
        <f t="shared" si="260"/>
        <v>0</v>
      </c>
      <c r="AT142" s="1341">
        <f t="shared" si="260"/>
        <v>120221.21156483539</v>
      </c>
      <c r="AU142" s="1341">
        <f t="shared" si="260"/>
        <v>40172.358435164599</v>
      </c>
      <c r="AV142" s="1341">
        <f t="shared" si="260"/>
        <v>26985655.650000002</v>
      </c>
      <c r="AW142" s="1341">
        <f t="shared" si="260"/>
        <v>112292534.79000001</v>
      </c>
      <c r="AX142" s="1341">
        <f t="shared" si="266"/>
        <v>139438584.01000002</v>
      </c>
      <c r="AY142" s="1341">
        <f t="shared" si="267"/>
        <v>27146049.220000003</v>
      </c>
      <c r="AZ142" s="1341">
        <f t="shared" si="272"/>
        <v>0</v>
      </c>
      <c r="BA142" s="1341">
        <f t="shared" si="272"/>
        <v>121644.73124630805</v>
      </c>
      <c r="BB142" s="1341">
        <f t="shared" si="272"/>
        <v>40648.032753691907</v>
      </c>
      <c r="BC142" s="1341">
        <f t="shared" si="272"/>
        <v>27305188.379999995</v>
      </c>
      <c r="BD142" s="1341">
        <f t="shared" si="259"/>
        <v>113622172.30799998</v>
      </c>
      <c r="BE142" s="1341">
        <f t="shared" si="268"/>
        <v>141089653.45199996</v>
      </c>
      <c r="BF142" s="1345">
        <f t="shared" si="269"/>
        <v>27467481.143999994</v>
      </c>
      <c r="BG142" s="1418"/>
      <c r="BH142" s="1334"/>
      <c r="BI142" s="1334">
        <f t="shared" si="263"/>
        <v>0</v>
      </c>
      <c r="BJ142" s="1627">
        <f>114874.40454907*1.2</f>
        <v>137849.285458884</v>
      </c>
      <c r="BK142" s="1642"/>
      <c r="BL142" s="1341">
        <f t="shared" si="264"/>
        <v>0</v>
      </c>
      <c r="BM142" s="1341">
        <f t="shared" si="264"/>
        <v>79831.312661400007</v>
      </c>
      <c r="BN142" s="1341">
        <f t="shared" si="264"/>
        <v>14990.537338600001</v>
      </c>
      <c r="BO142" s="1341">
        <f t="shared" si="264"/>
        <v>17788257.629999999</v>
      </c>
      <c r="BP142" s="1341">
        <f t="shared" si="264"/>
        <v>64838859.600000001</v>
      </c>
      <c r="BQ142" s="1341">
        <f>BL142+BM142+BN142+BO142+BP142</f>
        <v>82721939.079999998</v>
      </c>
      <c r="BR142" s="1341">
        <f>BQ142-BP142</f>
        <v>17883079.479999997</v>
      </c>
      <c r="BS142" s="1341">
        <f t="shared" si="257"/>
        <v>0</v>
      </c>
      <c r="BT142" s="1341">
        <f t="shared" si="257"/>
        <v>40868.149083028075</v>
      </c>
      <c r="BU142" s="1341">
        <f t="shared" si="257"/>
        <v>25479.994916971915</v>
      </c>
      <c r="BV142" s="1341">
        <f t="shared" si="205"/>
        <v>17998885.475999996</v>
      </c>
      <c r="BW142" s="1341">
        <f t="shared" si="265"/>
        <v>48015566.387999989</v>
      </c>
      <c r="BX142" s="1341">
        <f t="shared" si="206"/>
        <v>66080800.007999986</v>
      </c>
      <c r="BY142" s="1341">
        <f t="shared" si="207"/>
        <v>18065233.619999997</v>
      </c>
      <c r="BZ142" s="1349">
        <f>BM142+BT142</f>
        <v>120699.46174442809</v>
      </c>
      <c r="CA142" s="1349">
        <f>BN142+BU142</f>
        <v>40470.532255571918</v>
      </c>
      <c r="CB142" s="1349">
        <f t="shared" si="208"/>
        <v>161169.99400000001</v>
      </c>
      <c r="CC142" s="1351">
        <f>BZ142/AJ142</f>
        <v>322.70867581124463</v>
      </c>
      <c r="CD142" s="1351">
        <f>CA142/AK142</f>
        <v>323.81577008736514</v>
      </c>
      <c r="CE142" s="1351">
        <f t="shared" si="178"/>
        <v>322.98595991983967</v>
      </c>
      <c r="CF142" s="1351">
        <f>CB142/(U142+V142+AB142+AC142)</f>
        <v>322.98595991983967</v>
      </c>
      <c r="CG142" s="1367">
        <f>I142*(U142+V142)+O142*(AB142+AC142)</f>
        <v>161169.99400000001</v>
      </c>
      <c r="CH142" s="1367">
        <f t="shared" si="179"/>
        <v>322.98595991983967</v>
      </c>
      <c r="CI142" s="1481"/>
      <c r="CJ142" s="1756">
        <f t="shared" ref="CJ142" si="274">H142*Z142/1000</f>
        <v>17883.07948</v>
      </c>
      <c r="CK142" s="1756">
        <f t="shared" si="160"/>
        <v>9372.6510479999979</v>
      </c>
      <c r="CL142" s="1756">
        <f t="shared" si="194"/>
        <v>27255.730528</v>
      </c>
      <c r="CM142" s="1484">
        <f t="shared" si="180"/>
        <v>27467.481143999994</v>
      </c>
      <c r="CN142" s="1484">
        <f t="shared" si="181"/>
        <v>211.7506159999939</v>
      </c>
      <c r="CO142" s="1493">
        <f>H142*Z142+N142*AG142</f>
        <v>27255730.527999997</v>
      </c>
      <c r="CP142" s="1493">
        <f>I142*AI142+J142*AJ142+K142*AK142+L142*AL142</f>
        <v>27146049.220000003</v>
      </c>
      <c r="CQ142" s="1493">
        <f>I142*AI142+J142*(AJ142+AK142)+L142*AL142</f>
        <v>27146049.220000003</v>
      </c>
      <c r="CR142" s="1493">
        <f>I142*T142+J142*U142+K142*V142+L142*W142</f>
        <v>17883079.48</v>
      </c>
      <c r="CS142" s="1493">
        <f>O142*AI142+P142*AJ142+Q142*AK142+R142*AL142</f>
        <v>27467481.143999994</v>
      </c>
      <c r="CT142" s="1493">
        <f>O142*AI142+P142*(AJ142+AK142)+R142*AL142</f>
        <v>27467481.143999994</v>
      </c>
      <c r="CU142" s="1493">
        <f>O142*AA142+P142*AB142+Q142*AC142+R142*AD142</f>
        <v>9372651.0479999967</v>
      </c>
      <c r="CV142" s="1493">
        <f t="shared" si="182"/>
        <v>54613530.363999993</v>
      </c>
      <c r="CW142" s="1625">
        <f t="shared" si="183"/>
        <v>646.66599999999994</v>
      </c>
      <c r="CX142" s="1493">
        <f>J142*AJ142+K142*AK142</f>
        <v>160393.57</v>
      </c>
      <c r="CY142" s="1493">
        <f>P142*AJ142+Q142*AK142</f>
        <v>162292.76399999997</v>
      </c>
      <c r="CZ142" s="1493"/>
      <c r="DA142" s="1493">
        <f>H142*AI142+H142*AJ142+H142*AK142+H142*AL142</f>
        <v>27146049.220000003</v>
      </c>
      <c r="DB142" s="1493">
        <f>N142*AI142+N142*AJ142+N142*AK142+N142*AL142</f>
        <v>27467481.143999994</v>
      </c>
      <c r="DC142" s="675"/>
      <c r="DD142" s="676">
        <f t="shared" si="184"/>
        <v>101.18408362629496</v>
      </c>
      <c r="DE142" s="675"/>
      <c r="DF142" s="675"/>
      <c r="DG142" s="675"/>
      <c r="DH142" s="1494">
        <v>56830.879999999997</v>
      </c>
      <c r="DI142" s="1494">
        <v>504</v>
      </c>
      <c r="DJ142" s="1494">
        <f t="shared" si="195"/>
        <v>56326.879999999997</v>
      </c>
      <c r="DK142" s="1491"/>
      <c r="DL142" s="1502">
        <f>M142*X142/1000</f>
        <v>64838.859600000003</v>
      </c>
      <c r="DM142" s="1502">
        <f>S142*AE142/1000</f>
        <v>48015.566387999992</v>
      </c>
      <c r="DN142" s="1502">
        <f>DL142+DM142</f>
        <v>112854.425988</v>
      </c>
      <c r="DO142" s="625"/>
    </row>
    <row r="143" spans="1:142" s="50" customFormat="1" ht="85.5" hidden="1" customHeight="1" thickBot="1">
      <c r="A143" s="6">
        <f t="shared" si="185"/>
        <v>130</v>
      </c>
      <c r="B143" s="1599" t="s">
        <v>52</v>
      </c>
      <c r="C143" s="1673" t="s">
        <v>52</v>
      </c>
      <c r="D143" s="1673" t="s">
        <v>188</v>
      </c>
      <c r="E143" s="1673">
        <v>4629043694</v>
      </c>
      <c r="F143" s="1673" t="s">
        <v>8</v>
      </c>
      <c r="G143" s="1674" t="s">
        <v>1029</v>
      </c>
      <c r="H143" s="1628">
        <v>230.24</v>
      </c>
      <c r="I143" s="1629">
        <v>0</v>
      </c>
      <c r="J143" s="1629">
        <v>0</v>
      </c>
      <c r="K143" s="1629">
        <v>0</v>
      </c>
      <c r="L143" s="1630">
        <v>230.24</v>
      </c>
      <c r="M143" s="1603">
        <v>0</v>
      </c>
      <c r="N143" s="1600">
        <v>0</v>
      </c>
      <c r="O143" s="1601">
        <v>0</v>
      </c>
      <c r="P143" s="1601">
        <v>0</v>
      </c>
      <c r="Q143" s="1601">
        <v>0</v>
      </c>
      <c r="R143" s="1602">
        <f>209.96*1.2</f>
        <v>251.952</v>
      </c>
      <c r="S143" s="1603">
        <v>0</v>
      </c>
      <c r="T143" s="1604"/>
      <c r="U143" s="1605"/>
      <c r="V143" s="1605"/>
      <c r="W143" s="1606">
        <v>0</v>
      </c>
      <c r="X143" s="1605"/>
      <c r="Y143" s="1605"/>
      <c r="Z143" s="1607">
        <f>SUM(T143:W143)</f>
        <v>0</v>
      </c>
      <c r="AA143" s="1608"/>
      <c r="AB143" s="1605"/>
      <c r="AC143" s="1605"/>
      <c r="AD143" s="1605">
        <v>0</v>
      </c>
      <c r="AE143" s="1605"/>
      <c r="AF143" s="1605"/>
      <c r="AG143" s="1609">
        <f>SUM(AA143:AD143)</f>
        <v>0</v>
      </c>
      <c r="AH143" s="1604">
        <f t="shared" si="200"/>
        <v>0</v>
      </c>
      <c r="AI143" s="1605"/>
      <c r="AJ143" s="1605"/>
      <c r="AK143" s="1605"/>
      <c r="AL143" s="1610">
        <f>AD143+W143</f>
        <v>0</v>
      </c>
      <c r="AM143" s="1605"/>
      <c r="AN143" s="1605"/>
      <c r="AO143" s="1605"/>
      <c r="AP143" s="1605"/>
      <c r="AQ143" s="1611">
        <f>SUM(AI143:AL143)</f>
        <v>0</v>
      </c>
      <c r="AR143" s="1612">
        <f t="shared" si="177"/>
        <v>0</v>
      </c>
      <c r="AS143" s="1613"/>
      <c r="AT143" s="1605"/>
      <c r="AU143" s="1605"/>
      <c r="AV143" s="1605">
        <f>L143*AL143</f>
        <v>0</v>
      </c>
      <c r="AW143" s="1605"/>
      <c r="AX143" s="1605"/>
      <c r="AY143" s="1605"/>
      <c r="AZ143" s="1605"/>
      <c r="BA143" s="1605"/>
      <c r="BB143" s="1605"/>
      <c r="BC143" s="1605">
        <f>R143*AL143</f>
        <v>0</v>
      </c>
      <c r="BD143" s="1605"/>
      <c r="BE143" s="1605"/>
      <c r="BF143" s="1611"/>
      <c r="BG143" s="1614"/>
      <c r="BH143" s="1605"/>
      <c r="BI143" s="1605"/>
      <c r="BJ143" s="1615">
        <v>2212.741</v>
      </c>
      <c r="BK143" s="1649">
        <v>2092.8323145682734</v>
      </c>
      <c r="BL143" s="1605"/>
      <c r="BM143" s="1605"/>
      <c r="BN143" s="1605"/>
      <c r="BO143" s="1605"/>
      <c r="BP143" s="1605"/>
      <c r="BQ143" s="1605"/>
      <c r="BR143" s="1605"/>
      <c r="BS143" s="1605"/>
      <c r="BT143" s="1605"/>
      <c r="BU143" s="1605"/>
      <c r="BV143" s="1605"/>
      <c r="BW143" s="1605">
        <f t="shared" si="265"/>
        <v>0</v>
      </c>
      <c r="BX143" s="1605">
        <f t="shared" si="206"/>
        <v>0</v>
      </c>
      <c r="BY143" s="1605">
        <f t="shared" si="207"/>
        <v>0</v>
      </c>
      <c r="BZ143" s="1616">
        <f>BM143+BT143</f>
        <v>0</v>
      </c>
      <c r="CA143" s="1616">
        <f>BN143+BU143</f>
        <v>0</v>
      </c>
      <c r="CB143" s="1616">
        <f t="shared" si="208"/>
        <v>0</v>
      </c>
      <c r="CC143" s="1617" t="e">
        <f>BZ143/AJ143</f>
        <v>#DIV/0!</v>
      </c>
      <c r="CD143" s="1617" t="e">
        <f>CA143/AK143</f>
        <v>#DIV/0!</v>
      </c>
      <c r="CE143" s="1617" t="e">
        <f t="shared" si="178"/>
        <v>#DIV/0!</v>
      </c>
      <c r="CF143" s="1616" t="e">
        <f>CB143/(U143+V143+AB143+AC143)</f>
        <v>#DIV/0!</v>
      </c>
      <c r="CG143" s="1618">
        <f>I143*(U143+V143)+O143*(AB143+AC143)</f>
        <v>0</v>
      </c>
      <c r="CH143" s="1618" t="e">
        <f>CG143/(AJ143+AK143)</f>
        <v>#DIV/0!</v>
      </c>
      <c r="CI143" s="1631"/>
      <c r="CJ143" s="1619">
        <f t="shared" si="211"/>
        <v>0</v>
      </c>
      <c r="CK143" s="1619">
        <f>N143*AG143/1000</f>
        <v>0</v>
      </c>
      <c r="CL143" s="1619">
        <f>CJ143+CK143</f>
        <v>0</v>
      </c>
      <c r="CM143" s="1620">
        <f t="shared" si="180"/>
        <v>0</v>
      </c>
      <c r="CN143" s="1620">
        <f t="shared" si="181"/>
        <v>0</v>
      </c>
      <c r="CO143" s="1621">
        <f>H143*Z143+N143*AG143</f>
        <v>0</v>
      </c>
      <c r="CP143" s="1621">
        <v>0</v>
      </c>
      <c r="CQ143" s="1621"/>
      <c r="CR143" s="1621"/>
      <c r="CS143" s="1621">
        <v>0</v>
      </c>
      <c r="CT143" s="1621"/>
      <c r="CU143" s="1621"/>
      <c r="CV143" s="1621">
        <f t="shared" si="182"/>
        <v>0</v>
      </c>
      <c r="CW143" s="1632" t="e">
        <f t="shared" si="183"/>
        <v>#DIV/0!</v>
      </c>
      <c r="CX143" s="1621"/>
      <c r="CY143" s="1621"/>
      <c r="CZ143" s="1621"/>
      <c r="DA143" s="1621"/>
      <c r="DB143" s="1621"/>
      <c r="DC143" s="1624"/>
      <c r="DD143" s="1100" t="e">
        <f t="shared" si="184"/>
        <v>#DIV/0!</v>
      </c>
      <c r="DE143" s="1624"/>
      <c r="DF143" s="1624"/>
      <c r="DG143" s="1624"/>
      <c r="DH143" s="1487">
        <v>0</v>
      </c>
      <c r="DI143" s="1487">
        <v>0</v>
      </c>
      <c r="DJ143" s="1487">
        <f t="shared" si="195"/>
        <v>0</v>
      </c>
      <c r="DK143" s="1623"/>
      <c r="DL143" s="1503">
        <f>M143*X143/1000</f>
        <v>0</v>
      </c>
      <c r="DM143" s="1503">
        <f>S143*AE143/1000</f>
        <v>0</v>
      </c>
      <c r="DN143" s="1503">
        <f>DL143+DM143</f>
        <v>0</v>
      </c>
    </row>
    <row r="144" spans="1:142" s="50" customFormat="1" ht="100.5" hidden="1" customHeight="1">
      <c r="A144" s="27"/>
      <c r="B144" s="1588"/>
      <c r="C144" s="1588"/>
      <c r="D144" s="1622"/>
      <c r="E144" s="1588"/>
      <c r="F144" s="1588"/>
      <c r="G144" s="1588"/>
      <c r="H144" s="1329"/>
      <c r="I144" s="1633"/>
      <c r="J144" s="1633"/>
      <c r="K144" s="1633"/>
      <c r="L144" s="1329"/>
      <c r="M144" s="1633"/>
      <c r="N144" s="1329"/>
      <c r="O144" s="1633"/>
      <c r="P144" s="1633"/>
      <c r="Q144" s="1633"/>
      <c r="R144" s="1329"/>
      <c r="S144" s="1633"/>
      <c r="T144" s="1589"/>
      <c r="U144" s="1633"/>
      <c r="V144" s="1590">
        <f>SUM(V14:V143)</f>
        <v>228076.11716751603</v>
      </c>
      <c r="W144" s="1591"/>
      <c r="X144" s="1592">
        <f>23160.4592580483+17175.660741952</f>
        <v>40336.120000000301</v>
      </c>
      <c r="Y144" s="1592"/>
      <c r="Z144" s="1592"/>
      <c r="AA144" s="1592"/>
      <c r="AB144" s="1592"/>
      <c r="AC144" s="1590">
        <f>SUM(AC14:AC143)</f>
        <v>209575.11378880768</v>
      </c>
      <c r="AD144" s="1633"/>
      <c r="AE144" s="1633"/>
      <c r="AF144" s="1633"/>
      <c r="AG144" s="1589"/>
      <c r="AH144" s="1590">
        <f>SUM(AH14:AH143)</f>
        <v>3707565.7394102514</v>
      </c>
      <c r="AI144" s="1633"/>
      <c r="AJ144" s="1590">
        <f>SUM(AJ14:AJ143)</f>
        <v>2056042.1541909813</v>
      </c>
      <c r="AK144" s="1590">
        <f>SUM(AK14:AK143)</f>
        <v>437651.23095632374</v>
      </c>
      <c r="AL144" s="1593" t="s">
        <v>976</v>
      </c>
      <c r="AM144" s="1592">
        <v>32755.962</v>
      </c>
      <c r="AN144" s="1594">
        <f>AM144+AM142</f>
        <v>382108.962</v>
      </c>
      <c r="AO144" s="1633"/>
      <c r="AP144" s="1633"/>
      <c r="AQ144" s="1633"/>
      <c r="AR144" s="1589"/>
      <c r="AS144" s="1328"/>
      <c r="AT144" s="1328"/>
      <c r="AU144" s="1328"/>
      <c r="AV144" s="1328"/>
      <c r="AW144" s="1328"/>
      <c r="AX144" s="1328"/>
      <c r="AY144" s="1328"/>
      <c r="AZ144" s="1328"/>
      <c r="BA144" s="1328"/>
      <c r="BB144" s="1328"/>
      <c r="BC144" s="1328"/>
      <c r="BD144" s="1328"/>
      <c r="BE144" s="1328"/>
      <c r="BF144" s="1328"/>
      <c r="BG144" s="1328"/>
      <c r="BH144" s="1328"/>
      <c r="BI144" s="1328"/>
      <c r="BJ144" s="1328"/>
      <c r="BK144" s="1328"/>
      <c r="BL144" s="1328"/>
      <c r="BM144" s="1328"/>
      <c r="BN144" s="1328"/>
      <c r="BO144" s="1328"/>
      <c r="BP144" s="1328"/>
      <c r="BQ144" s="1328"/>
      <c r="BR144" s="1328"/>
      <c r="BS144" s="1328"/>
      <c r="BT144" s="1328"/>
      <c r="BU144" s="1328"/>
      <c r="BV144" s="1328"/>
      <c r="BW144" s="1328"/>
      <c r="BX144" s="1328"/>
      <c r="BY144" s="1328"/>
      <c r="BZ144" s="1328"/>
      <c r="CA144" s="1328"/>
      <c r="CB144" s="1328"/>
      <c r="CC144" s="1329"/>
      <c r="CD144" s="1329"/>
      <c r="CE144" s="1329"/>
      <c r="CF144" s="1328"/>
      <c r="CG144" s="1593"/>
      <c r="CH144" s="1593"/>
      <c r="CI144" s="1595"/>
      <c r="CJ144" s="1596"/>
      <c r="CK144" s="1596"/>
      <c r="CL144" s="1596"/>
      <c r="CM144" s="1597">
        <f t="shared" si="180"/>
        <v>0</v>
      </c>
      <c r="CN144" s="1597">
        <f t="shared" si="181"/>
        <v>0</v>
      </c>
      <c r="CO144" s="1598"/>
      <c r="CP144" s="1598"/>
      <c r="CQ144" s="1598"/>
      <c r="CR144" s="1598"/>
      <c r="CS144" s="1598"/>
      <c r="CT144" s="1598"/>
      <c r="CU144" s="1598"/>
      <c r="CV144" s="1598"/>
      <c r="CW144" s="1634">
        <f t="shared" si="183"/>
        <v>0</v>
      </c>
      <c r="CX144" s="1598"/>
      <c r="CY144" s="1598"/>
      <c r="CZ144" s="1598"/>
      <c r="DA144" s="1598"/>
      <c r="DB144" s="1598"/>
      <c r="DC144" s="113"/>
      <c r="DD144" s="119"/>
      <c r="DE144" s="113"/>
      <c r="DF144" s="113"/>
      <c r="DG144" s="113"/>
      <c r="DH144" s="1487">
        <v>3665789.3969098451</v>
      </c>
      <c r="DI144" s="1487">
        <v>2579522.2070310824</v>
      </c>
      <c r="DJ144" s="1487">
        <f t="shared" si="195"/>
        <v>1086267.1898787627</v>
      </c>
      <c r="DK144" s="1481"/>
      <c r="DL144" s="1488">
        <f>M144*X144/1000</f>
        <v>0</v>
      </c>
      <c r="DM144" s="1488">
        <f>S144*AE144/1000</f>
        <v>0</v>
      </c>
      <c r="DN144" s="1488">
        <f>DL144+DM144</f>
        <v>0</v>
      </c>
      <c r="DO144" s="113"/>
    </row>
    <row r="145" spans="1:119" s="50" customFormat="1" ht="100.5" hidden="1" customHeight="1">
      <c r="A145" s="27"/>
      <c r="B145" s="1506"/>
      <c r="C145" s="1506"/>
      <c r="D145" s="1507"/>
      <c r="E145" s="1506"/>
      <c r="F145" s="1506"/>
      <c r="G145" s="1506"/>
      <c r="H145" s="1351"/>
      <c r="I145" s="1623"/>
      <c r="J145" s="1623"/>
      <c r="K145" s="1623"/>
      <c r="L145" s="1351"/>
      <c r="M145" s="1623"/>
      <c r="N145" s="1351"/>
      <c r="O145" s="1623"/>
      <c r="P145" s="1623"/>
      <c r="Q145" s="1623"/>
      <c r="R145" s="1351"/>
      <c r="S145" s="1623"/>
      <c r="T145" s="1346"/>
      <c r="U145" s="1623"/>
      <c r="V145" s="1509"/>
      <c r="W145" s="1510"/>
      <c r="X145" s="1623"/>
      <c r="Y145" s="1623"/>
      <c r="Z145" s="1346"/>
      <c r="AA145" s="1346"/>
      <c r="AB145" s="1623"/>
      <c r="AC145" s="1511">
        <f>V144+AC144</f>
        <v>437651.23095632368</v>
      </c>
      <c r="AD145" s="1623"/>
      <c r="AE145" s="1623"/>
      <c r="AF145" s="1623"/>
      <c r="AG145" s="1346"/>
      <c r="AH145" s="1346">
        <f t="shared" ref="AH145:CL145" si="275">SUM(AH14:AH143)</f>
        <v>3707565.7394102514</v>
      </c>
      <c r="AI145" s="1346">
        <f t="shared" si="275"/>
        <v>610976.16892961366</v>
      </c>
      <c r="AJ145" s="1346">
        <f t="shared" si="275"/>
        <v>2056042.1541909813</v>
      </c>
      <c r="AK145" s="1346">
        <f t="shared" si="275"/>
        <v>437651.23095632374</v>
      </c>
      <c r="AL145" s="1346">
        <f t="shared" si="275"/>
        <v>602896.18533333333</v>
      </c>
      <c r="AM145" s="1346">
        <f t="shared" si="275"/>
        <v>679639.33000000007</v>
      </c>
      <c r="AN145" s="1346">
        <f t="shared" si="275"/>
        <v>33289.279999999999</v>
      </c>
      <c r="AO145" s="1346">
        <f t="shared" si="275"/>
        <v>4420494.3494102526</v>
      </c>
      <c r="AP145" s="1346">
        <f t="shared" si="275"/>
        <v>4387205.0694102515</v>
      </c>
      <c r="AQ145" s="1346">
        <f t="shared" si="275"/>
        <v>3707565.7394102518</v>
      </c>
      <c r="AR145" s="1346">
        <f t="shared" si="275"/>
        <v>2248.3053133333274</v>
      </c>
      <c r="AS145" s="1346">
        <f t="shared" si="275"/>
        <v>1383090315.9549994</v>
      </c>
      <c r="AT145" s="1346">
        <f t="shared" si="275"/>
        <v>3529294626.54529</v>
      </c>
      <c r="AU145" s="1346">
        <f t="shared" si="275"/>
        <v>665526001.27271879</v>
      </c>
      <c r="AV145" s="1346">
        <f t="shared" si="275"/>
        <v>1070780635.9643575</v>
      </c>
      <c r="AW145" s="1346">
        <f t="shared" si="275"/>
        <v>779370861.24003661</v>
      </c>
      <c r="AX145" s="1346">
        <f t="shared" si="275"/>
        <v>7415578690.4067211</v>
      </c>
      <c r="AY145" s="1346">
        <f t="shared" si="275"/>
        <v>6637498333.6779566</v>
      </c>
      <c r="AZ145" s="1346">
        <f t="shared" si="275"/>
        <v>2648571978.2282619</v>
      </c>
      <c r="BA145" s="1346">
        <f t="shared" si="275"/>
        <v>4885465206.5994911</v>
      </c>
      <c r="BB145" s="1346">
        <f t="shared" si="275"/>
        <v>1797562768.712065</v>
      </c>
      <c r="BC145" s="1346">
        <f t="shared" si="275"/>
        <v>1800694019.9189858</v>
      </c>
      <c r="BD145" s="1346">
        <f t="shared" si="275"/>
        <v>1986200129.09532</v>
      </c>
      <c r="BE145" s="1346">
        <f t="shared" si="275"/>
        <v>9271369255.382267</v>
      </c>
      <c r="BF145" s="1346">
        <f t="shared" si="275"/>
        <v>7768585963.5862064</v>
      </c>
      <c r="BG145" s="1346">
        <f t="shared" si="275"/>
        <v>137899.35914671805</v>
      </c>
      <c r="BH145" s="1346">
        <f t="shared" si="275"/>
        <v>156893.53291095374</v>
      </c>
      <c r="BI145" s="1346">
        <f t="shared" si="275"/>
        <v>295038.23530631908</v>
      </c>
      <c r="BJ145" s="1346">
        <f t="shared" si="275"/>
        <v>8226965.4358829306</v>
      </c>
      <c r="BK145" s="1346">
        <f t="shared" si="275"/>
        <v>8129643.2411344079</v>
      </c>
      <c r="BL145" s="1346">
        <f t="shared" si="275"/>
        <v>1916186148.4029093</v>
      </c>
      <c r="BM145" s="1346">
        <f t="shared" si="275"/>
        <v>3261904912.5372458</v>
      </c>
      <c r="BN145" s="1346">
        <f t="shared" si="275"/>
        <v>353826245.98407382</v>
      </c>
      <c r="BO145" s="1346">
        <f t="shared" si="275"/>
        <v>407343194.53699309</v>
      </c>
      <c r="BP145" s="1346">
        <f t="shared" si="275"/>
        <v>440544641.93040001</v>
      </c>
      <c r="BQ145" s="1346">
        <f t="shared" si="275"/>
        <v>4160800722.7775869</v>
      </c>
      <c r="BR145" s="1346">
        <f t="shared" si="275"/>
        <v>3720256080.8471866</v>
      </c>
      <c r="BS145" s="1346">
        <f t="shared" si="275"/>
        <v>601097274.48800898</v>
      </c>
      <c r="BT145" s="1346">
        <f t="shared" si="275"/>
        <v>1518724772.7711065</v>
      </c>
      <c r="BU145" s="1346">
        <f t="shared" si="275"/>
        <v>341046819.28382748</v>
      </c>
      <c r="BV145" s="1346">
        <f t="shared" si="275"/>
        <v>447281220.72581559</v>
      </c>
      <c r="BW145" s="1346">
        <f t="shared" si="275"/>
        <v>371225041.35799998</v>
      </c>
      <c r="BX145" s="1346">
        <f t="shared" si="275"/>
        <v>3273565878.9877577</v>
      </c>
      <c r="BY145" s="1346">
        <f t="shared" si="275"/>
        <v>2902340837.6297579</v>
      </c>
      <c r="BZ145" s="1346">
        <f t="shared" si="275"/>
        <v>3641929982.8959937</v>
      </c>
      <c r="CA145" s="1346">
        <f t="shared" si="275"/>
        <v>694721610.03127837</v>
      </c>
      <c r="CB145" s="1346">
        <f t="shared" si="275"/>
        <v>4336651592.9272728</v>
      </c>
      <c r="CC145" s="1346" t="e">
        <f t="shared" si="275"/>
        <v>#DIV/0!</v>
      </c>
      <c r="CD145" s="1346" t="e">
        <f t="shared" si="275"/>
        <v>#DIV/0!</v>
      </c>
      <c r="CE145" s="1346" t="e">
        <f t="shared" si="275"/>
        <v>#DIV/0!</v>
      </c>
      <c r="CF145" s="1346" t="e">
        <f t="shared" si="275"/>
        <v>#DIV/0!</v>
      </c>
      <c r="CG145" s="1346">
        <f t="shared" si="275"/>
        <v>5455976671.8979454</v>
      </c>
      <c r="CH145" s="1346" t="e">
        <f t="shared" si="275"/>
        <v>#DIV/0!</v>
      </c>
      <c r="CI145" s="1346">
        <f t="shared" si="275"/>
        <v>0</v>
      </c>
      <c r="CJ145" s="1512">
        <f t="shared" si="275"/>
        <v>4998264.3479240388</v>
      </c>
      <c r="CK145" s="1512">
        <f t="shared" si="275"/>
        <v>3937846.2833752744</v>
      </c>
      <c r="CL145" s="1513">
        <f t="shared" si="275"/>
        <v>8936110.8531769048</v>
      </c>
      <c r="CM145" s="1484">
        <f t="shared" ref="CM145:CM208" si="276">N145*AH145/1000</f>
        <v>0</v>
      </c>
      <c r="CN145" s="1484">
        <f t="shared" ref="CN145:CN208" si="277">CM145-CL145</f>
        <v>-8936110.8531769048</v>
      </c>
      <c r="CO145" s="1346">
        <f t="shared" ref="CO145:DG145" si="278">SUM(CO14:CO143)</f>
        <v>8441551269.0003796</v>
      </c>
      <c r="CP145" s="1514">
        <f t="shared" si="278"/>
        <v>7759804012.6705694</v>
      </c>
      <c r="CQ145" s="1346">
        <f t="shared" si="278"/>
        <v>7767048892.165472</v>
      </c>
      <c r="CR145" s="1515">
        <f t="shared" si="278"/>
        <v>4361501280.0529766</v>
      </c>
      <c r="CS145" s="1346">
        <f t="shared" si="278"/>
        <v>8530045334.1878662</v>
      </c>
      <c r="CT145" s="1516">
        <f t="shared" si="278"/>
        <v>8531962559.0059366</v>
      </c>
      <c r="CU145" s="1515">
        <f t="shared" si="278"/>
        <v>3741119970.0414901</v>
      </c>
      <c r="CV145" s="1346">
        <f t="shared" si="278"/>
        <v>16289849346.858438</v>
      </c>
      <c r="CW145" s="1517" t="e">
        <f t="shared" si="278"/>
        <v>#DIV/0!</v>
      </c>
      <c r="CX145" s="1346">
        <f t="shared" si="278"/>
        <v>5109921599.9398098</v>
      </c>
      <c r="CY145" s="1346">
        <f t="shared" si="278"/>
        <v>5567277482.3811464</v>
      </c>
      <c r="CZ145" s="1346">
        <f t="shared" si="278"/>
        <v>0</v>
      </c>
      <c r="DA145" s="1346">
        <f t="shared" si="278"/>
        <v>8035801395.5741739</v>
      </c>
      <c r="DB145" s="1346">
        <f t="shared" si="278"/>
        <v>8959938800.7850685</v>
      </c>
      <c r="DC145" s="39">
        <f t="shared" si="278"/>
        <v>0</v>
      </c>
      <c r="DD145" s="39" t="e">
        <f t="shared" si="278"/>
        <v>#DIV/0!</v>
      </c>
      <c r="DE145" s="39">
        <f t="shared" si="278"/>
        <v>0</v>
      </c>
      <c r="DF145" s="39">
        <f t="shared" si="278"/>
        <v>0</v>
      </c>
      <c r="DG145" s="39">
        <f t="shared" si="278"/>
        <v>0</v>
      </c>
      <c r="DH145" s="1583">
        <v>3665789.3969098451</v>
      </c>
      <c r="DI145" s="1487">
        <v>2579522.2070310824</v>
      </c>
      <c r="DJ145" s="1487">
        <f>DH145-DI145</f>
        <v>1086267.1898787627</v>
      </c>
      <c r="DK145" s="1346">
        <f>SUM(DK14:DK143)</f>
        <v>0</v>
      </c>
      <c r="DL145" s="1346">
        <f>SUM(DL14:DL143)</f>
        <v>440544.64193040004</v>
      </c>
      <c r="DM145" s="1346">
        <f>SUM(DM14:DM143)</f>
        <v>371225.04135799996</v>
      </c>
      <c r="DN145" s="1518">
        <f>SUM(DN14:DN143)</f>
        <v>811769.68328839995</v>
      </c>
      <c r="DO145" s="113"/>
    </row>
    <row r="146" spans="1:119" s="50" customFormat="1" ht="100.5" hidden="1" customHeight="1">
      <c r="A146" s="27"/>
      <c r="B146" s="1506"/>
      <c r="C146" s="1506"/>
      <c r="D146" s="1507"/>
      <c r="E146" s="1506"/>
      <c r="F146" s="1506"/>
      <c r="G146" s="1506"/>
      <c r="H146" s="1351">
        <f>H142/1.2</f>
        <v>267.85833333333335</v>
      </c>
      <c r="I146" s="1623"/>
      <c r="J146" s="1623"/>
      <c r="K146" s="1623"/>
      <c r="L146" s="1351"/>
      <c r="M146" s="1623"/>
      <c r="N146" s="1351"/>
      <c r="O146" s="1623"/>
      <c r="P146" s="1623"/>
      <c r="Q146" s="1623"/>
      <c r="R146" s="1351"/>
      <c r="S146" s="1623"/>
      <c r="T146" s="1346"/>
      <c r="U146" s="1346"/>
      <c r="V146" s="1346">
        <f>(O33-P33)/1.2*U33/1000</f>
        <v>6715.7102865999996</v>
      </c>
      <c r="W146" s="1346"/>
      <c r="X146" s="1346"/>
      <c r="Y146" s="1346"/>
      <c r="Z146" s="1519"/>
      <c r="AA146" s="1346"/>
      <c r="AB146" s="1346"/>
      <c r="AC146" s="1346"/>
      <c r="AD146" s="1346"/>
      <c r="AE146" s="1346"/>
      <c r="AF146" s="1346"/>
      <c r="AG146" s="1520" t="s">
        <v>977</v>
      </c>
      <c r="AH146" s="1521">
        <f>327106.01+9299.11</f>
        <v>336405.12</v>
      </c>
      <c r="AI146" s="1521"/>
      <c r="AJ146" s="1346"/>
      <c r="AK146" s="1346"/>
      <c r="AL146" s="1346"/>
      <c r="AM146" s="1346">
        <v>327106.01</v>
      </c>
      <c r="AN146" s="1346"/>
      <c r="AO146" s="1346"/>
      <c r="AP146" s="1346"/>
      <c r="AQ146" s="1346"/>
      <c r="AR146" s="1516"/>
      <c r="AS146" s="1481"/>
      <c r="AT146" s="1481"/>
      <c r="AU146" s="1481"/>
      <c r="AV146" s="1481"/>
      <c r="AW146" s="1481"/>
      <c r="AX146" s="1481"/>
      <c r="AY146" s="1481"/>
      <c r="AZ146" s="1481"/>
      <c r="BA146" s="1481"/>
      <c r="BB146" s="1481"/>
      <c r="BC146" s="1481"/>
      <c r="BD146" s="1481"/>
      <c r="BE146" s="1481"/>
      <c r="BF146" s="1481"/>
      <c r="BG146" s="1481"/>
      <c r="BH146" s="1346"/>
      <c r="BI146" s="1522"/>
      <c r="BJ146" s="1523"/>
      <c r="BK146" s="1523"/>
      <c r="BL146" s="1481"/>
      <c r="BM146" s="1481"/>
      <c r="BN146" s="1481"/>
      <c r="BO146" s="1481"/>
      <c r="BP146" s="1481"/>
      <c r="BQ146" s="1481"/>
      <c r="BR146" s="1481"/>
      <c r="BS146" s="1481"/>
      <c r="BT146" s="1481"/>
      <c r="BU146" s="1481"/>
      <c r="BV146" s="1481"/>
      <c r="BW146" s="1481"/>
      <c r="BX146" s="1481"/>
      <c r="BY146" s="1481"/>
      <c r="BZ146" s="1481"/>
      <c r="CA146" s="1481"/>
      <c r="CB146" s="1481"/>
      <c r="CC146" s="1486"/>
      <c r="CD146" s="1486"/>
      <c r="CE146" s="1486"/>
      <c r="CF146" s="1481"/>
      <c r="CG146" s="1524"/>
      <c r="CH146" s="1524"/>
      <c r="CI146" s="1481"/>
      <c r="CJ146" s="1482"/>
      <c r="CK146" s="1482"/>
      <c r="CL146" s="1525"/>
      <c r="CM146" s="1484">
        <f>N146*AM144/1000</f>
        <v>0</v>
      </c>
      <c r="CN146" s="1484">
        <f t="shared" si="277"/>
        <v>0</v>
      </c>
      <c r="CO146" s="1485"/>
      <c r="CP146" s="1485"/>
      <c r="CQ146" s="1485"/>
      <c r="CR146" s="1485"/>
      <c r="CS146" s="1485"/>
      <c r="CT146" s="1485"/>
      <c r="CU146" s="1489">
        <f>CU145+CR145</f>
        <v>8102621250.0944672</v>
      </c>
      <c r="CV146" s="1485"/>
      <c r="CW146" s="1526"/>
      <c r="CX146" s="1485"/>
      <c r="CY146" s="1485"/>
      <c r="CZ146" s="1485"/>
      <c r="DA146" s="1485"/>
      <c r="DB146" s="1485"/>
      <c r="DC146" s="113"/>
      <c r="DD146" s="119"/>
      <c r="DE146" s="113"/>
      <c r="DF146" s="113"/>
      <c r="DG146" s="113"/>
      <c r="DH146" s="1487"/>
      <c r="DI146" s="1487"/>
      <c r="DJ146" s="1527"/>
      <c r="DK146" s="1481"/>
      <c r="DL146" s="1488">
        <f>M146*X146/1000</f>
        <v>0</v>
      </c>
      <c r="DM146" s="1488">
        <f>S146*AE146/1000</f>
        <v>0</v>
      </c>
      <c r="DN146" s="1488">
        <f>DL146+DM146</f>
        <v>0</v>
      </c>
      <c r="DO146" s="113"/>
    </row>
    <row r="147" spans="1:119" s="50" customFormat="1" ht="100.5" hidden="1" customHeight="1">
      <c r="A147" s="27"/>
      <c r="B147" s="1506"/>
      <c r="C147" s="1506"/>
      <c r="D147" s="1507"/>
      <c r="E147" s="1506"/>
      <c r="F147" s="1506"/>
      <c r="G147" s="1506"/>
      <c r="H147" s="1351"/>
      <c r="I147" s="1623"/>
      <c r="J147" s="1623"/>
      <c r="K147" s="1623"/>
      <c r="L147" s="1351"/>
      <c r="M147" s="1623"/>
      <c r="N147" s="1351"/>
      <c r="O147" s="1623"/>
      <c r="P147" s="1623"/>
      <c r="Q147" s="1623"/>
      <c r="R147" s="1351"/>
      <c r="S147" s="1623"/>
      <c r="T147" s="1346"/>
      <c r="U147" s="1346"/>
      <c r="V147" s="1346">
        <f>+(O33-Q33)*V33/1000</f>
        <v>1537.5475970399998</v>
      </c>
      <c r="W147" s="1346"/>
      <c r="X147" s="1519"/>
      <c r="Y147" s="1346"/>
      <c r="Z147" s="1346"/>
      <c r="AA147" s="1346"/>
      <c r="AB147" s="1346"/>
      <c r="AC147" s="1346"/>
      <c r="AD147" s="1346"/>
      <c r="AE147" s="1346"/>
      <c r="AF147" s="1346"/>
      <c r="AG147" s="1520" t="s">
        <v>978</v>
      </c>
      <c r="AH147" s="1521">
        <v>4149.16</v>
      </c>
      <c r="AI147" s="1521"/>
      <c r="AJ147" s="1346"/>
      <c r="AK147" s="1346"/>
      <c r="AL147" s="1346"/>
      <c r="AM147" s="1346">
        <v>9299.11</v>
      </c>
      <c r="AN147" s="1346"/>
      <c r="AO147" s="1346"/>
      <c r="AP147" s="1346"/>
      <c r="AQ147" s="1346"/>
      <c r="AR147" s="1516"/>
      <c r="AS147" s="1481"/>
      <c r="AT147" s="1481"/>
      <c r="AU147" s="1481"/>
      <c r="AV147" s="1481"/>
      <c r="AW147" s="1481"/>
      <c r="AX147" s="1481"/>
      <c r="AY147" s="1481"/>
      <c r="AZ147" s="1481"/>
      <c r="BA147" s="1481"/>
      <c r="BB147" s="1481"/>
      <c r="BC147" s="1481"/>
      <c r="BD147" s="1481"/>
      <c r="BE147" s="1481"/>
      <c r="BF147" s="1481"/>
      <c r="BG147" s="1481"/>
      <c r="BH147" s="1481"/>
      <c r="BI147" s="1481"/>
      <c r="BJ147" s="1523"/>
      <c r="BK147" s="1523"/>
      <c r="BL147" s="1481"/>
      <c r="BM147" s="1481"/>
      <c r="BN147" s="1481"/>
      <c r="BO147" s="1481"/>
      <c r="BP147" s="1481"/>
      <c r="BQ147" s="1481"/>
      <c r="BR147" s="1481"/>
      <c r="BS147" s="1481"/>
      <c r="BT147" s="1481"/>
      <c r="BU147" s="1481"/>
      <c r="BV147" s="1481"/>
      <c r="BW147" s="1481"/>
      <c r="BX147" s="1481"/>
      <c r="BY147" s="1481"/>
      <c r="BZ147" s="1481"/>
      <c r="CA147" s="1481"/>
      <c r="CB147" s="1481"/>
      <c r="CC147" s="1486"/>
      <c r="CD147" s="1486"/>
      <c r="CE147" s="1486"/>
      <c r="CF147" s="1481"/>
      <c r="CG147" s="1524"/>
      <c r="CH147" s="1524"/>
      <c r="CI147" s="1481"/>
      <c r="CJ147" s="1482"/>
      <c r="CK147" s="1482"/>
      <c r="CL147" s="1525">
        <f>CU146/1000</f>
        <v>8102621.2500944668</v>
      </c>
      <c r="CM147" s="1484" t="e">
        <f>N147*#REF!/1000</f>
        <v>#REF!</v>
      </c>
      <c r="CN147" s="1484" t="e">
        <f t="shared" si="277"/>
        <v>#REF!</v>
      </c>
      <c r="CO147" s="1485"/>
      <c r="CP147" s="1485"/>
      <c r="CQ147" s="1485"/>
      <c r="CR147" s="1485"/>
      <c r="CS147" s="1485"/>
      <c r="CT147" s="1485"/>
      <c r="CU147" s="1528">
        <f>CL145-CL147</f>
        <v>833489.603082438</v>
      </c>
      <c r="CV147" s="1485"/>
      <c r="CW147" s="1526"/>
      <c r="CX147" s="1485"/>
      <c r="CY147" s="1485"/>
      <c r="CZ147" s="1485"/>
      <c r="DA147" s="1485"/>
      <c r="DB147" s="1485"/>
      <c r="DC147" s="113"/>
      <c r="DD147" s="119"/>
      <c r="DE147" s="113"/>
      <c r="DF147" s="113"/>
      <c r="DG147" s="113"/>
      <c r="DH147" s="1487"/>
      <c r="DI147" s="1487"/>
      <c r="DJ147" s="1527"/>
      <c r="DK147" s="1481"/>
      <c r="DL147" s="1488">
        <f>M147*X147/1000</f>
        <v>0</v>
      </c>
      <c r="DM147" s="1488">
        <f>S147*AE147/1000</f>
        <v>0</v>
      </c>
      <c r="DN147" s="1488">
        <f>DL147+DM147</f>
        <v>0</v>
      </c>
      <c r="DO147" s="113"/>
    </row>
    <row r="148" spans="1:119" s="50" customFormat="1" ht="100.5" hidden="1" customHeight="1">
      <c r="A148" s="6"/>
      <c r="B148" s="1529"/>
      <c r="C148" s="1508"/>
      <c r="D148" s="1508"/>
      <c r="E148" s="1508"/>
      <c r="F148" s="1508"/>
      <c r="G148" s="1508"/>
      <c r="H148" s="1623"/>
      <c r="I148" s="1530"/>
      <c r="J148" s="1531"/>
      <c r="K148" s="1623"/>
      <c r="L148" s="1623"/>
      <c r="M148" s="1623"/>
      <c r="N148" s="1623"/>
      <c r="O148" s="1623"/>
      <c r="P148" s="1623"/>
      <c r="Q148" s="1623"/>
      <c r="R148" s="1623"/>
      <c r="S148" s="1623"/>
      <c r="T148" s="1532"/>
      <c r="U148" s="1349"/>
      <c r="V148" s="1518"/>
      <c r="W148" s="1623"/>
      <c r="X148" s="1623"/>
      <c r="Y148" s="1623"/>
      <c r="Z148" s="1623"/>
      <c r="AA148" s="1532"/>
      <c r="AB148" s="1349"/>
      <c r="AC148" s="1518"/>
      <c r="AD148" s="1533"/>
      <c r="AE148" s="1623"/>
      <c r="AF148" s="1623"/>
      <c r="AG148" s="1520" t="s">
        <v>979</v>
      </c>
      <c r="AH148" s="1521">
        <v>32755.962</v>
      </c>
      <c r="AI148" s="1521"/>
      <c r="AJ148" s="1508">
        <f t="shared" ref="AJ148:AQ148" si="279">SUM(AJ14:AJ143)</f>
        <v>2056042.1541909813</v>
      </c>
      <c r="AK148" s="1508">
        <f t="shared" si="279"/>
        <v>437651.23095632374</v>
      </c>
      <c r="AL148" s="1508">
        <f t="shared" si="279"/>
        <v>602896.18533333333</v>
      </c>
      <c r="AM148" s="1508">
        <f t="shared" si="279"/>
        <v>679639.33000000007</v>
      </c>
      <c r="AN148" s="1508">
        <f t="shared" si="279"/>
        <v>33289.279999999999</v>
      </c>
      <c r="AO148" s="1508">
        <f t="shared" si="279"/>
        <v>4420494.3494102526</v>
      </c>
      <c r="AP148" s="1508">
        <f t="shared" si="279"/>
        <v>4387205.0694102515</v>
      </c>
      <c r="AQ148" s="1508">
        <f t="shared" si="279"/>
        <v>3707565.7394102518</v>
      </c>
      <c r="AR148" s="1534"/>
      <c r="AS148" s="1534">
        <f t="shared" ref="AS148:BI148" si="280">SUM(AS14:AS143)</f>
        <v>1383090315.9549994</v>
      </c>
      <c r="AT148" s="1534">
        <f t="shared" si="280"/>
        <v>3529294626.54529</v>
      </c>
      <c r="AU148" s="1534">
        <f t="shared" si="280"/>
        <v>665526001.27271879</v>
      </c>
      <c r="AV148" s="1534">
        <f t="shared" si="280"/>
        <v>1070780635.9643575</v>
      </c>
      <c r="AW148" s="1534">
        <f t="shared" si="280"/>
        <v>779370861.24003661</v>
      </c>
      <c r="AX148" s="1534">
        <f t="shared" si="280"/>
        <v>7415578690.4067211</v>
      </c>
      <c r="AY148" s="1534">
        <f t="shared" si="280"/>
        <v>6637498333.6779566</v>
      </c>
      <c r="AZ148" s="1534">
        <f t="shared" si="280"/>
        <v>2648571978.2282619</v>
      </c>
      <c r="BA148" s="1534">
        <f t="shared" si="280"/>
        <v>4885465206.5994911</v>
      </c>
      <c r="BB148" s="1534">
        <f t="shared" si="280"/>
        <v>1797562768.712065</v>
      </c>
      <c r="BC148" s="1534">
        <f t="shared" si="280"/>
        <v>1800694019.9189858</v>
      </c>
      <c r="BD148" s="1534">
        <f t="shared" si="280"/>
        <v>1986200129.09532</v>
      </c>
      <c r="BE148" s="1534">
        <f t="shared" si="280"/>
        <v>9271369255.382267</v>
      </c>
      <c r="BF148" s="1534">
        <f t="shared" si="280"/>
        <v>7768585963.5862064</v>
      </c>
      <c r="BG148" s="1534">
        <f t="shared" si="280"/>
        <v>137899.35914671805</v>
      </c>
      <c r="BH148" s="1534">
        <f t="shared" si="280"/>
        <v>156893.53291095374</v>
      </c>
      <c r="BI148" s="1534">
        <f t="shared" si="280"/>
        <v>295038.23530631908</v>
      </c>
      <c r="BJ148" s="1534"/>
      <c r="BK148" s="1534"/>
      <c r="BL148" s="1534">
        <f t="shared" ref="BL148:CA148" si="281">SUM(BL14:BL143)/1000</f>
        <v>1916186.1484029093</v>
      </c>
      <c r="BM148" s="1534">
        <f t="shared" si="281"/>
        <v>3261904.9125372455</v>
      </c>
      <c r="BN148" s="1534">
        <f t="shared" si="281"/>
        <v>353826.24598407384</v>
      </c>
      <c r="BO148" s="1534">
        <f t="shared" si="281"/>
        <v>407343.19453699311</v>
      </c>
      <c r="BP148" s="1534">
        <f t="shared" si="281"/>
        <v>440544.64193039999</v>
      </c>
      <c r="BQ148" s="1534">
        <f t="shared" si="281"/>
        <v>4160800.7227775869</v>
      </c>
      <c r="BR148" s="1534">
        <f t="shared" si="281"/>
        <v>3720256.0808471865</v>
      </c>
      <c r="BS148" s="1534">
        <f t="shared" si="281"/>
        <v>601097.27448800893</v>
      </c>
      <c r="BT148" s="1534">
        <f t="shared" si="281"/>
        <v>1518724.7727711066</v>
      </c>
      <c r="BU148" s="1534">
        <f t="shared" si="281"/>
        <v>341046.8192838275</v>
      </c>
      <c r="BV148" s="1534">
        <f t="shared" si="281"/>
        <v>447281.22072581557</v>
      </c>
      <c r="BW148" s="1534">
        <f t="shared" si="281"/>
        <v>371225.04135799996</v>
      </c>
      <c r="BX148" s="1534">
        <f t="shared" si="281"/>
        <v>3273565.8789877575</v>
      </c>
      <c r="BY148" s="1534">
        <f t="shared" si="281"/>
        <v>2902340.8376297578</v>
      </c>
      <c r="BZ148" s="1534">
        <f t="shared" si="281"/>
        <v>3641929.9828959936</v>
      </c>
      <c r="CA148" s="1534">
        <f t="shared" si="281"/>
        <v>694721.61003127834</v>
      </c>
      <c r="CB148" s="1534">
        <f>SUM(CB14:CB143)</f>
        <v>4336651592.9272728</v>
      </c>
      <c r="CC148" s="1486">
        <f>BZ148/AJ148*1000</f>
        <v>1771.3304055913352</v>
      </c>
      <c r="CD148" s="1486">
        <f>CA148/AK148*1000</f>
        <v>1587.3863955854142</v>
      </c>
      <c r="CE148" s="1486">
        <f>CB148/AJ149</f>
        <v>1739.04763863786</v>
      </c>
      <c r="CF148" s="1481" t="e">
        <f>CB148/(U148+V148+#REF!+AC148)</f>
        <v>#REF!</v>
      </c>
      <c r="CG148" s="1524">
        <f>SUM(CG14:CG143)</f>
        <v>5455976671.8979454</v>
      </c>
      <c r="CH148" s="1486">
        <f>CG148/(AJ148+AK148)</f>
        <v>2187.9099910174623</v>
      </c>
      <c r="CI148" s="1535"/>
      <c r="CJ148" s="1536"/>
      <c r="CK148" s="1536"/>
      <c r="CL148" s="1536"/>
      <c r="CM148" s="1484" t="e">
        <f>N148*#REF!/1000</f>
        <v>#REF!</v>
      </c>
      <c r="CN148" s="1484" t="e">
        <f t="shared" si="277"/>
        <v>#REF!</v>
      </c>
      <c r="CO148" s="1537">
        <f>SUM(CO14:CO143)</f>
        <v>8441551269.0003796</v>
      </c>
      <c r="CP148" s="1537"/>
      <c r="CQ148" s="1537"/>
      <c r="CR148" s="1537"/>
      <c r="CS148" s="1537"/>
      <c r="CT148" s="1537"/>
      <c r="CU148" s="1537"/>
      <c r="CV148" s="1537"/>
      <c r="CW148" s="1538"/>
      <c r="CX148" s="1537"/>
      <c r="CY148" s="1537"/>
      <c r="CZ148" s="1537"/>
      <c r="DA148" s="1537"/>
      <c r="DB148" s="1537"/>
      <c r="DC148" s="1311"/>
      <c r="DD148" s="119" t="e">
        <f t="shared" ref="DD148:DD153" si="282">N148/J148*100</f>
        <v>#DIV/0!</v>
      </c>
      <c r="DE148" s="1311"/>
      <c r="DF148" s="1311"/>
      <c r="DG148" s="1311"/>
      <c r="DH148" s="1584"/>
      <c r="DI148" s="1584"/>
      <c r="DJ148" s="1584"/>
      <c r="DK148" s="1535"/>
      <c r="DL148" s="1488">
        <f>M148*X148/1000</f>
        <v>0</v>
      </c>
      <c r="DM148" s="1488">
        <f>S148*AE148/1000</f>
        <v>0</v>
      </c>
      <c r="DN148" s="1488">
        <f>DL148+DM148</f>
        <v>0</v>
      </c>
      <c r="DO148" s="120"/>
    </row>
    <row r="149" spans="1:119" s="50" customFormat="1" ht="100.5" hidden="1" customHeight="1">
      <c r="A149" s="6"/>
      <c r="B149" s="1539"/>
      <c r="C149" s="1539"/>
      <c r="D149" s="1539"/>
      <c r="E149" s="1539"/>
      <c r="F149" s="1539"/>
      <c r="G149" s="1539"/>
      <c r="H149" s="1623"/>
      <c r="I149" s="1530"/>
      <c r="J149" s="1540"/>
      <c r="K149" s="1349"/>
      <c r="L149" s="1623"/>
      <c r="M149" s="1623"/>
      <c r="N149" s="1623"/>
      <c r="O149" s="1623"/>
      <c r="P149" s="1623"/>
      <c r="Q149" s="1623"/>
      <c r="R149" s="1623"/>
      <c r="S149" s="1623"/>
      <c r="T149" s="1623"/>
      <c r="U149" s="1346"/>
      <c r="V149" s="1515"/>
      <c r="W149" s="1346"/>
      <c r="X149" s="1623"/>
      <c r="Y149" s="1623"/>
      <c r="Z149" s="1346"/>
      <c r="AA149" s="1623"/>
      <c r="AB149" s="1346"/>
      <c r="AC149" s="1515">
        <f>SUM(AC14:AC143)</f>
        <v>209575.11378880768</v>
      </c>
      <c r="AD149" s="1346">
        <f>SUM(AD14:AD143)</f>
        <v>338126.11851451616</v>
      </c>
      <c r="AE149" s="1623"/>
      <c r="AF149" s="1623"/>
      <c r="AG149" s="1520" t="s">
        <v>980</v>
      </c>
      <c r="AH149" s="1521">
        <f>AH146-AH147-AH148</f>
        <v>299499.99800000002</v>
      </c>
      <c r="AI149" s="1521">
        <v>299499.99799999991</v>
      </c>
      <c r="AJ149" s="1541">
        <f>AJ148+AK148</f>
        <v>2493693.3851473052</v>
      </c>
      <c r="AK149" s="1623"/>
      <c r="AL149" s="1623"/>
      <c r="AM149" s="1623"/>
      <c r="AN149" s="1623"/>
      <c r="AO149" s="1623"/>
      <c r="AP149" s="1623"/>
      <c r="AQ149" s="1351">
        <f>AJ149/AQ148*100</f>
        <v>67.25958648932729</v>
      </c>
      <c r="AR149" s="1486" t="e">
        <f>#REF!-AQ150</f>
        <v>#REF!</v>
      </c>
      <c r="AS149" s="1481"/>
      <c r="AT149" s="1481"/>
      <c r="AU149" s="1542"/>
      <c r="AV149" s="1481"/>
      <c r="AW149" s="1481"/>
      <c r="AX149" s="1481"/>
      <c r="AY149" s="1481"/>
      <c r="AZ149" s="1542"/>
      <c r="BA149" s="1481"/>
      <c r="BB149" s="1542"/>
      <c r="BC149" s="1481"/>
      <c r="BD149" s="1481"/>
      <c r="BE149" s="1481"/>
      <c r="BF149" s="1481"/>
      <c r="BG149" s="1481"/>
      <c r="BH149" s="1481"/>
      <c r="BI149" s="1481"/>
      <c r="BJ149" s="1481"/>
      <c r="BK149" s="1481"/>
      <c r="BL149" s="1481"/>
      <c r="BM149" s="1481"/>
      <c r="BN149" s="1481"/>
      <c r="BO149" s="1481"/>
      <c r="BP149" s="1481"/>
      <c r="BQ149" s="1481"/>
      <c r="BR149" s="1481"/>
      <c r="BS149" s="1481"/>
      <c r="BT149" s="1481"/>
      <c r="BU149" s="1481"/>
      <c r="BV149" s="1481"/>
      <c r="BW149" s="1481"/>
      <c r="BX149" s="1481"/>
      <c r="BY149" s="1481"/>
      <c r="BZ149" s="1542">
        <f>BZ148/AJ148*1000</f>
        <v>1771.3304055913352</v>
      </c>
      <c r="CA149" s="1486">
        <f>CA148/AK148*1000</f>
        <v>1587.3863955854142</v>
      </c>
      <c r="CB149" s="1486">
        <f>CB148/AJ149</f>
        <v>1739.04763863786</v>
      </c>
      <c r="CC149" s="1481">
        <f>BZ149/AJ149*1000</f>
        <v>0.71032405833915335</v>
      </c>
      <c r="CD149" s="1481"/>
      <c r="CE149" s="1535" t="e">
        <f>SUM(CE14:CE148)</f>
        <v>#DIV/0!</v>
      </c>
      <c r="CF149" s="1481"/>
      <c r="CG149" s="1481"/>
      <c r="CH149" s="1481"/>
      <c r="CI149" s="1481"/>
      <c r="CJ149" s="1482">
        <f>SUM(CJ14:CJ143)</f>
        <v>4998264.3479240388</v>
      </c>
      <c r="CK149" s="1482">
        <f>SUM(CK14:CK143)</f>
        <v>3937846.2833752744</v>
      </c>
      <c r="CL149" s="1482">
        <f>SUM(CL14:CL143)</f>
        <v>8936110.8531769048</v>
      </c>
      <c r="CM149" s="1484" t="e">
        <f>N149*#REF!/1000</f>
        <v>#REF!</v>
      </c>
      <c r="CN149" s="1484" t="e">
        <f t="shared" si="277"/>
        <v>#REF!</v>
      </c>
      <c r="CO149" s="1485"/>
      <c r="CP149" s="1485">
        <f t="shared" ref="CP149:DB149" si="283">SUM(CP14:CP148)</f>
        <v>15519608025.341139</v>
      </c>
      <c r="CQ149" s="1485">
        <f t="shared" si="283"/>
        <v>15534097784.330944</v>
      </c>
      <c r="CR149" s="1485">
        <f t="shared" si="283"/>
        <v>8723002560.1059532</v>
      </c>
      <c r="CS149" s="1485">
        <f t="shared" si="283"/>
        <v>17060090668.375732</v>
      </c>
      <c r="CT149" s="1485">
        <f t="shared" si="283"/>
        <v>17063925118.011873</v>
      </c>
      <c r="CU149" s="1485">
        <f t="shared" si="283"/>
        <v>15585694679.780531</v>
      </c>
      <c r="CV149" s="1485">
        <f t="shared" si="283"/>
        <v>32579698693.716877</v>
      </c>
      <c r="CW149" s="1543" t="e">
        <f t="shared" si="283"/>
        <v>#DIV/0!</v>
      </c>
      <c r="CX149" s="1537">
        <f t="shared" si="283"/>
        <v>10219843199.87962</v>
      </c>
      <c r="CY149" s="1537">
        <f t="shared" si="283"/>
        <v>11134554964.762293</v>
      </c>
      <c r="CZ149" s="1537">
        <f t="shared" si="283"/>
        <v>0</v>
      </c>
      <c r="DA149" s="1537">
        <f t="shared" si="283"/>
        <v>16071602791.148348</v>
      </c>
      <c r="DB149" s="1537">
        <f t="shared" si="283"/>
        <v>17919877601.570137</v>
      </c>
      <c r="DC149" s="113"/>
      <c r="DD149" s="119" t="e">
        <f t="shared" si="282"/>
        <v>#DIV/0!</v>
      </c>
      <c r="DE149" s="113"/>
      <c r="DF149" s="113"/>
      <c r="DG149" s="113"/>
      <c r="DH149" s="1487"/>
      <c r="DI149" s="1487"/>
      <c r="DJ149" s="1487"/>
      <c r="DK149" s="1481"/>
      <c r="DL149" s="1488">
        <f>M149*X149/1000</f>
        <v>0</v>
      </c>
      <c r="DM149" s="1488">
        <f>S149*AE149/1000</f>
        <v>0</v>
      </c>
      <c r="DN149" s="1488">
        <f>DL149+DM149</f>
        <v>0</v>
      </c>
      <c r="DO149" s="106"/>
    </row>
    <row r="150" spans="1:119" s="50" customFormat="1" ht="100.5" hidden="1" customHeight="1">
      <c r="A150" s="6"/>
      <c r="B150" s="1539"/>
      <c r="C150" s="1539"/>
      <c r="D150" s="1539"/>
      <c r="E150" s="1539"/>
      <c r="F150" s="1539"/>
      <c r="G150" s="1539"/>
      <c r="H150" s="1623"/>
      <c r="I150" s="1530"/>
      <c r="J150" s="1623"/>
      <c r="K150" s="1623"/>
      <c r="L150" s="1623"/>
      <c r="M150" s="1623"/>
      <c r="N150" s="1623"/>
      <c r="O150" s="1623"/>
      <c r="P150" s="1623"/>
      <c r="Q150" s="1623"/>
      <c r="R150" s="1623"/>
      <c r="S150" s="1623"/>
      <c r="T150" s="1623"/>
      <c r="U150" s="1623"/>
      <c r="V150" s="1623"/>
      <c r="W150" s="1623"/>
      <c r="X150" s="1623"/>
      <c r="Y150" s="1623"/>
      <c r="Z150" s="1623"/>
      <c r="AA150" s="1623"/>
      <c r="AB150" s="1623"/>
      <c r="AC150" s="1623"/>
      <c r="AD150" s="1623"/>
      <c r="AE150" s="1623"/>
      <c r="AF150" s="1623"/>
      <c r="AG150" s="1544"/>
      <c r="AH150" s="1623"/>
      <c r="AI150" s="1623"/>
      <c r="AJ150" s="1368"/>
      <c r="AK150" s="1623"/>
      <c r="AL150" s="1541"/>
      <c r="AM150" s="1623"/>
      <c r="AN150" s="1623"/>
      <c r="AO150" s="1623"/>
      <c r="AP150" s="1623"/>
      <c r="AQ150" s="1368">
        <f>SUM(AQ14:AQ142)</f>
        <v>3707565.7394102518</v>
      </c>
      <c r="AR150" s="1481"/>
      <c r="AS150" s="1545" t="e">
        <f>AS148/#REF!</f>
        <v>#REF!</v>
      </c>
      <c r="AT150" s="1545">
        <f>AT148/AJ148</f>
        <v>1716.5477951661985</v>
      </c>
      <c r="AU150" s="1545">
        <f>AU148/AK148</f>
        <v>1520.6766351792492</v>
      </c>
      <c r="AV150" s="1545">
        <f>AV148/AL148</f>
        <v>1776.0613883671151</v>
      </c>
      <c r="AW150" s="1545">
        <f>AW148/AM148</f>
        <v>1146.7418479740372</v>
      </c>
      <c r="AX150" s="1545">
        <f>AX148/AP148</f>
        <v>1690.2740065906146</v>
      </c>
      <c r="AY150" s="1546">
        <f>AY148/AQ148</f>
        <v>1790.2577594574918</v>
      </c>
      <c r="AZ150" s="1545" t="e">
        <f>AZ148/#REF!</f>
        <v>#REF!</v>
      </c>
      <c r="BA150" s="1545">
        <f>BA148/AJ148</f>
        <v>2376.1503122108124</v>
      </c>
      <c r="BB150" s="1545">
        <f>BB148/AK148</f>
        <v>4107.2951280958614</v>
      </c>
      <c r="BC150" s="1545">
        <f>BC148/AL148</f>
        <v>2986.7397799563219</v>
      </c>
      <c r="BD150" s="1545">
        <f>BD148/AM148</f>
        <v>2922.4325924388745</v>
      </c>
      <c r="BE150" s="1545">
        <f>BE148/AP148</f>
        <v>2113.2746495090478</v>
      </c>
      <c r="BF150" s="1546">
        <f>BF148/AQ148</f>
        <v>2095.3333021202006</v>
      </c>
      <c r="BG150" s="1481"/>
      <c r="BH150" s="1481"/>
      <c r="BI150" s="1481" t="s">
        <v>196</v>
      </c>
      <c r="BJ150" s="1481"/>
      <c r="BK150" s="1481"/>
      <c r="BL150" s="1481"/>
      <c r="BM150" s="1481"/>
      <c r="BN150" s="1481"/>
      <c r="BO150" s="1481"/>
      <c r="BP150" s="1481"/>
      <c r="BQ150" s="1481"/>
      <c r="BR150" s="1481"/>
      <c r="BS150" s="1481"/>
      <c r="BT150" s="1481"/>
      <c r="BU150" s="1481"/>
      <c r="BV150" s="1481"/>
      <c r="BW150" s="1481"/>
      <c r="BX150" s="1481"/>
      <c r="BY150" s="1481"/>
      <c r="BZ150" s="1481"/>
      <c r="CA150" s="1481"/>
      <c r="CB150" s="1481"/>
      <c r="CC150" s="1481"/>
      <c r="CD150" s="1481"/>
      <c r="CE150" s="1486" t="e">
        <f>CE149/AJ149</f>
        <v>#DIV/0!</v>
      </c>
      <c r="CF150" s="1486" t="e">
        <f>CE149/AJ149</f>
        <v>#DIV/0!</v>
      </c>
      <c r="CG150" s="1481"/>
      <c r="CH150" s="1524">
        <f>CB149/CH148*100</f>
        <v>79.484423297922604</v>
      </c>
      <c r="CI150" s="1481"/>
      <c r="CJ150" s="1547" t="e">
        <f>CJ149/Z149*1000</f>
        <v>#DIV/0!</v>
      </c>
      <c r="CK150" s="1547" t="e">
        <f>CK149/#REF!*1000</f>
        <v>#REF!</v>
      </c>
      <c r="CL150" s="1547">
        <f>CL149/AQ148*1000</f>
        <v>2410.2366569495643</v>
      </c>
      <c r="CM150" s="1484" t="e">
        <f>N150*#REF!/1000</f>
        <v>#REF!</v>
      </c>
      <c r="CN150" s="1484" t="e">
        <f t="shared" si="277"/>
        <v>#REF!</v>
      </c>
      <c r="CO150" s="1548">
        <f>CO148/AQ148</f>
        <v>2276.8446636749709</v>
      </c>
      <c r="CP150" s="1549">
        <f>CP149/AQ148</f>
        <v>4185.9292905780767</v>
      </c>
      <c r="CQ150" s="1549">
        <f>CQ149/AQ148</f>
        <v>4189.8374502732058</v>
      </c>
      <c r="CR150" s="1549" t="e">
        <f>CR149/Z149</f>
        <v>#DIV/0!</v>
      </c>
      <c r="CS150" s="1549">
        <f>CS149/AQ148</f>
        <v>4601.4263447933945</v>
      </c>
      <c r="CT150" s="1549">
        <f>CT149/AQ148</f>
        <v>4602.4605677595255</v>
      </c>
      <c r="CU150" s="1549" t="e">
        <f>CU149/#REF!</f>
        <v>#REF!</v>
      </c>
      <c r="CV150" s="1550" t="e">
        <f>CV149/(#REF!+AQ148)</f>
        <v>#REF!</v>
      </c>
      <c r="CW150" s="1543"/>
      <c r="CX150" s="1551">
        <f>CX149/(AJ148+AK148)</f>
        <v>4098.2757787104292</v>
      </c>
      <c r="CY150" s="1551">
        <f>CY149/(AJ148+AK148)</f>
        <v>4465.0858165165173</v>
      </c>
      <c r="CZ150" s="1550">
        <f>(CX150+CY150)/2</f>
        <v>4281.6807976134733</v>
      </c>
      <c r="DA150" s="1552">
        <f>DA149/AQ148</f>
        <v>4334.8126292980569</v>
      </c>
      <c r="DB150" s="1552">
        <f>DB149/AQ148</f>
        <v>4833.3270024284402</v>
      </c>
      <c r="DC150" s="113"/>
      <c r="DD150" s="119" t="e">
        <f t="shared" si="282"/>
        <v>#DIV/0!</v>
      </c>
      <c r="DE150" s="113"/>
      <c r="DF150" s="113"/>
      <c r="DG150" s="113"/>
      <c r="DH150" s="1585"/>
      <c r="DI150" s="1585"/>
      <c r="DJ150" s="1585"/>
      <c r="DK150" s="1481"/>
      <c r="DL150" s="1623"/>
      <c r="DM150" s="1481"/>
      <c r="DN150" s="1481"/>
      <c r="DO150" s="106"/>
    </row>
    <row r="151" spans="1:119" customFormat="1" ht="100.5" hidden="1" customHeight="1">
      <c r="A151" s="20"/>
      <c r="B151" s="1553"/>
      <c r="C151" s="1553"/>
      <c r="D151" s="1553"/>
      <c r="E151" s="1553"/>
      <c r="F151" s="1553"/>
      <c r="G151" s="1553"/>
      <c r="H151" s="1554"/>
      <c r="I151" s="1555"/>
      <c r="J151" s="1554"/>
      <c r="K151" s="1554"/>
      <c r="L151" s="1554"/>
      <c r="M151" s="1554"/>
      <c r="N151" s="1554"/>
      <c r="O151" s="1554"/>
      <c r="P151" s="1554"/>
      <c r="Q151" s="1554"/>
      <c r="R151" s="1554"/>
      <c r="S151" s="1554"/>
      <c r="T151" s="1554"/>
      <c r="U151" s="1554"/>
      <c r="V151" s="1554"/>
      <c r="W151" s="1554"/>
      <c r="X151" s="1554"/>
      <c r="Y151" s="1554"/>
      <c r="Z151" s="1554"/>
      <c r="AA151" s="1554"/>
      <c r="AB151" s="1554"/>
      <c r="AC151" s="1554"/>
      <c r="AD151" s="1554"/>
      <c r="AE151" s="1554"/>
      <c r="AF151" s="1554"/>
      <c r="AG151" s="1554"/>
      <c r="AH151" s="1554"/>
      <c r="AI151" s="1556">
        <f>AI149-AH149</f>
        <v>0</v>
      </c>
      <c r="AJ151" s="1554"/>
      <c r="AK151" s="1554"/>
      <c r="AL151" s="1554"/>
      <c r="AM151" s="1554"/>
      <c r="AN151" s="1554"/>
      <c r="AO151" s="1554"/>
      <c r="AP151" s="1554"/>
      <c r="AQ151" s="1554"/>
      <c r="AR151" s="1557"/>
      <c r="AS151" s="1558"/>
      <c r="AT151" s="1559">
        <f>(AT148+AU148)/(AJ148+AK148)</f>
        <v>1682.1717749274201</v>
      </c>
      <c r="AU151" s="1559"/>
      <c r="AV151" s="1558"/>
      <c r="AW151" s="1558"/>
      <c r="AX151" s="1558"/>
      <c r="AY151" s="1558"/>
      <c r="AZ151" s="1558"/>
      <c r="BA151" s="1559">
        <f>(BA148+BB148)/(AJ148+AK148)</f>
        <v>2679.9718101336593</v>
      </c>
      <c r="BB151" s="1559"/>
      <c r="BC151" s="1558"/>
      <c r="BD151" s="1558"/>
      <c r="BE151" s="1558"/>
      <c r="BF151" s="1558"/>
      <c r="BG151" s="1557"/>
      <c r="BH151" s="1557"/>
      <c r="BI151" s="1557"/>
      <c r="BJ151" s="1557"/>
      <c r="BK151" s="1557"/>
      <c r="BL151" s="1557"/>
      <c r="BM151" s="1557"/>
      <c r="BN151" s="1560">
        <f>BL148+BM148+BO148</f>
        <v>5585434.2554771481</v>
      </c>
      <c r="BO151" s="1557"/>
      <c r="BP151" s="1557"/>
      <c r="BQ151" s="1557"/>
      <c r="BR151" s="1557"/>
      <c r="BS151" s="1557"/>
      <c r="BT151" s="1557"/>
      <c r="BU151" s="1561">
        <f>BS148+BT148+BV148</f>
        <v>2567103.2679849314</v>
      </c>
      <c r="BV151" s="1557"/>
      <c r="BW151" s="1557"/>
      <c r="BX151" s="1557"/>
      <c r="BY151" s="1557"/>
      <c r="BZ151" s="1561"/>
      <c r="CA151" s="1557"/>
      <c r="CB151" s="1561">
        <f>BZ148+CA148</f>
        <v>4336651.5929272715</v>
      </c>
      <c r="CC151" s="1557"/>
      <c r="CD151" s="1557"/>
      <c r="CE151" s="1557"/>
      <c r="CF151" s="1557"/>
      <c r="CG151" s="1557"/>
      <c r="CH151" s="1557"/>
      <c r="CI151" s="1557"/>
      <c r="CJ151" s="1562"/>
      <c r="CK151" s="1563" t="e">
        <f>CK150/CJ150*100</f>
        <v>#REF!</v>
      </c>
      <c r="CL151" s="1562"/>
      <c r="CM151" s="1564" t="e">
        <f>N151*#REF!/1000</f>
        <v>#REF!</v>
      </c>
      <c r="CN151" s="1564" t="e">
        <f t="shared" si="277"/>
        <v>#REF!</v>
      </c>
      <c r="CO151" s="1565"/>
      <c r="CP151" s="1565"/>
      <c r="CQ151" s="1565"/>
      <c r="CR151" s="1565"/>
      <c r="CS151" s="1566">
        <f>CS150/CP150*100</f>
        <v>109.92604091881202</v>
      </c>
      <c r="CT151" s="1567">
        <f>CT150/CQ150*100</f>
        <v>109.84818915730045</v>
      </c>
      <c r="CU151" s="1566" t="e">
        <f>CU150/CR150*100</f>
        <v>#REF!</v>
      </c>
      <c r="CV151" s="1565"/>
      <c r="CW151" s="1568"/>
      <c r="CX151" s="1569"/>
      <c r="CY151" s="1570">
        <f>CY150/CX150</f>
        <v>1.089503502841751</v>
      </c>
      <c r="CZ151" s="1571" t="e">
        <f>CZ149/(2*AJ150)</f>
        <v>#DIV/0!</v>
      </c>
      <c r="DA151" s="1569"/>
      <c r="DB151" s="1572">
        <f>DB150/DA150*100</f>
        <v>111.50025193156061</v>
      </c>
      <c r="DC151" s="113"/>
      <c r="DD151" s="119" t="e">
        <f t="shared" si="282"/>
        <v>#DIV/0!</v>
      </c>
      <c r="DE151" s="113"/>
      <c r="DF151" s="113"/>
      <c r="DG151" s="113"/>
      <c r="DH151" s="1586"/>
      <c r="DI151" s="1587"/>
      <c r="DJ151" s="1586"/>
      <c r="DK151" s="1557"/>
      <c r="DL151" s="1554"/>
      <c r="DM151" s="1557"/>
      <c r="DN151" s="1557"/>
      <c r="DO151" s="106"/>
    </row>
    <row r="152" spans="1:119" customFormat="1" ht="100.5" hidden="1" customHeight="1" thickBot="1">
      <c r="A152" s="20"/>
      <c r="B152" s="2"/>
      <c r="C152" s="2"/>
      <c r="D152" s="2"/>
      <c r="E152" s="2"/>
      <c r="F152" s="2"/>
      <c r="G152" s="2"/>
      <c r="AJ152" s="691">
        <v>3726743.3058103835</v>
      </c>
      <c r="AQ152" s="25" t="e">
        <f>#REF!-AQ150</f>
        <v>#REF!</v>
      </c>
      <c r="AR152" s="106"/>
      <c r="AS152" s="137"/>
      <c r="AT152" s="1809"/>
      <c r="AU152" s="1809"/>
      <c r="AV152" s="137"/>
      <c r="AW152" s="137"/>
      <c r="AX152" s="137"/>
      <c r="AY152" s="137" t="s">
        <v>177</v>
      </c>
      <c r="AZ152" s="137"/>
      <c r="BA152" s="1809">
        <f>BA151/AT151*100</f>
        <v>159.31617983836941</v>
      </c>
      <c r="BB152" s="1809"/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8" t="e">
        <f>N152*#REF!/1000</f>
        <v>#REF!</v>
      </c>
      <c r="CN152" s="18" t="e">
        <f t="shared" si="277"/>
        <v>#REF!</v>
      </c>
      <c r="CO152" s="106"/>
      <c r="CP152" s="106"/>
      <c r="CQ152" s="106"/>
      <c r="CR152" s="106"/>
      <c r="CS152" s="106"/>
      <c r="CT152" s="106"/>
      <c r="CU152" s="106"/>
      <c r="CV152" s="106"/>
      <c r="CW152" s="842"/>
      <c r="CX152" s="106"/>
      <c r="CY152" s="106"/>
      <c r="CZ152" s="106"/>
      <c r="DA152" s="106"/>
      <c r="DB152" s="106"/>
      <c r="DC152" s="113"/>
      <c r="DD152" s="119" t="e">
        <f t="shared" si="282"/>
        <v>#DIV/0!</v>
      </c>
      <c r="DE152" s="113"/>
      <c r="DF152" s="113"/>
      <c r="DG152" s="113"/>
      <c r="DH152" s="106"/>
      <c r="DI152" s="106"/>
      <c r="DJ152" s="106"/>
      <c r="DK152" s="106"/>
      <c r="DM152" s="106"/>
      <c r="DN152" s="106"/>
      <c r="DO152" s="106"/>
    </row>
    <row r="153" spans="1:119" customFormat="1" ht="100.5" hidden="1" customHeight="1">
      <c r="A153" s="20"/>
      <c r="B153" s="2"/>
      <c r="C153" s="2"/>
      <c r="D153" s="2"/>
      <c r="E153" s="2"/>
      <c r="F153" s="2"/>
      <c r="G153" s="2"/>
      <c r="AJ153" s="691" t="e">
        <f>AJ152-#REF!</f>
        <v>#REF!</v>
      </c>
      <c r="AR153" s="106"/>
      <c r="AS153" s="142" t="s">
        <v>178</v>
      </c>
      <c r="AT153" s="143"/>
      <c r="AU153" s="143"/>
      <c r="AV153" s="137"/>
      <c r="AW153" s="137"/>
      <c r="AX153" s="137"/>
      <c r="AY153" s="137"/>
      <c r="AZ153" s="144" t="s">
        <v>178</v>
      </c>
      <c r="BA153" s="692">
        <f>BA150/AT150*100</f>
        <v>138.42610843123947</v>
      </c>
      <c r="BB153" s="692">
        <f>BB150/AU150*100</f>
        <v>270.09654998820417</v>
      </c>
      <c r="BC153" s="137"/>
      <c r="BD153" s="137"/>
      <c r="BE153" s="137"/>
      <c r="BF153" s="689">
        <f>BF150/AY150*100</f>
        <v>117.04087252525899</v>
      </c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5" t="s">
        <v>222</v>
      </c>
      <c r="BU153" s="138">
        <f>BU151+BN151</f>
        <v>8152537.5234620795</v>
      </c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8" t="e">
        <f>N153*#REF!/1000</f>
        <v>#REF!</v>
      </c>
      <c r="CN153" s="18" t="e">
        <f t="shared" si="277"/>
        <v>#REF!</v>
      </c>
      <c r="CO153" s="106"/>
      <c r="CP153" s="106"/>
      <c r="CQ153" s="106"/>
      <c r="CR153" s="106"/>
      <c r="CS153" s="106"/>
      <c r="CT153" s="145">
        <f>BF153</f>
        <v>117.04087252525899</v>
      </c>
      <c r="CU153" s="106"/>
      <c r="CV153" s="106"/>
      <c r="CW153" s="842"/>
      <c r="CX153" s="106"/>
      <c r="CY153" s="106"/>
      <c r="CZ153" s="106"/>
      <c r="DA153" s="106"/>
      <c r="DB153" s="106"/>
      <c r="DC153" s="113"/>
      <c r="DD153" s="119" t="e">
        <f t="shared" si="282"/>
        <v>#DIV/0!</v>
      </c>
      <c r="DE153" s="113"/>
      <c r="DF153" s="113"/>
      <c r="DG153" s="113"/>
      <c r="DH153" s="106"/>
      <c r="DI153" s="106"/>
      <c r="DJ153" s="106"/>
      <c r="DK153" s="106"/>
      <c r="DM153" s="106"/>
      <c r="DN153" s="106"/>
      <c r="DO153" s="106"/>
    </row>
    <row r="154" spans="1:119" customFormat="1" ht="100.5" hidden="1" customHeight="1" thickBot="1">
      <c r="A154" s="20"/>
      <c r="B154" s="2"/>
      <c r="C154" s="2"/>
      <c r="D154" s="2"/>
      <c r="E154" s="2"/>
      <c r="F154" s="2"/>
      <c r="G154" s="2"/>
      <c r="T154" s="30">
        <f t="shared" ref="T154:AF154" si="284">SUBTOTAL(9,T47:T137)</f>
        <v>34546.502000000008</v>
      </c>
      <c r="U154" s="30">
        <f t="shared" si="284"/>
        <v>23246.334000000003</v>
      </c>
      <c r="V154" s="30">
        <f t="shared" si="284"/>
        <v>434.75600000000003</v>
      </c>
      <c r="W154" s="30">
        <f t="shared" si="284"/>
        <v>0</v>
      </c>
      <c r="X154" s="30">
        <f t="shared" si="284"/>
        <v>0</v>
      </c>
      <c r="Y154" s="30">
        <f t="shared" si="284"/>
        <v>0</v>
      </c>
      <c r="Z154" s="30">
        <f t="shared" si="284"/>
        <v>58227.592000000004</v>
      </c>
      <c r="AA154" s="30">
        <f t="shared" si="284"/>
        <v>21304.447999999997</v>
      </c>
      <c r="AB154" s="30">
        <f t="shared" si="284"/>
        <v>16887.106999999996</v>
      </c>
      <c r="AC154" s="30">
        <f t="shared" si="284"/>
        <v>784.50699999999995</v>
      </c>
      <c r="AD154" s="30">
        <f t="shared" si="284"/>
        <v>0</v>
      </c>
      <c r="AE154" s="30">
        <f t="shared" si="284"/>
        <v>0</v>
      </c>
      <c r="AF154" s="30">
        <f t="shared" si="284"/>
        <v>0</v>
      </c>
      <c r="AJ154" s="30">
        <f t="shared" ref="AJ154:AO154" si="285">SUBTOTAL(9,AJ47:AJ137)</f>
        <v>40133.440999999992</v>
      </c>
      <c r="AK154" s="30">
        <f t="shared" si="285"/>
        <v>1219.2629999999999</v>
      </c>
      <c r="AL154" s="30">
        <f t="shared" si="285"/>
        <v>0</v>
      </c>
      <c r="AM154" s="30">
        <f t="shared" si="285"/>
        <v>0</v>
      </c>
      <c r="AN154" s="30">
        <f t="shared" si="285"/>
        <v>0</v>
      </c>
      <c r="AO154" s="30">
        <f t="shared" si="285"/>
        <v>97203.65400000001</v>
      </c>
      <c r="AR154" s="106"/>
      <c r="AS154" s="146" t="e">
        <f>(AS148+AV148)/(#REF!+AL148)</f>
        <v>#REF!</v>
      </c>
      <c r="AT154" s="106">
        <f>SUM(AT127:AT141)</f>
        <v>2725609509.5367918</v>
      </c>
      <c r="AU154" s="106">
        <f>SUM(AU126:AU138)</f>
        <v>554728328.08506644</v>
      </c>
      <c r="AV154" s="137"/>
      <c r="AW154" s="137"/>
      <c r="AX154" s="137"/>
      <c r="AY154" s="137"/>
      <c r="AZ154" s="693" t="e">
        <f>(AZ148+BC148)/(#REF!+AL148)</f>
        <v>#REF!</v>
      </c>
      <c r="BA154" s="694" t="s">
        <v>258</v>
      </c>
      <c r="BB154" s="694" t="s">
        <v>259</v>
      </c>
      <c r="BC154" s="137"/>
      <c r="BD154" s="137"/>
      <c r="BE154" s="137"/>
      <c r="BF154" s="137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8" t="e">
        <f>N154*#REF!/1000</f>
        <v>#REF!</v>
      </c>
      <c r="CN154" s="18" t="e">
        <f t="shared" si="277"/>
        <v>#REF!</v>
      </c>
      <c r="CO154" s="106"/>
      <c r="CP154" s="106"/>
      <c r="CQ154" s="106"/>
      <c r="CR154" s="106"/>
      <c r="CS154" s="106"/>
      <c r="CT154" s="106"/>
      <c r="CU154" s="106"/>
      <c r="CV154" s="106"/>
      <c r="CW154" s="842"/>
      <c r="CX154" s="106"/>
      <c r="CY154" s="106"/>
      <c r="CZ154" s="106"/>
      <c r="DA154" s="106"/>
      <c r="DB154" s="106"/>
      <c r="DC154" s="113"/>
      <c r="DD154" s="113"/>
      <c r="DE154" s="113"/>
      <c r="DF154" s="113"/>
      <c r="DG154" s="113"/>
      <c r="DH154" s="106"/>
      <c r="DI154" s="106"/>
      <c r="DJ154" s="106"/>
      <c r="DK154" s="106"/>
      <c r="DM154" s="106"/>
      <c r="DN154" s="106"/>
      <c r="DO154" s="106"/>
    </row>
    <row r="155" spans="1:119" customFormat="1" ht="100.5" hidden="1" customHeight="1">
      <c r="A155" s="20"/>
      <c r="B155" s="2"/>
      <c r="C155" s="2"/>
      <c r="D155" s="2"/>
      <c r="E155" s="2"/>
      <c r="F155" s="2"/>
      <c r="G155" s="2"/>
      <c r="Z155" s="30"/>
      <c r="AG155" s="30" t="e">
        <f>#REF!+AE137</f>
        <v>#REF!</v>
      </c>
      <c r="AR155" s="106"/>
      <c r="AS155" s="137"/>
      <c r="AT155" s="143"/>
      <c r="AU155" s="143"/>
      <c r="AV155" s="137"/>
      <c r="AW155" s="137"/>
      <c r="AX155" s="137"/>
      <c r="AY155" s="106" t="s">
        <v>176</v>
      </c>
      <c r="AZ155" s="137" t="e">
        <f>AZ154/AS154*100</f>
        <v>#REF!</v>
      </c>
      <c r="BA155" s="143"/>
      <c r="BB155" s="143"/>
      <c r="BC155" s="137"/>
      <c r="BD155" s="137"/>
      <c r="BE155" s="137"/>
      <c r="BF155" s="137"/>
      <c r="BG155" s="106"/>
      <c r="BH155" s="106"/>
      <c r="BI155" s="106"/>
      <c r="BJ155" s="106"/>
      <c r="BK155" s="106"/>
      <c r="BL155" s="106"/>
      <c r="BM155" s="106"/>
      <c r="BN155" s="106"/>
      <c r="BO155" s="106"/>
      <c r="BP155" s="106"/>
      <c r="BQ155" s="106"/>
      <c r="BR155" s="106"/>
      <c r="BS155" s="106"/>
      <c r="BT155" s="106"/>
      <c r="BU155" s="106"/>
      <c r="BV155" s="106"/>
      <c r="BW155" s="106"/>
      <c r="BX155" s="106"/>
      <c r="BY155" s="106"/>
      <c r="BZ155" s="106"/>
      <c r="CA155" s="106"/>
      <c r="CB155" s="106"/>
      <c r="CC155" s="106"/>
      <c r="CD155" s="106"/>
      <c r="CE155" s="106"/>
      <c r="CF155" s="106"/>
      <c r="CG155" s="106"/>
      <c r="CH155" s="106"/>
      <c r="CI155" s="106"/>
      <c r="CJ155" s="106"/>
      <c r="CK155" s="106"/>
      <c r="CL155" s="106"/>
      <c r="CM155" s="18">
        <f t="shared" si="276"/>
        <v>0</v>
      </c>
      <c r="CN155" s="18">
        <f t="shared" si="277"/>
        <v>0</v>
      </c>
      <c r="CO155" s="106"/>
      <c r="CP155" s="106"/>
      <c r="CQ155" s="106"/>
      <c r="CR155" s="106"/>
      <c r="CS155" s="106"/>
      <c r="CT155" s="106"/>
      <c r="CU155" s="106"/>
      <c r="CV155" s="106"/>
      <c r="CW155" s="842"/>
      <c r="CX155" s="106"/>
      <c r="CY155" s="106"/>
      <c r="CZ155" s="106"/>
      <c r="DA155" s="106"/>
      <c r="DB155" s="106"/>
      <c r="DC155" s="113"/>
      <c r="DD155" s="113"/>
      <c r="DE155" s="113"/>
      <c r="DF155" s="113"/>
      <c r="DG155" s="113"/>
      <c r="DH155" s="106"/>
      <c r="DI155" s="106"/>
      <c r="DJ155" s="106"/>
      <c r="DK155" s="106"/>
      <c r="DM155" s="106"/>
      <c r="DN155" s="106"/>
      <c r="DO155" s="106"/>
    </row>
    <row r="156" spans="1:119" customFormat="1" ht="100.5" hidden="1" customHeight="1">
      <c r="A156" s="20"/>
      <c r="AR156" s="106"/>
      <c r="AS156" s="106"/>
      <c r="AT156" s="147"/>
      <c r="AU156" s="147"/>
      <c r="AV156" s="113"/>
      <c r="AW156" s="113"/>
      <c r="AX156" s="113"/>
      <c r="AY156" s="113"/>
      <c r="AZ156" s="113"/>
      <c r="BA156" s="147"/>
      <c r="BB156" s="147"/>
      <c r="BC156" s="106"/>
      <c r="BD156" s="106"/>
      <c r="BE156" s="106"/>
      <c r="BF156" s="106"/>
      <c r="BG156" s="106"/>
      <c r="BH156" s="106"/>
      <c r="BI156" s="106"/>
      <c r="BJ156" s="106"/>
      <c r="BK156" s="106"/>
      <c r="BL156" s="106"/>
      <c r="BM156" s="106"/>
      <c r="BN156" s="106"/>
      <c r="BO156" s="106"/>
      <c r="BP156" s="106"/>
      <c r="BQ156" s="106"/>
      <c r="BR156" s="106"/>
      <c r="BS156" s="106"/>
      <c r="BT156" s="106"/>
      <c r="BU156" s="106"/>
      <c r="BV156" s="106"/>
      <c r="BW156" s="106"/>
      <c r="BX156" s="106"/>
      <c r="BY156" s="106"/>
      <c r="BZ156" s="106"/>
      <c r="CA156" s="106"/>
      <c r="CB156" s="106"/>
      <c r="CC156" s="106"/>
      <c r="CD156" s="106"/>
      <c r="CE156" s="106"/>
      <c r="CF156" s="106"/>
      <c r="CG156" s="106"/>
      <c r="CH156" s="106"/>
      <c r="CI156" s="106"/>
      <c r="CJ156" s="106"/>
      <c r="CK156" s="106"/>
      <c r="CL156" s="106"/>
      <c r="CM156" s="18">
        <f t="shared" si="276"/>
        <v>0</v>
      </c>
      <c r="CN156" s="18">
        <f t="shared" si="277"/>
        <v>0</v>
      </c>
      <c r="CO156" s="106"/>
      <c r="CP156" s="106"/>
      <c r="CQ156" s="106"/>
      <c r="CR156" s="106"/>
      <c r="CS156" s="106"/>
      <c r="CT156" s="106"/>
      <c r="CU156" s="106"/>
      <c r="CV156" s="106"/>
      <c r="CW156" s="842"/>
      <c r="CX156" s="106"/>
      <c r="CY156" s="106"/>
      <c r="CZ156" s="106"/>
      <c r="DA156" s="106"/>
      <c r="DB156" s="106"/>
      <c r="DC156" s="113"/>
      <c r="DD156" s="113"/>
      <c r="DE156" s="113"/>
      <c r="DF156" s="113"/>
      <c r="DG156" s="113"/>
      <c r="DH156" s="106"/>
      <c r="DI156" s="106"/>
      <c r="DJ156" s="106"/>
      <c r="DK156" s="106"/>
      <c r="DM156" s="106"/>
      <c r="DN156" s="106"/>
      <c r="DO156" s="106"/>
    </row>
    <row r="157" spans="1:119" customFormat="1" ht="100.5" hidden="1" customHeight="1">
      <c r="A157" s="20"/>
      <c r="AY157" s="6" t="s">
        <v>176</v>
      </c>
      <c r="AZ157" s="26" t="e">
        <f>AZ150/AS150*100</f>
        <v>#REF!</v>
      </c>
      <c r="BA157" s="26">
        <f t="shared" ref="BA157:BF157" si="286">BA150/AT150*100</f>
        <v>138.42610843123947</v>
      </c>
      <c r="BB157" s="26">
        <f t="shared" si="286"/>
        <v>270.09654998820417</v>
      </c>
      <c r="BC157" s="26">
        <f t="shared" si="286"/>
        <v>168.16647214555388</v>
      </c>
      <c r="BD157" s="26">
        <f t="shared" si="286"/>
        <v>254.84659843904467</v>
      </c>
      <c r="BE157" s="26">
        <f t="shared" si="286"/>
        <v>125.02556634421961</v>
      </c>
      <c r="BF157" s="26">
        <f t="shared" si="286"/>
        <v>117.04087252525899</v>
      </c>
      <c r="CM157" s="18">
        <f t="shared" si="276"/>
        <v>0</v>
      </c>
      <c r="CN157" s="18">
        <f t="shared" si="277"/>
        <v>0</v>
      </c>
      <c r="DC157" s="1577"/>
      <c r="DD157" s="1577"/>
      <c r="DE157" s="1577"/>
      <c r="DF157" s="1577"/>
      <c r="DG157" s="1577"/>
    </row>
    <row r="158" spans="1:119" customFormat="1" ht="100.5" hidden="1" customHeight="1">
      <c r="A158" s="20"/>
      <c r="H158" s="6">
        <f>H130*1.2</f>
        <v>5024.9088000000002</v>
      </c>
      <c r="I158" s="6">
        <f>I130*1.2</f>
        <v>5024.9088000000002</v>
      </c>
      <c r="N158" s="6">
        <f>N130*1.2</f>
        <v>5276.16</v>
      </c>
      <c r="O158" s="6">
        <f>O130*1.2</f>
        <v>5276.16</v>
      </c>
      <c r="AA158" s="181"/>
      <c r="AB158" s="181"/>
      <c r="AC158" s="230">
        <f>AC137+AC51+AC47</f>
        <v>118291.45089566863</v>
      </c>
      <c r="AD158" s="181"/>
      <c r="AE158" s="181"/>
      <c r="AF158" s="181"/>
      <c r="AG158" s="181"/>
      <c r="AH158" s="181">
        <f>AH137+AH51+AH47</f>
        <v>2036193.915</v>
      </c>
      <c r="AK158" s="181">
        <f>AK137+AK51+AK47</f>
        <v>249163.56181267492</v>
      </c>
      <c r="AP158" s="6">
        <f>AP137+AP51+AP47</f>
        <v>2042138.915</v>
      </c>
      <c r="AT158" s="6">
        <f>AT154+AU154</f>
        <v>3280337837.6218581</v>
      </c>
      <c r="CM158" s="18">
        <f t="shared" si="276"/>
        <v>10743284.886566401</v>
      </c>
      <c r="CN158" s="18">
        <f t="shared" si="277"/>
        <v>10743284.886566401</v>
      </c>
      <c r="DC158" s="1577"/>
      <c r="DD158" s="1577"/>
      <c r="DE158" s="1577"/>
      <c r="DF158" s="1577"/>
      <c r="DG158" s="1577"/>
    </row>
    <row r="159" spans="1:119" customFormat="1" ht="100.5" hidden="1" customHeight="1">
      <c r="A159" s="20"/>
      <c r="K159" s="9"/>
      <c r="CM159" s="18">
        <f t="shared" si="276"/>
        <v>0</v>
      </c>
      <c r="CN159" s="18">
        <f t="shared" si="277"/>
        <v>0</v>
      </c>
      <c r="DC159" s="1577"/>
      <c r="DD159" s="1577"/>
      <c r="DE159" s="1577"/>
      <c r="DF159" s="1577"/>
      <c r="DG159" s="1577"/>
    </row>
    <row r="160" spans="1:119" customFormat="1" ht="100.5" hidden="1" customHeight="1">
      <c r="A160" s="20"/>
      <c r="K160" s="9"/>
      <c r="AS160" s="6" t="s">
        <v>179</v>
      </c>
      <c r="AT160" s="6">
        <f>AT158/AK158</f>
        <v>13165.39952213425</v>
      </c>
      <c r="BA160" s="97">
        <f>BA150/AT150*100</f>
        <v>138.42610843123947</v>
      </c>
      <c r="BB160" s="6">
        <f>BB150/AU150*100</f>
        <v>270.09654998820417</v>
      </c>
      <c r="BF160" s="6" t="s">
        <v>185</v>
      </c>
      <c r="CM160" s="18">
        <f t="shared" si="276"/>
        <v>0</v>
      </c>
      <c r="CN160" s="18">
        <f t="shared" si="277"/>
        <v>0</v>
      </c>
      <c r="DC160" s="1577"/>
      <c r="DD160" s="1577"/>
      <c r="DE160" s="1577"/>
      <c r="DF160" s="1577"/>
      <c r="DG160" s="1577"/>
    </row>
    <row r="161" spans="1:114" customFormat="1" ht="100.5" hidden="1" customHeight="1">
      <c r="A161" s="20"/>
      <c r="K161" s="9"/>
      <c r="CL161" s="6">
        <f>SUBTOTAL(9,CL70:CL82)</f>
        <v>0</v>
      </c>
      <c r="CM161" s="18">
        <f t="shared" si="276"/>
        <v>0</v>
      </c>
      <c r="CN161" s="18">
        <f t="shared" si="277"/>
        <v>0</v>
      </c>
      <c r="DC161" s="1577"/>
      <c r="DD161" s="1577"/>
      <c r="DE161" s="1577"/>
      <c r="DF161" s="1577"/>
      <c r="DG161" s="1577"/>
    </row>
    <row r="162" spans="1:114" customFormat="1" ht="100.5" hidden="1" customHeight="1">
      <c r="A162" s="20"/>
      <c r="CM162" s="18">
        <f t="shared" si="276"/>
        <v>0</v>
      </c>
      <c r="CN162" s="18">
        <f t="shared" si="277"/>
        <v>0</v>
      </c>
      <c r="DC162" s="1577"/>
      <c r="DD162" s="1577"/>
      <c r="DE162" s="1577"/>
      <c r="DF162" s="1577"/>
      <c r="DG162" s="1577"/>
    </row>
    <row r="163" spans="1:114" customFormat="1" ht="100.5" hidden="1" customHeight="1">
      <c r="A163" s="20"/>
      <c r="AS163" s="6" t="s">
        <v>180</v>
      </c>
      <c r="AT163" s="9" t="e">
        <f>AT154/AJ153</f>
        <v>#REF!</v>
      </c>
      <c r="BB163" s="25">
        <f>AZ148+BA148+BC148</f>
        <v>9334731204.7467384</v>
      </c>
      <c r="CM163" s="18">
        <f t="shared" si="276"/>
        <v>0</v>
      </c>
      <c r="CN163" s="18">
        <f t="shared" si="277"/>
        <v>0</v>
      </c>
      <c r="DC163" s="1577"/>
      <c r="DD163" s="1577"/>
      <c r="DE163" s="1577"/>
      <c r="DF163" s="1577"/>
      <c r="DG163" s="1577"/>
    </row>
    <row r="164" spans="1:114" customFormat="1" ht="100.5" hidden="1" customHeight="1">
      <c r="A164" s="20"/>
      <c r="BB164" s="25" t="e">
        <f>#REF!+AJ148+AL148</f>
        <v>#REF!</v>
      </c>
      <c r="CM164" s="18">
        <f t="shared" si="276"/>
        <v>0</v>
      </c>
      <c r="CN164" s="18">
        <f t="shared" si="277"/>
        <v>0</v>
      </c>
      <c r="DC164" s="1577"/>
      <c r="DD164" s="1577"/>
      <c r="DE164" s="1577"/>
      <c r="DF164" s="1577"/>
      <c r="DG164" s="1577"/>
    </row>
    <row r="165" spans="1:114" customFormat="1" ht="100.5" hidden="1" customHeight="1">
      <c r="A165" s="20"/>
      <c r="BB165" s="6" t="e">
        <f>BB163/BB164</f>
        <v>#REF!</v>
      </c>
      <c r="CM165" s="18">
        <f t="shared" si="276"/>
        <v>0</v>
      </c>
      <c r="CN165" s="18">
        <f t="shared" si="277"/>
        <v>0</v>
      </c>
      <c r="DC165" s="1577"/>
      <c r="DD165" s="1577"/>
      <c r="DE165" s="1577"/>
      <c r="DF165" s="1577"/>
      <c r="DG165" s="1577"/>
    </row>
    <row r="166" spans="1:114" customFormat="1" ht="100.5" hidden="1" customHeight="1">
      <c r="A166" s="20"/>
      <c r="CM166" s="18">
        <f t="shared" si="276"/>
        <v>0</v>
      </c>
      <c r="CN166" s="18">
        <f t="shared" si="277"/>
        <v>0</v>
      </c>
      <c r="DC166" s="1577"/>
      <c r="DD166" s="1577"/>
      <c r="DE166" s="1577"/>
      <c r="DF166" s="1577"/>
      <c r="DG166" s="1577"/>
    </row>
    <row r="167" spans="1:114" customFormat="1" ht="100.5" hidden="1" customHeight="1">
      <c r="A167" s="20"/>
      <c r="CM167" s="18">
        <f t="shared" si="276"/>
        <v>0</v>
      </c>
      <c r="CN167" s="18">
        <f t="shared" si="277"/>
        <v>0</v>
      </c>
      <c r="DC167" s="1577"/>
      <c r="DD167" s="1577"/>
      <c r="DE167" s="1577"/>
      <c r="DF167" s="1577"/>
      <c r="DG167" s="1577"/>
    </row>
    <row r="168" spans="1:114" customFormat="1" ht="100.5" hidden="1" customHeight="1">
      <c r="A168" s="20"/>
      <c r="AY168" s="25">
        <f>AY148+BF148</f>
        <v>14406084297.264164</v>
      </c>
      <c r="BA168" s="25">
        <f>BA148+BB148+AT148+AU148</f>
        <v>10877848603.129564</v>
      </c>
      <c r="CM168" s="18">
        <f t="shared" si="276"/>
        <v>0</v>
      </c>
      <c r="CN168" s="18">
        <f t="shared" si="277"/>
        <v>0</v>
      </c>
      <c r="DC168" s="1577"/>
      <c r="DD168" s="1577"/>
      <c r="DE168" s="1577"/>
      <c r="DF168" s="1577"/>
      <c r="DG168" s="1577"/>
    </row>
    <row r="169" spans="1:114" customFormat="1" ht="100.5" hidden="1" customHeight="1">
      <c r="A169" s="20"/>
      <c r="AY169" s="25">
        <f>AQ150*2</f>
        <v>7415131.4788205037</v>
      </c>
      <c r="BA169" s="6">
        <f>(AJ149*2)</f>
        <v>4987386.7702946104</v>
      </c>
      <c r="CM169" s="18">
        <f t="shared" si="276"/>
        <v>0</v>
      </c>
      <c r="CN169" s="18">
        <f t="shared" si="277"/>
        <v>0</v>
      </c>
      <c r="DC169" s="1577"/>
      <c r="DD169" s="1577"/>
      <c r="DE169" s="1577"/>
      <c r="DF169" s="1577"/>
      <c r="DG169" s="1577"/>
    </row>
    <row r="170" spans="1:114" customFormat="1" ht="100.5" hidden="1" customHeight="1">
      <c r="A170" s="20"/>
      <c r="S170" s="6">
        <v>436449</v>
      </c>
      <c r="T170" s="30">
        <v>11020</v>
      </c>
      <c r="AY170" s="101">
        <f>AY168/AY169</f>
        <v>1942.7955307888465</v>
      </c>
      <c r="BA170" s="102">
        <f>BA168/BA169</f>
        <v>2181.0717925305394</v>
      </c>
      <c r="CM170" s="18">
        <f t="shared" si="276"/>
        <v>0</v>
      </c>
      <c r="CN170" s="18">
        <f t="shared" si="277"/>
        <v>0</v>
      </c>
      <c r="DC170" s="1577"/>
      <c r="DD170" s="1577"/>
      <c r="DE170" s="1577"/>
      <c r="DF170" s="1577"/>
      <c r="DG170" s="1577"/>
    </row>
    <row r="171" spans="1:114" customFormat="1" ht="100.5" hidden="1" customHeight="1">
      <c r="S171" s="30">
        <f>S170-T170</f>
        <v>425429</v>
      </c>
      <c r="T171" s="6"/>
      <c r="AA171" s="6"/>
      <c r="AB171" s="8"/>
      <c r="AG171" s="6">
        <v>234909.61222926635</v>
      </c>
      <c r="AO171" s="9"/>
      <c r="AP171" s="9"/>
      <c r="AQ171" s="9"/>
      <c r="AR171" s="43"/>
      <c r="CL171" s="25">
        <f>CL120/1.2</f>
        <v>1053537.8099612901</v>
      </c>
      <c r="CM171" s="18">
        <f t="shared" si="276"/>
        <v>0</v>
      </c>
      <c r="CN171" s="18">
        <f t="shared" si="277"/>
        <v>-1053537.8099612901</v>
      </c>
      <c r="DC171" s="1577"/>
      <c r="DD171" s="1577"/>
      <c r="DE171" s="1577"/>
      <c r="DF171" s="1577"/>
      <c r="DG171" s="1577"/>
      <c r="DJ171" s="25"/>
    </row>
    <row r="172" spans="1:114" customFormat="1" ht="100.5" hidden="1" customHeight="1">
      <c r="T172" s="6"/>
      <c r="AB172" s="8"/>
      <c r="AG172" s="30">
        <f>AG120-AG171</f>
        <v>0.42077073364634998</v>
      </c>
      <c r="AO172" s="9"/>
      <c r="AP172" s="9"/>
      <c r="AQ172" s="9"/>
      <c r="AR172" s="43"/>
      <c r="CM172" s="18">
        <f t="shared" si="276"/>
        <v>0</v>
      </c>
      <c r="CN172" s="18">
        <f t="shared" si="277"/>
        <v>0</v>
      </c>
      <c r="DC172" s="1577"/>
      <c r="DD172" s="1577"/>
      <c r="DE172" s="1577"/>
      <c r="DF172" s="1577"/>
      <c r="DG172" s="1577"/>
    </row>
    <row r="173" spans="1:114" customFormat="1" ht="100.5" hidden="1" customHeight="1">
      <c r="AB173" s="8"/>
      <c r="CM173" s="18">
        <f t="shared" si="276"/>
        <v>0</v>
      </c>
      <c r="CN173" s="18">
        <f t="shared" si="277"/>
        <v>0</v>
      </c>
      <c r="DC173" s="1577"/>
      <c r="DD173" s="1577"/>
      <c r="DE173" s="1577"/>
      <c r="DF173" s="1577"/>
      <c r="DG173" s="1577"/>
    </row>
    <row r="174" spans="1:114" customFormat="1" ht="100.5" hidden="1" customHeight="1">
      <c r="N174" s="6">
        <f>N142/1.2</f>
        <v>271.02999999999997</v>
      </c>
      <c r="AB174" s="8"/>
      <c r="CJ174" s="159"/>
      <c r="CK174" s="159"/>
      <c r="CL174" s="159"/>
      <c r="CM174" s="18">
        <f t="shared" si="276"/>
        <v>0</v>
      </c>
      <c r="CN174" s="18">
        <f t="shared" si="277"/>
        <v>0</v>
      </c>
      <c r="DC174" s="1577"/>
      <c r="DD174" s="1577"/>
      <c r="DE174" s="1577"/>
      <c r="DF174" s="1577"/>
      <c r="DG174" s="1577"/>
      <c r="DH174" s="159"/>
      <c r="DI174" s="159"/>
      <c r="DJ174" s="159"/>
    </row>
    <row r="175" spans="1:114" customFormat="1" ht="100.5" hidden="1" customHeight="1">
      <c r="BG175" s="30"/>
      <c r="BH175" s="30"/>
      <c r="CJ175" s="160"/>
      <c r="CK175" s="160"/>
      <c r="CL175" s="160"/>
      <c r="CM175" s="18">
        <f t="shared" si="276"/>
        <v>0</v>
      </c>
      <c r="CN175" s="18">
        <f t="shared" si="277"/>
        <v>0</v>
      </c>
      <c r="DC175" s="1577"/>
      <c r="DD175" s="1577"/>
      <c r="DE175" s="1577"/>
      <c r="DF175" s="1577"/>
      <c r="DG175" s="1577"/>
      <c r="DH175" s="160"/>
      <c r="DI175" s="160"/>
      <c r="DJ175" s="160"/>
    </row>
    <row r="176" spans="1:114" hidden="1">
      <c r="T176" s="6"/>
      <c r="V176" s="6"/>
      <c r="AA176" s="6"/>
      <c r="AC176" s="6"/>
      <c r="AR176" s="6"/>
      <c r="CL176" s="8"/>
      <c r="CM176" s="18">
        <f t="shared" si="276"/>
        <v>0</v>
      </c>
      <c r="CN176" s="18">
        <f t="shared" si="277"/>
        <v>0</v>
      </c>
      <c r="CW176" s="6"/>
      <c r="DJ176" s="160"/>
    </row>
    <row r="177" spans="61:92" hidden="1">
      <c r="BI177" s="754"/>
      <c r="CM177" s="18">
        <f t="shared" si="276"/>
        <v>0</v>
      </c>
      <c r="CN177" s="18">
        <f t="shared" si="277"/>
        <v>0</v>
      </c>
    </row>
    <row r="178" spans="61:92" hidden="1">
      <c r="CL178" s="754"/>
      <c r="CM178" s="18">
        <f t="shared" si="276"/>
        <v>0</v>
      </c>
      <c r="CN178" s="18">
        <f t="shared" si="277"/>
        <v>0</v>
      </c>
    </row>
    <row r="179" spans="61:92" hidden="1">
      <c r="CM179" s="18">
        <f t="shared" si="276"/>
        <v>0</v>
      </c>
      <c r="CN179" s="18">
        <f t="shared" si="277"/>
        <v>0</v>
      </c>
    </row>
    <row r="180" spans="61:92" hidden="1">
      <c r="BI180" s="30"/>
      <c r="CL180" s="754"/>
      <c r="CM180" s="18">
        <f t="shared" si="276"/>
        <v>0</v>
      </c>
      <c r="CN180" s="18">
        <f t="shared" si="277"/>
        <v>0</v>
      </c>
    </row>
    <row r="181" spans="61:92" hidden="1">
      <c r="BI181" s="754"/>
      <c r="CM181" s="18">
        <f t="shared" si="276"/>
        <v>0</v>
      </c>
      <c r="CN181" s="18">
        <f t="shared" si="277"/>
        <v>0</v>
      </c>
    </row>
    <row r="182" spans="61:92" hidden="1">
      <c r="CM182" s="18">
        <f t="shared" si="276"/>
        <v>0</v>
      </c>
      <c r="CN182" s="18">
        <f t="shared" si="277"/>
        <v>0</v>
      </c>
    </row>
    <row r="183" spans="61:92" hidden="1">
      <c r="CM183" s="18">
        <f t="shared" si="276"/>
        <v>0</v>
      </c>
      <c r="CN183" s="18">
        <f t="shared" si="277"/>
        <v>0</v>
      </c>
    </row>
    <row r="184" spans="61:92" hidden="1">
      <c r="CL184" s="754"/>
      <c r="CM184" s="18">
        <f t="shared" si="276"/>
        <v>0</v>
      </c>
      <c r="CN184" s="18">
        <f t="shared" si="277"/>
        <v>0</v>
      </c>
    </row>
    <row r="185" spans="61:92" hidden="1">
      <c r="CM185" s="18">
        <f t="shared" si="276"/>
        <v>0</v>
      </c>
      <c r="CN185" s="18">
        <f t="shared" si="277"/>
        <v>0</v>
      </c>
    </row>
    <row r="186" spans="61:92" hidden="1">
      <c r="CM186" s="18">
        <f t="shared" si="276"/>
        <v>0</v>
      </c>
      <c r="CN186" s="18">
        <f t="shared" si="277"/>
        <v>0</v>
      </c>
    </row>
    <row r="187" spans="61:92" hidden="1">
      <c r="CM187" s="18">
        <f t="shared" si="276"/>
        <v>0</v>
      </c>
      <c r="CN187" s="18">
        <f t="shared" si="277"/>
        <v>0</v>
      </c>
    </row>
    <row r="188" spans="61:92" hidden="1">
      <c r="CM188" s="18">
        <f t="shared" si="276"/>
        <v>0</v>
      </c>
      <c r="CN188" s="18">
        <f t="shared" si="277"/>
        <v>0</v>
      </c>
    </row>
    <row r="189" spans="61:92" hidden="1">
      <c r="CM189" s="18">
        <f t="shared" si="276"/>
        <v>0</v>
      </c>
      <c r="CN189" s="18">
        <f t="shared" si="277"/>
        <v>0</v>
      </c>
    </row>
    <row r="190" spans="61:92" hidden="1">
      <c r="CM190" s="18">
        <f t="shared" si="276"/>
        <v>0</v>
      </c>
      <c r="CN190" s="18">
        <f t="shared" si="277"/>
        <v>0</v>
      </c>
    </row>
    <row r="191" spans="61:92" hidden="1">
      <c r="CM191" s="18">
        <f t="shared" si="276"/>
        <v>0</v>
      </c>
      <c r="CN191" s="18">
        <f t="shared" si="277"/>
        <v>0</v>
      </c>
    </row>
    <row r="192" spans="61:92" hidden="1">
      <c r="CM192" s="18">
        <f t="shared" si="276"/>
        <v>0</v>
      </c>
      <c r="CN192" s="18">
        <f t="shared" si="277"/>
        <v>0</v>
      </c>
    </row>
    <row r="193" spans="91:92" hidden="1">
      <c r="CM193" s="18">
        <f t="shared" si="276"/>
        <v>0</v>
      </c>
      <c r="CN193" s="18">
        <f t="shared" si="277"/>
        <v>0</v>
      </c>
    </row>
    <row r="194" spans="91:92" hidden="1">
      <c r="CM194" s="18">
        <f t="shared" si="276"/>
        <v>0</v>
      </c>
      <c r="CN194" s="18">
        <f t="shared" si="277"/>
        <v>0</v>
      </c>
    </row>
    <row r="195" spans="91:92" hidden="1">
      <c r="CM195" s="18">
        <f t="shared" si="276"/>
        <v>0</v>
      </c>
      <c r="CN195" s="18">
        <f t="shared" si="277"/>
        <v>0</v>
      </c>
    </row>
    <row r="196" spans="91:92" hidden="1">
      <c r="CM196" s="18">
        <f t="shared" si="276"/>
        <v>0</v>
      </c>
      <c r="CN196" s="18">
        <f t="shared" si="277"/>
        <v>0</v>
      </c>
    </row>
    <row r="197" spans="91:92" hidden="1">
      <c r="CM197" s="18">
        <f t="shared" si="276"/>
        <v>0</v>
      </c>
      <c r="CN197" s="18">
        <f t="shared" si="277"/>
        <v>0</v>
      </c>
    </row>
    <row r="198" spans="91:92" hidden="1">
      <c r="CM198" s="18">
        <f t="shared" si="276"/>
        <v>0</v>
      </c>
      <c r="CN198" s="18">
        <f t="shared" si="277"/>
        <v>0</v>
      </c>
    </row>
    <row r="199" spans="91:92" hidden="1">
      <c r="CM199" s="18">
        <f t="shared" si="276"/>
        <v>0</v>
      </c>
      <c r="CN199" s="18">
        <f t="shared" si="277"/>
        <v>0</v>
      </c>
    </row>
    <row r="200" spans="91:92" hidden="1">
      <c r="CM200" s="18">
        <f t="shared" si="276"/>
        <v>0</v>
      </c>
      <c r="CN200" s="18">
        <f t="shared" si="277"/>
        <v>0</v>
      </c>
    </row>
    <row r="201" spans="91:92" hidden="1">
      <c r="CM201" s="18">
        <f t="shared" si="276"/>
        <v>0</v>
      </c>
      <c r="CN201" s="18">
        <f t="shared" si="277"/>
        <v>0</v>
      </c>
    </row>
    <row r="202" spans="91:92" hidden="1">
      <c r="CM202" s="18">
        <f t="shared" si="276"/>
        <v>0</v>
      </c>
      <c r="CN202" s="18">
        <f t="shared" si="277"/>
        <v>0</v>
      </c>
    </row>
    <row r="203" spans="91:92" hidden="1">
      <c r="CM203" s="18">
        <f t="shared" si="276"/>
        <v>0</v>
      </c>
      <c r="CN203" s="18">
        <f t="shared" si="277"/>
        <v>0</v>
      </c>
    </row>
    <row r="204" spans="91:92" hidden="1">
      <c r="CM204" s="18">
        <f t="shared" si="276"/>
        <v>0</v>
      </c>
      <c r="CN204" s="18">
        <f t="shared" si="277"/>
        <v>0</v>
      </c>
    </row>
    <row r="205" spans="91:92" hidden="1">
      <c r="CM205" s="18">
        <f t="shared" si="276"/>
        <v>0</v>
      </c>
      <c r="CN205" s="18">
        <f t="shared" si="277"/>
        <v>0</v>
      </c>
    </row>
    <row r="206" spans="91:92" hidden="1">
      <c r="CM206" s="18">
        <f t="shared" si="276"/>
        <v>0</v>
      </c>
      <c r="CN206" s="18">
        <f t="shared" si="277"/>
        <v>0</v>
      </c>
    </row>
    <row r="207" spans="91:92" hidden="1">
      <c r="CM207" s="18">
        <f t="shared" si="276"/>
        <v>0</v>
      </c>
      <c r="CN207" s="18">
        <f t="shared" si="277"/>
        <v>0</v>
      </c>
    </row>
    <row r="208" spans="91:92" hidden="1">
      <c r="CM208" s="18">
        <f t="shared" si="276"/>
        <v>0</v>
      </c>
      <c r="CN208" s="18">
        <f t="shared" si="277"/>
        <v>0</v>
      </c>
    </row>
    <row r="209" spans="91:92" hidden="1">
      <c r="CM209" s="18">
        <f t="shared" ref="CM209:CM272" si="287">N209*AH209/1000</f>
        <v>0</v>
      </c>
      <c r="CN209" s="18">
        <f t="shared" ref="CN209:CN272" si="288">CM209-CL209</f>
        <v>0</v>
      </c>
    </row>
    <row r="210" spans="91:92" hidden="1">
      <c r="CM210" s="18">
        <f t="shared" si="287"/>
        <v>0</v>
      </c>
      <c r="CN210" s="18">
        <f t="shared" si="288"/>
        <v>0</v>
      </c>
    </row>
    <row r="211" spans="91:92" hidden="1">
      <c r="CM211" s="18">
        <f t="shared" si="287"/>
        <v>0</v>
      </c>
      <c r="CN211" s="18">
        <f t="shared" si="288"/>
        <v>0</v>
      </c>
    </row>
    <row r="212" spans="91:92" hidden="1">
      <c r="CM212" s="18">
        <f t="shared" si="287"/>
        <v>0</v>
      </c>
      <c r="CN212" s="18">
        <f t="shared" si="288"/>
        <v>0</v>
      </c>
    </row>
    <row r="213" spans="91:92" hidden="1">
      <c r="CM213" s="18">
        <f t="shared" si="287"/>
        <v>0</v>
      </c>
      <c r="CN213" s="18">
        <f t="shared" si="288"/>
        <v>0</v>
      </c>
    </row>
    <row r="214" spans="91:92" hidden="1">
      <c r="CM214" s="18">
        <f t="shared" si="287"/>
        <v>0</v>
      </c>
      <c r="CN214" s="18">
        <f t="shared" si="288"/>
        <v>0</v>
      </c>
    </row>
    <row r="215" spans="91:92" hidden="1">
      <c r="CM215" s="18">
        <f t="shared" si="287"/>
        <v>0</v>
      </c>
      <c r="CN215" s="18">
        <f t="shared" si="288"/>
        <v>0</v>
      </c>
    </row>
    <row r="216" spans="91:92" hidden="1">
      <c r="CM216" s="18">
        <f t="shared" si="287"/>
        <v>0</v>
      </c>
      <c r="CN216" s="18">
        <f t="shared" si="288"/>
        <v>0</v>
      </c>
    </row>
    <row r="217" spans="91:92" hidden="1">
      <c r="CM217" s="18">
        <f t="shared" si="287"/>
        <v>0</v>
      </c>
      <c r="CN217" s="18">
        <f t="shared" si="288"/>
        <v>0</v>
      </c>
    </row>
    <row r="218" spans="91:92" hidden="1">
      <c r="CM218" s="18">
        <f t="shared" si="287"/>
        <v>0</v>
      </c>
      <c r="CN218" s="18">
        <f t="shared" si="288"/>
        <v>0</v>
      </c>
    </row>
    <row r="219" spans="91:92" hidden="1">
      <c r="CM219" s="18">
        <f t="shared" si="287"/>
        <v>0</v>
      </c>
      <c r="CN219" s="18">
        <f t="shared" si="288"/>
        <v>0</v>
      </c>
    </row>
    <row r="220" spans="91:92" hidden="1">
      <c r="CM220" s="18">
        <f t="shared" si="287"/>
        <v>0</v>
      </c>
      <c r="CN220" s="18">
        <f t="shared" si="288"/>
        <v>0</v>
      </c>
    </row>
    <row r="221" spans="91:92" hidden="1">
      <c r="CM221" s="18">
        <f t="shared" si="287"/>
        <v>0</v>
      </c>
      <c r="CN221" s="18">
        <f t="shared" si="288"/>
        <v>0</v>
      </c>
    </row>
    <row r="222" spans="91:92" hidden="1">
      <c r="CM222" s="18">
        <f t="shared" si="287"/>
        <v>0</v>
      </c>
      <c r="CN222" s="18">
        <f t="shared" si="288"/>
        <v>0</v>
      </c>
    </row>
    <row r="223" spans="91:92" hidden="1">
      <c r="CM223" s="18">
        <f t="shared" si="287"/>
        <v>0</v>
      </c>
      <c r="CN223" s="18">
        <f t="shared" si="288"/>
        <v>0</v>
      </c>
    </row>
    <row r="224" spans="91:92" hidden="1">
      <c r="CM224" s="18">
        <f t="shared" si="287"/>
        <v>0</v>
      </c>
      <c r="CN224" s="18">
        <f t="shared" si="288"/>
        <v>0</v>
      </c>
    </row>
    <row r="225" spans="91:92" hidden="1">
      <c r="CM225" s="18">
        <f t="shared" si="287"/>
        <v>0</v>
      </c>
      <c r="CN225" s="18">
        <f t="shared" si="288"/>
        <v>0</v>
      </c>
    </row>
    <row r="226" spans="91:92" hidden="1">
      <c r="CM226" s="18">
        <f t="shared" si="287"/>
        <v>0</v>
      </c>
      <c r="CN226" s="18">
        <f t="shared" si="288"/>
        <v>0</v>
      </c>
    </row>
    <row r="227" spans="91:92" hidden="1">
      <c r="CM227" s="18">
        <f t="shared" si="287"/>
        <v>0</v>
      </c>
      <c r="CN227" s="18">
        <f t="shared" si="288"/>
        <v>0</v>
      </c>
    </row>
    <row r="228" spans="91:92" hidden="1">
      <c r="CM228" s="18">
        <f t="shared" si="287"/>
        <v>0</v>
      </c>
      <c r="CN228" s="18">
        <f t="shared" si="288"/>
        <v>0</v>
      </c>
    </row>
    <row r="229" spans="91:92" hidden="1">
      <c r="CM229" s="18">
        <f t="shared" si="287"/>
        <v>0</v>
      </c>
      <c r="CN229" s="18">
        <f t="shared" si="288"/>
        <v>0</v>
      </c>
    </row>
    <row r="230" spans="91:92" hidden="1">
      <c r="CM230" s="18">
        <f t="shared" si="287"/>
        <v>0</v>
      </c>
      <c r="CN230" s="18">
        <f t="shared" si="288"/>
        <v>0</v>
      </c>
    </row>
    <row r="231" spans="91:92" hidden="1">
      <c r="CM231" s="18">
        <f t="shared" si="287"/>
        <v>0</v>
      </c>
      <c r="CN231" s="18">
        <f t="shared" si="288"/>
        <v>0</v>
      </c>
    </row>
    <row r="232" spans="91:92" hidden="1">
      <c r="CM232" s="18">
        <f t="shared" si="287"/>
        <v>0</v>
      </c>
      <c r="CN232" s="18">
        <f t="shared" si="288"/>
        <v>0</v>
      </c>
    </row>
    <row r="233" spans="91:92" hidden="1">
      <c r="CM233" s="18">
        <f t="shared" si="287"/>
        <v>0</v>
      </c>
      <c r="CN233" s="18">
        <f t="shared" si="288"/>
        <v>0</v>
      </c>
    </row>
    <row r="234" spans="91:92" hidden="1">
      <c r="CM234" s="18">
        <f t="shared" si="287"/>
        <v>0</v>
      </c>
      <c r="CN234" s="18">
        <f t="shared" si="288"/>
        <v>0</v>
      </c>
    </row>
    <row r="235" spans="91:92" hidden="1">
      <c r="CM235" s="18">
        <f t="shared" si="287"/>
        <v>0</v>
      </c>
      <c r="CN235" s="18">
        <f t="shared" si="288"/>
        <v>0</v>
      </c>
    </row>
    <row r="236" spans="91:92" hidden="1">
      <c r="CM236" s="18">
        <f t="shared" si="287"/>
        <v>0</v>
      </c>
      <c r="CN236" s="18">
        <f t="shared" si="288"/>
        <v>0</v>
      </c>
    </row>
    <row r="237" spans="91:92" hidden="1">
      <c r="CM237" s="18">
        <f t="shared" si="287"/>
        <v>0</v>
      </c>
      <c r="CN237" s="18">
        <f t="shared" si="288"/>
        <v>0</v>
      </c>
    </row>
    <row r="238" spans="91:92" hidden="1">
      <c r="CM238" s="18">
        <f t="shared" si="287"/>
        <v>0</v>
      </c>
      <c r="CN238" s="18">
        <f t="shared" si="288"/>
        <v>0</v>
      </c>
    </row>
    <row r="239" spans="91:92" hidden="1">
      <c r="CM239" s="18">
        <f t="shared" si="287"/>
        <v>0</v>
      </c>
      <c r="CN239" s="18">
        <f t="shared" si="288"/>
        <v>0</v>
      </c>
    </row>
    <row r="240" spans="91:92" hidden="1">
      <c r="CM240" s="18">
        <f t="shared" si="287"/>
        <v>0</v>
      </c>
      <c r="CN240" s="18">
        <f t="shared" si="288"/>
        <v>0</v>
      </c>
    </row>
    <row r="241" spans="91:92" hidden="1">
      <c r="CM241" s="18">
        <f t="shared" si="287"/>
        <v>0</v>
      </c>
      <c r="CN241" s="18">
        <f t="shared" si="288"/>
        <v>0</v>
      </c>
    </row>
    <row r="242" spans="91:92" hidden="1">
      <c r="CM242" s="18">
        <f t="shared" si="287"/>
        <v>0</v>
      </c>
      <c r="CN242" s="18">
        <f t="shared" si="288"/>
        <v>0</v>
      </c>
    </row>
    <row r="243" spans="91:92" hidden="1">
      <c r="CM243" s="18">
        <f t="shared" si="287"/>
        <v>0</v>
      </c>
      <c r="CN243" s="18">
        <f t="shared" si="288"/>
        <v>0</v>
      </c>
    </row>
    <row r="244" spans="91:92" hidden="1">
      <c r="CM244" s="18">
        <f t="shared" si="287"/>
        <v>0</v>
      </c>
      <c r="CN244" s="18">
        <f t="shared" si="288"/>
        <v>0</v>
      </c>
    </row>
    <row r="245" spans="91:92" hidden="1">
      <c r="CM245" s="18">
        <f t="shared" si="287"/>
        <v>0</v>
      </c>
      <c r="CN245" s="18">
        <f t="shared" si="288"/>
        <v>0</v>
      </c>
    </row>
    <row r="246" spans="91:92" hidden="1">
      <c r="CM246" s="18">
        <f t="shared" si="287"/>
        <v>0</v>
      </c>
      <c r="CN246" s="18">
        <f t="shared" si="288"/>
        <v>0</v>
      </c>
    </row>
    <row r="247" spans="91:92" hidden="1">
      <c r="CM247" s="18">
        <f t="shared" si="287"/>
        <v>0</v>
      </c>
      <c r="CN247" s="18">
        <f t="shared" si="288"/>
        <v>0</v>
      </c>
    </row>
    <row r="248" spans="91:92" hidden="1">
      <c r="CM248" s="18">
        <f t="shared" si="287"/>
        <v>0</v>
      </c>
      <c r="CN248" s="18">
        <f t="shared" si="288"/>
        <v>0</v>
      </c>
    </row>
    <row r="249" spans="91:92" hidden="1">
      <c r="CM249" s="18">
        <f t="shared" si="287"/>
        <v>0</v>
      </c>
      <c r="CN249" s="18">
        <f t="shared" si="288"/>
        <v>0</v>
      </c>
    </row>
    <row r="250" spans="91:92" hidden="1">
      <c r="CM250" s="18">
        <f t="shared" si="287"/>
        <v>0</v>
      </c>
      <c r="CN250" s="18">
        <f t="shared" si="288"/>
        <v>0</v>
      </c>
    </row>
    <row r="251" spans="91:92" hidden="1">
      <c r="CM251" s="18">
        <f t="shared" si="287"/>
        <v>0</v>
      </c>
      <c r="CN251" s="18">
        <f t="shared" si="288"/>
        <v>0</v>
      </c>
    </row>
    <row r="252" spans="91:92" hidden="1">
      <c r="CM252" s="18">
        <f t="shared" si="287"/>
        <v>0</v>
      </c>
      <c r="CN252" s="18">
        <f t="shared" si="288"/>
        <v>0</v>
      </c>
    </row>
    <row r="253" spans="91:92" hidden="1">
      <c r="CM253" s="18">
        <f t="shared" si="287"/>
        <v>0</v>
      </c>
      <c r="CN253" s="18">
        <f t="shared" si="288"/>
        <v>0</v>
      </c>
    </row>
    <row r="254" spans="91:92" hidden="1">
      <c r="CM254" s="18">
        <f t="shared" si="287"/>
        <v>0</v>
      </c>
      <c r="CN254" s="18">
        <f t="shared" si="288"/>
        <v>0</v>
      </c>
    </row>
    <row r="255" spans="91:92" hidden="1">
      <c r="CM255" s="18">
        <f t="shared" si="287"/>
        <v>0</v>
      </c>
      <c r="CN255" s="18">
        <f t="shared" si="288"/>
        <v>0</v>
      </c>
    </row>
    <row r="256" spans="91:92" hidden="1">
      <c r="CM256" s="18">
        <f t="shared" si="287"/>
        <v>0</v>
      </c>
      <c r="CN256" s="18">
        <f t="shared" si="288"/>
        <v>0</v>
      </c>
    </row>
    <row r="257" spans="91:92" hidden="1">
      <c r="CM257" s="18">
        <f t="shared" si="287"/>
        <v>0</v>
      </c>
      <c r="CN257" s="18">
        <f t="shared" si="288"/>
        <v>0</v>
      </c>
    </row>
    <row r="258" spans="91:92" hidden="1">
      <c r="CM258" s="18">
        <f t="shared" si="287"/>
        <v>0</v>
      </c>
      <c r="CN258" s="18">
        <f t="shared" si="288"/>
        <v>0</v>
      </c>
    </row>
    <row r="259" spans="91:92" hidden="1">
      <c r="CM259" s="18">
        <f t="shared" si="287"/>
        <v>0</v>
      </c>
      <c r="CN259" s="18">
        <f t="shared" si="288"/>
        <v>0</v>
      </c>
    </row>
    <row r="260" spans="91:92" hidden="1">
      <c r="CM260" s="18">
        <f t="shared" si="287"/>
        <v>0</v>
      </c>
      <c r="CN260" s="18">
        <f t="shared" si="288"/>
        <v>0</v>
      </c>
    </row>
    <row r="261" spans="91:92" hidden="1">
      <c r="CM261" s="18">
        <f t="shared" si="287"/>
        <v>0</v>
      </c>
      <c r="CN261" s="18">
        <f t="shared" si="288"/>
        <v>0</v>
      </c>
    </row>
    <row r="262" spans="91:92" hidden="1">
      <c r="CM262" s="18">
        <f t="shared" si="287"/>
        <v>0</v>
      </c>
      <c r="CN262" s="18">
        <f t="shared" si="288"/>
        <v>0</v>
      </c>
    </row>
    <row r="263" spans="91:92" hidden="1">
      <c r="CM263" s="18">
        <f t="shared" si="287"/>
        <v>0</v>
      </c>
      <c r="CN263" s="18">
        <f t="shared" si="288"/>
        <v>0</v>
      </c>
    </row>
    <row r="264" spans="91:92" hidden="1">
      <c r="CM264" s="18">
        <f t="shared" si="287"/>
        <v>0</v>
      </c>
      <c r="CN264" s="18">
        <f t="shared" si="288"/>
        <v>0</v>
      </c>
    </row>
    <row r="265" spans="91:92" hidden="1">
      <c r="CM265" s="18">
        <f t="shared" si="287"/>
        <v>0</v>
      </c>
      <c r="CN265" s="18">
        <f t="shared" si="288"/>
        <v>0</v>
      </c>
    </row>
    <row r="266" spans="91:92" hidden="1">
      <c r="CM266" s="18">
        <f t="shared" si="287"/>
        <v>0</v>
      </c>
      <c r="CN266" s="18">
        <f t="shared" si="288"/>
        <v>0</v>
      </c>
    </row>
    <row r="267" spans="91:92" hidden="1">
      <c r="CM267" s="18">
        <f t="shared" si="287"/>
        <v>0</v>
      </c>
      <c r="CN267" s="18">
        <f t="shared" si="288"/>
        <v>0</v>
      </c>
    </row>
    <row r="268" spans="91:92" hidden="1">
      <c r="CM268" s="18">
        <f t="shared" si="287"/>
        <v>0</v>
      </c>
      <c r="CN268" s="18">
        <f t="shared" si="288"/>
        <v>0</v>
      </c>
    </row>
    <row r="269" spans="91:92" hidden="1">
      <c r="CM269" s="18">
        <f t="shared" si="287"/>
        <v>0</v>
      </c>
      <c r="CN269" s="18">
        <f t="shared" si="288"/>
        <v>0</v>
      </c>
    </row>
    <row r="270" spans="91:92" hidden="1">
      <c r="CM270" s="18">
        <f t="shared" si="287"/>
        <v>0</v>
      </c>
      <c r="CN270" s="18">
        <f t="shared" si="288"/>
        <v>0</v>
      </c>
    </row>
    <row r="271" spans="91:92" hidden="1">
      <c r="CM271" s="18">
        <f t="shared" si="287"/>
        <v>0</v>
      </c>
      <c r="CN271" s="18">
        <f t="shared" si="288"/>
        <v>0</v>
      </c>
    </row>
    <row r="272" spans="91:92" hidden="1">
      <c r="CM272" s="18">
        <f t="shared" si="287"/>
        <v>0</v>
      </c>
      <c r="CN272" s="18">
        <f t="shared" si="288"/>
        <v>0</v>
      </c>
    </row>
    <row r="273" spans="91:92" hidden="1">
      <c r="CM273" s="18">
        <f t="shared" ref="CM273:CM336" si="289">N273*AH273/1000</f>
        <v>0</v>
      </c>
      <c r="CN273" s="18">
        <f t="shared" ref="CN273:CN336" si="290">CM273-CL273</f>
        <v>0</v>
      </c>
    </row>
    <row r="274" spans="91:92" hidden="1">
      <c r="CM274" s="18">
        <f t="shared" si="289"/>
        <v>0</v>
      </c>
      <c r="CN274" s="18">
        <f t="shared" si="290"/>
        <v>0</v>
      </c>
    </row>
    <row r="275" spans="91:92" hidden="1">
      <c r="CM275" s="18">
        <f t="shared" si="289"/>
        <v>0</v>
      </c>
      <c r="CN275" s="18">
        <f t="shared" si="290"/>
        <v>0</v>
      </c>
    </row>
    <row r="276" spans="91:92" hidden="1">
      <c r="CM276" s="18">
        <f t="shared" si="289"/>
        <v>0</v>
      </c>
      <c r="CN276" s="18">
        <f t="shared" si="290"/>
        <v>0</v>
      </c>
    </row>
    <row r="277" spans="91:92" hidden="1">
      <c r="CM277" s="18">
        <f t="shared" si="289"/>
        <v>0</v>
      </c>
      <c r="CN277" s="18">
        <f t="shared" si="290"/>
        <v>0</v>
      </c>
    </row>
    <row r="278" spans="91:92" hidden="1">
      <c r="CM278" s="18">
        <f t="shared" si="289"/>
        <v>0</v>
      </c>
      <c r="CN278" s="18">
        <f t="shared" si="290"/>
        <v>0</v>
      </c>
    </row>
    <row r="279" spans="91:92" hidden="1">
      <c r="CM279" s="18">
        <f t="shared" si="289"/>
        <v>0</v>
      </c>
      <c r="CN279" s="18">
        <f t="shared" si="290"/>
        <v>0</v>
      </c>
    </row>
    <row r="280" spans="91:92" hidden="1">
      <c r="CM280" s="18">
        <f t="shared" si="289"/>
        <v>0</v>
      </c>
      <c r="CN280" s="18">
        <f t="shared" si="290"/>
        <v>0</v>
      </c>
    </row>
    <row r="281" spans="91:92" hidden="1">
      <c r="CM281" s="18">
        <f t="shared" si="289"/>
        <v>0</v>
      </c>
      <c r="CN281" s="18">
        <f t="shared" si="290"/>
        <v>0</v>
      </c>
    </row>
    <row r="282" spans="91:92" hidden="1">
      <c r="CM282" s="18">
        <f t="shared" si="289"/>
        <v>0</v>
      </c>
      <c r="CN282" s="18">
        <f t="shared" si="290"/>
        <v>0</v>
      </c>
    </row>
    <row r="283" spans="91:92" hidden="1">
      <c r="CM283" s="18">
        <f t="shared" si="289"/>
        <v>0</v>
      </c>
      <c r="CN283" s="18">
        <f t="shared" si="290"/>
        <v>0</v>
      </c>
    </row>
    <row r="284" spans="91:92" hidden="1">
      <c r="CM284" s="18">
        <f t="shared" si="289"/>
        <v>0</v>
      </c>
      <c r="CN284" s="18">
        <f t="shared" si="290"/>
        <v>0</v>
      </c>
    </row>
    <row r="285" spans="91:92" hidden="1">
      <c r="CM285" s="18">
        <f t="shared" si="289"/>
        <v>0</v>
      </c>
      <c r="CN285" s="18">
        <f t="shared" si="290"/>
        <v>0</v>
      </c>
    </row>
    <row r="286" spans="91:92" hidden="1">
      <c r="CM286" s="18">
        <f t="shared" si="289"/>
        <v>0</v>
      </c>
      <c r="CN286" s="18">
        <f t="shared" si="290"/>
        <v>0</v>
      </c>
    </row>
    <row r="287" spans="91:92" hidden="1">
      <c r="CM287" s="18">
        <f t="shared" si="289"/>
        <v>0</v>
      </c>
      <c r="CN287" s="18">
        <f t="shared" si="290"/>
        <v>0</v>
      </c>
    </row>
    <row r="288" spans="91:92" hidden="1">
      <c r="CM288" s="18">
        <f t="shared" si="289"/>
        <v>0</v>
      </c>
      <c r="CN288" s="18">
        <f t="shared" si="290"/>
        <v>0</v>
      </c>
    </row>
    <row r="289" spans="91:92" hidden="1">
      <c r="CM289" s="18">
        <f t="shared" si="289"/>
        <v>0</v>
      </c>
      <c r="CN289" s="18">
        <f t="shared" si="290"/>
        <v>0</v>
      </c>
    </row>
    <row r="290" spans="91:92" hidden="1">
      <c r="CM290" s="18">
        <f t="shared" si="289"/>
        <v>0</v>
      </c>
      <c r="CN290" s="18">
        <f t="shared" si="290"/>
        <v>0</v>
      </c>
    </row>
    <row r="291" spans="91:92" hidden="1">
      <c r="CM291" s="18">
        <f t="shared" si="289"/>
        <v>0</v>
      </c>
      <c r="CN291" s="18">
        <f t="shared" si="290"/>
        <v>0</v>
      </c>
    </row>
    <row r="292" spans="91:92" hidden="1">
      <c r="CM292" s="18">
        <f t="shared" si="289"/>
        <v>0</v>
      </c>
      <c r="CN292" s="18">
        <f t="shared" si="290"/>
        <v>0</v>
      </c>
    </row>
    <row r="293" spans="91:92" hidden="1">
      <c r="CM293" s="18">
        <f t="shared" si="289"/>
        <v>0</v>
      </c>
      <c r="CN293" s="18">
        <f t="shared" si="290"/>
        <v>0</v>
      </c>
    </row>
    <row r="294" spans="91:92" hidden="1">
      <c r="CM294" s="18">
        <f t="shared" si="289"/>
        <v>0</v>
      </c>
      <c r="CN294" s="18">
        <f t="shared" si="290"/>
        <v>0</v>
      </c>
    </row>
    <row r="295" spans="91:92" hidden="1">
      <c r="CM295" s="18">
        <f t="shared" si="289"/>
        <v>0</v>
      </c>
      <c r="CN295" s="18">
        <f t="shared" si="290"/>
        <v>0</v>
      </c>
    </row>
    <row r="296" spans="91:92" hidden="1">
      <c r="CM296" s="18">
        <f t="shared" si="289"/>
        <v>0</v>
      </c>
      <c r="CN296" s="18">
        <f t="shared" si="290"/>
        <v>0</v>
      </c>
    </row>
    <row r="297" spans="91:92" hidden="1">
      <c r="CM297" s="18">
        <f t="shared" si="289"/>
        <v>0</v>
      </c>
      <c r="CN297" s="18">
        <f t="shared" si="290"/>
        <v>0</v>
      </c>
    </row>
    <row r="298" spans="91:92" hidden="1">
      <c r="CM298" s="18">
        <f t="shared" si="289"/>
        <v>0</v>
      </c>
      <c r="CN298" s="18">
        <f t="shared" si="290"/>
        <v>0</v>
      </c>
    </row>
    <row r="299" spans="91:92" hidden="1">
      <c r="CM299" s="18">
        <f t="shared" si="289"/>
        <v>0</v>
      </c>
      <c r="CN299" s="18">
        <f t="shared" si="290"/>
        <v>0</v>
      </c>
    </row>
    <row r="300" spans="91:92" hidden="1">
      <c r="CM300" s="18">
        <f t="shared" si="289"/>
        <v>0</v>
      </c>
      <c r="CN300" s="18">
        <f t="shared" si="290"/>
        <v>0</v>
      </c>
    </row>
    <row r="301" spans="91:92" hidden="1">
      <c r="CM301" s="18">
        <f t="shared" si="289"/>
        <v>0</v>
      </c>
      <c r="CN301" s="18">
        <f t="shared" si="290"/>
        <v>0</v>
      </c>
    </row>
    <row r="302" spans="91:92" hidden="1">
      <c r="CM302" s="18">
        <f t="shared" si="289"/>
        <v>0</v>
      </c>
      <c r="CN302" s="18">
        <f t="shared" si="290"/>
        <v>0</v>
      </c>
    </row>
    <row r="303" spans="91:92" hidden="1">
      <c r="CM303" s="18">
        <f t="shared" si="289"/>
        <v>0</v>
      </c>
      <c r="CN303" s="18">
        <f t="shared" si="290"/>
        <v>0</v>
      </c>
    </row>
    <row r="304" spans="91:92" hidden="1">
      <c r="CM304" s="18">
        <f t="shared" si="289"/>
        <v>0</v>
      </c>
      <c r="CN304" s="18">
        <f t="shared" si="290"/>
        <v>0</v>
      </c>
    </row>
    <row r="305" spans="91:92" hidden="1">
      <c r="CM305" s="18">
        <f t="shared" si="289"/>
        <v>0</v>
      </c>
      <c r="CN305" s="18">
        <f t="shared" si="290"/>
        <v>0</v>
      </c>
    </row>
    <row r="306" spans="91:92" hidden="1">
      <c r="CM306" s="18">
        <f t="shared" si="289"/>
        <v>0</v>
      </c>
      <c r="CN306" s="18">
        <f t="shared" si="290"/>
        <v>0</v>
      </c>
    </row>
    <row r="307" spans="91:92" hidden="1">
      <c r="CM307" s="18">
        <f t="shared" si="289"/>
        <v>0</v>
      </c>
      <c r="CN307" s="18">
        <f t="shared" si="290"/>
        <v>0</v>
      </c>
    </row>
    <row r="308" spans="91:92" hidden="1">
      <c r="CM308" s="18">
        <f t="shared" si="289"/>
        <v>0</v>
      </c>
      <c r="CN308" s="18">
        <f t="shared" si="290"/>
        <v>0</v>
      </c>
    </row>
    <row r="309" spans="91:92" hidden="1">
      <c r="CM309" s="18">
        <f t="shared" si="289"/>
        <v>0</v>
      </c>
      <c r="CN309" s="18">
        <f t="shared" si="290"/>
        <v>0</v>
      </c>
    </row>
    <row r="310" spans="91:92" hidden="1">
      <c r="CM310" s="18">
        <f t="shared" si="289"/>
        <v>0</v>
      </c>
      <c r="CN310" s="18">
        <f t="shared" si="290"/>
        <v>0</v>
      </c>
    </row>
    <row r="311" spans="91:92" hidden="1">
      <c r="CM311" s="18">
        <f t="shared" si="289"/>
        <v>0</v>
      </c>
      <c r="CN311" s="18">
        <f t="shared" si="290"/>
        <v>0</v>
      </c>
    </row>
    <row r="312" spans="91:92" hidden="1">
      <c r="CM312" s="18">
        <f t="shared" si="289"/>
        <v>0</v>
      </c>
      <c r="CN312" s="18">
        <f t="shared" si="290"/>
        <v>0</v>
      </c>
    </row>
    <row r="313" spans="91:92" hidden="1">
      <c r="CM313" s="18">
        <f t="shared" si="289"/>
        <v>0</v>
      </c>
      <c r="CN313" s="18">
        <f t="shared" si="290"/>
        <v>0</v>
      </c>
    </row>
    <row r="314" spans="91:92" hidden="1">
      <c r="CM314" s="18">
        <f t="shared" si="289"/>
        <v>0</v>
      </c>
      <c r="CN314" s="18">
        <f t="shared" si="290"/>
        <v>0</v>
      </c>
    </row>
    <row r="315" spans="91:92" hidden="1">
      <c r="CM315" s="18">
        <f t="shared" si="289"/>
        <v>0</v>
      </c>
      <c r="CN315" s="18">
        <f t="shared" si="290"/>
        <v>0</v>
      </c>
    </row>
    <row r="316" spans="91:92" hidden="1">
      <c r="CM316" s="18">
        <f t="shared" si="289"/>
        <v>0</v>
      </c>
      <c r="CN316" s="18">
        <f t="shared" si="290"/>
        <v>0</v>
      </c>
    </row>
    <row r="317" spans="91:92" hidden="1">
      <c r="CM317" s="18">
        <f t="shared" si="289"/>
        <v>0</v>
      </c>
      <c r="CN317" s="18">
        <f t="shared" si="290"/>
        <v>0</v>
      </c>
    </row>
    <row r="318" spans="91:92" hidden="1">
      <c r="CM318" s="18">
        <f t="shared" si="289"/>
        <v>0</v>
      </c>
      <c r="CN318" s="18">
        <f t="shared" si="290"/>
        <v>0</v>
      </c>
    </row>
    <row r="319" spans="91:92" hidden="1">
      <c r="CM319" s="18">
        <f t="shared" si="289"/>
        <v>0</v>
      </c>
      <c r="CN319" s="18">
        <f t="shared" si="290"/>
        <v>0</v>
      </c>
    </row>
    <row r="320" spans="91:92" hidden="1">
      <c r="CM320" s="18">
        <f t="shared" si="289"/>
        <v>0</v>
      </c>
      <c r="CN320" s="18">
        <f t="shared" si="290"/>
        <v>0</v>
      </c>
    </row>
    <row r="321" spans="91:92" hidden="1">
      <c r="CM321" s="18">
        <f t="shared" si="289"/>
        <v>0</v>
      </c>
      <c r="CN321" s="18">
        <f t="shared" si="290"/>
        <v>0</v>
      </c>
    </row>
    <row r="322" spans="91:92" hidden="1">
      <c r="CM322" s="18">
        <f t="shared" si="289"/>
        <v>0</v>
      </c>
      <c r="CN322" s="18">
        <f t="shared" si="290"/>
        <v>0</v>
      </c>
    </row>
    <row r="323" spans="91:92" hidden="1">
      <c r="CM323" s="18">
        <f t="shared" si="289"/>
        <v>0</v>
      </c>
      <c r="CN323" s="18">
        <f t="shared" si="290"/>
        <v>0</v>
      </c>
    </row>
    <row r="324" spans="91:92" hidden="1">
      <c r="CM324" s="18">
        <f t="shared" si="289"/>
        <v>0</v>
      </c>
      <c r="CN324" s="18">
        <f t="shared" si="290"/>
        <v>0</v>
      </c>
    </row>
    <row r="325" spans="91:92" hidden="1">
      <c r="CM325" s="18">
        <f t="shared" si="289"/>
        <v>0</v>
      </c>
      <c r="CN325" s="18">
        <f t="shared" si="290"/>
        <v>0</v>
      </c>
    </row>
    <row r="326" spans="91:92" hidden="1">
      <c r="CM326" s="18">
        <f t="shared" si="289"/>
        <v>0</v>
      </c>
      <c r="CN326" s="18">
        <f t="shared" si="290"/>
        <v>0</v>
      </c>
    </row>
    <row r="327" spans="91:92" hidden="1">
      <c r="CM327" s="18">
        <f t="shared" si="289"/>
        <v>0</v>
      </c>
      <c r="CN327" s="18">
        <f t="shared" si="290"/>
        <v>0</v>
      </c>
    </row>
    <row r="328" spans="91:92" hidden="1">
      <c r="CM328" s="18">
        <f t="shared" si="289"/>
        <v>0</v>
      </c>
      <c r="CN328" s="18">
        <f t="shared" si="290"/>
        <v>0</v>
      </c>
    </row>
    <row r="329" spans="91:92" hidden="1">
      <c r="CM329" s="18">
        <f t="shared" si="289"/>
        <v>0</v>
      </c>
      <c r="CN329" s="18">
        <f t="shared" si="290"/>
        <v>0</v>
      </c>
    </row>
    <row r="330" spans="91:92" hidden="1">
      <c r="CM330" s="18">
        <f t="shared" si="289"/>
        <v>0</v>
      </c>
      <c r="CN330" s="18">
        <f t="shared" si="290"/>
        <v>0</v>
      </c>
    </row>
    <row r="331" spans="91:92" hidden="1">
      <c r="CM331" s="18">
        <f t="shared" si="289"/>
        <v>0</v>
      </c>
      <c r="CN331" s="18">
        <f t="shared" si="290"/>
        <v>0</v>
      </c>
    </row>
    <row r="332" spans="91:92" hidden="1">
      <c r="CM332" s="18">
        <f t="shared" si="289"/>
        <v>0</v>
      </c>
      <c r="CN332" s="18">
        <f t="shared" si="290"/>
        <v>0</v>
      </c>
    </row>
    <row r="333" spans="91:92" hidden="1">
      <c r="CM333" s="18">
        <f t="shared" si="289"/>
        <v>0</v>
      </c>
      <c r="CN333" s="18">
        <f t="shared" si="290"/>
        <v>0</v>
      </c>
    </row>
    <row r="334" spans="91:92" hidden="1">
      <c r="CM334" s="18">
        <f t="shared" si="289"/>
        <v>0</v>
      </c>
      <c r="CN334" s="18">
        <f t="shared" si="290"/>
        <v>0</v>
      </c>
    </row>
    <row r="335" spans="91:92" hidden="1">
      <c r="CM335" s="18">
        <f t="shared" si="289"/>
        <v>0</v>
      </c>
      <c r="CN335" s="18">
        <f t="shared" si="290"/>
        <v>0</v>
      </c>
    </row>
    <row r="336" spans="91:92" hidden="1">
      <c r="CM336" s="18">
        <f t="shared" si="289"/>
        <v>0</v>
      </c>
      <c r="CN336" s="18">
        <f t="shared" si="290"/>
        <v>0</v>
      </c>
    </row>
    <row r="337" spans="91:92" hidden="1">
      <c r="CM337" s="18">
        <f t="shared" ref="CM337:CM400" si="291">N337*AH337/1000</f>
        <v>0</v>
      </c>
      <c r="CN337" s="18">
        <f t="shared" ref="CN337:CN400" si="292">CM337-CL337</f>
        <v>0</v>
      </c>
    </row>
    <row r="338" spans="91:92" hidden="1">
      <c r="CM338" s="18">
        <f t="shared" si="291"/>
        <v>0</v>
      </c>
      <c r="CN338" s="18">
        <f t="shared" si="292"/>
        <v>0</v>
      </c>
    </row>
    <row r="339" spans="91:92" hidden="1">
      <c r="CM339" s="18">
        <f t="shared" si="291"/>
        <v>0</v>
      </c>
      <c r="CN339" s="18">
        <f t="shared" si="292"/>
        <v>0</v>
      </c>
    </row>
    <row r="340" spans="91:92" hidden="1">
      <c r="CM340" s="18">
        <f t="shared" si="291"/>
        <v>0</v>
      </c>
      <c r="CN340" s="18">
        <f t="shared" si="292"/>
        <v>0</v>
      </c>
    </row>
    <row r="341" spans="91:92" hidden="1">
      <c r="CM341" s="18">
        <f t="shared" si="291"/>
        <v>0</v>
      </c>
      <c r="CN341" s="18">
        <f t="shared" si="292"/>
        <v>0</v>
      </c>
    </row>
    <row r="342" spans="91:92" hidden="1">
      <c r="CM342" s="18">
        <f t="shared" si="291"/>
        <v>0</v>
      </c>
      <c r="CN342" s="18">
        <f t="shared" si="292"/>
        <v>0</v>
      </c>
    </row>
    <row r="343" spans="91:92" hidden="1">
      <c r="CM343" s="18">
        <f t="shared" si="291"/>
        <v>0</v>
      </c>
      <c r="CN343" s="18">
        <f t="shared" si="292"/>
        <v>0</v>
      </c>
    </row>
    <row r="344" spans="91:92" hidden="1">
      <c r="CM344" s="18">
        <f t="shared" si="291"/>
        <v>0</v>
      </c>
      <c r="CN344" s="18">
        <f t="shared" si="292"/>
        <v>0</v>
      </c>
    </row>
    <row r="345" spans="91:92" hidden="1">
      <c r="CM345" s="18">
        <f t="shared" si="291"/>
        <v>0</v>
      </c>
      <c r="CN345" s="18">
        <f t="shared" si="292"/>
        <v>0</v>
      </c>
    </row>
    <row r="346" spans="91:92" hidden="1">
      <c r="CM346" s="18">
        <f t="shared" si="291"/>
        <v>0</v>
      </c>
      <c r="CN346" s="18">
        <f t="shared" si="292"/>
        <v>0</v>
      </c>
    </row>
    <row r="347" spans="91:92" hidden="1">
      <c r="CM347" s="18">
        <f t="shared" si="291"/>
        <v>0</v>
      </c>
      <c r="CN347" s="18">
        <f t="shared" si="292"/>
        <v>0</v>
      </c>
    </row>
    <row r="348" spans="91:92" hidden="1">
      <c r="CM348" s="18">
        <f t="shared" si="291"/>
        <v>0</v>
      </c>
      <c r="CN348" s="18">
        <f t="shared" si="292"/>
        <v>0</v>
      </c>
    </row>
    <row r="349" spans="91:92" hidden="1">
      <c r="CM349" s="18">
        <f t="shared" si="291"/>
        <v>0</v>
      </c>
      <c r="CN349" s="18">
        <f t="shared" si="292"/>
        <v>0</v>
      </c>
    </row>
    <row r="350" spans="91:92" hidden="1">
      <c r="CM350" s="18">
        <f t="shared" si="291"/>
        <v>0</v>
      </c>
      <c r="CN350" s="18">
        <f t="shared" si="292"/>
        <v>0</v>
      </c>
    </row>
    <row r="351" spans="91:92" hidden="1">
      <c r="CM351" s="18">
        <f t="shared" si="291"/>
        <v>0</v>
      </c>
      <c r="CN351" s="18">
        <f t="shared" si="292"/>
        <v>0</v>
      </c>
    </row>
    <row r="352" spans="91:92" hidden="1">
      <c r="CM352" s="18">
        <f t="shared" si="291"/>
        <v>0</v>
      </c>
      <c r="CN352" s="18">
        <f t="shared" si="292"/>
        <v>0</v>
      </c>
    </row>
    <row r="353" spans="91:92" hidden="1">
      <c r="CM353" s="18">
        <f t="shared" si="291"/>
        <v>0</v>
      </c>
      <c r="CN353" s="18">
        <f t="shared" si="292"/>
        <v>0</v>
      </c>
    </row>
    <row r="354" spans="91:92" hidden="1">
      <c r="CM354" s="18">
        <f t="shared" si="291"/>
        <v>0</v>
      </c>
      <c r="CN354" s="18">
        <f t="shared" si="292"/>
        <v>0</v>
      </c>
    </row>
    <row r="355" spans="91:92" hidden="1">
      <c r="CM355" s="18">
        <f t="shared" si="291"/>
        <v>0</v>
      </c>
      <c r="CN355" s="18">
        <f t="shared" si="292"/>
        <v>0</v>
      </c>
    </row>
    <row r="356" spans="91:92" hidden="1">
      <c r="CM356" s="18">
        <f t="shared" si="291"/>
        <v>0</v>
      </c>
      <c r="CN356" s="18">
        <f t="shared" si="292"/>
        <v>0</v>
      </c>
    </row>
    <row r="357" spans="91:92" hidden="1">
      <c r="CM357" s="18">
        <f t="shared" si="291"/>
        <v>0</v>
      </c>
      <c r="CN357" s="18">
        <f t="shared" si="292"/>
        <v>0</v>
      </c>
    </row>
    <row r="358" spans="91:92" hidden="1">
      <c r="CM358" s="18">
        <f t="shared" si="291"/>
        <v>0</v>
      </c>
      <c r="CN358" s="18">
        <f t="shared" si="292"/>
        <v>0</v>
      </c>
    </row>
    <row r="359" spans="91:92" hidden="1">
      <c r="CM359" s="18">
        <f t="shared" si="291"/>
        <v>0</v>
      </c>
      <c r="CN359" s="18">
        <f t="shared" si="292"/>
        <v>0</v>
      </c>
    </row>
    <row r="360" spans="91:92" hidden="1">
      <c r="CM360" s="18">
        <f t="shared" si="291"/>
        <v>0</v>
      </c>
      <c r="CN360" s="18">
        <f t="shared" si="292"/>
        <v>0</v>
      </c>
    </row>
    <row r="361" spans="91:92" hidden="1">
      <c r="CM361" s="18">
        <f t="shared" si="291"/>
        <v>0</v>
      </c>
      <c r="CN361" s="18">
        <f t="shared" si="292"/>
        <v>0</v>
      </c>
    </row>
    <row r="362" spans="91:92" hidden="1">
      <c r="CM362" s="18">
        <f t="shared" si="291"/>
        <v>0</v>
      </c>
      <c r="CN362" s="18">
        <f t="shared" si="292"/>
        <v>0</v>
      </c>
    </row>
    <row r="363" spans="91:92" hidden="1">
      <c r="CM363" s="18">
        <f t="shared" si="291"/>
        <v>0</v>
      </c>
      <c r="CN363" s="18">
        <f t="shared" si="292"/>
        <v>0</v>
      </c>
    </row>
    <row r="364" spans="91:92" hidden="1">
      <c r="CM364" s="18">
        <f t="shared" si="291"/>
        <v>0</v>
      </c>
      <c r="CN364" s="18">
        <f t="shared" si="292"/>
        <v>0</v>
      </c>
    </row>
    <row r="365" spans="91:92" hidden="1">
      <c r="CM365" s="18">
        <f t="shared" si="291"/>
        <v>0</v>
      </c>
      <c r="CN365" s="18">
        <f t="shared" si="292"/>
        <v>0</v>
      </c>
    </row>
    <row r="366" spans="91:92" hidden="1">
      <c r="CM366" s="18">
        <f t="shared" si="291"/>
        <v>0</v>
      </c>
      <c r="CN366" s="18">
        <f t="shared" si="292"/>
        <v>0</v>
      </c>
    </row>
    <row r="367" spans="91:92" hidden="1">
      <c r="CM367" s="18">
        <f t="shared" si="291"/>
        <v>0</v>
      </c>
      <c r="CN367" s="18">
        <f t="shared" si="292"/>
        <v>0</v>
      </c>
    </row>
    <row r="368" spans="91:92" hidden="1">
      <c r="CM368" s="18">
        <f t="shared" si="291"/>
        <v>0</v>
      </c>
      <c r="CN368" s="18">
        <f t="shared" si="292"/>
        <v>0</v>
      </c>
    </row>
    <row r="369" spans="91:92" hidden="1">
      <c r="CM369" s="18">
        <f t="shared" si="291"/>
        <v>0</v>
      </c>
      <c r="CN369" s="18">
        <f t="shared" si="292"/>
        <v>0</v>
      </c>
    </row>
    <row r="370" spans="91:92" hidden="1">
      <c r="CM370" s="18">
        <f t="shared" si="291"/>
        <v>0</v>
      </c>
      <c r="CN370" s="18">
        <f t="shared" si="292"/>
        <v>0</v>
      </c>
    </row>
    <row r="371" spans="91:92" hidden="1">
      <c r="CM371" s="18">
        <f t="shared" si="291"/>
        <v>0</v>
      </c>
      <c r="CN371" s="18">
        <f t="shared" si="292"/>
        <v>0</v>
      </c>
    </row>
    <row r="372" spans="91:92" hidden="1">
      <c r="CM372" s="18">
        <f t="shared" si="291"/>
        <v>0</v>
      </c>
      <c r="CN372" s="18">
        <f t="shared" si="292"/>
        <v>0</v>
      </c>
    </row>
    <row r="373" spans="91:92" hidden="1">
      <c r="CM373" s="18">
        <f t="shared" si="291"/>
        <v>0</v>
      </c>
      <c r="CN373" s="18">
        <f t="shared" si="292"/>
        <v>0</v>
      </c>
    </row>
    <row r="374" spans="91:92" hidden="1">
      <c r="CM374" s="18">
        <f t="shared" si="291"/>
        <v>0</v>
      </c>
      <c r="CN374" s="18">
        <f t="shared" si="292"/>
        <v>0</v>
      </c>
    </row>
    <row r="375" spans="91:92" hidden="1">
      <c r="CM375" s="18">
        <f t="shared" si="291"/>
        <v>0</v>
      </c>
      <c r="CN375" s="18">
        <f t="shared" si="292"/>
        <v>0</v>
      </c>
    </row>
    <row r="376" spans="91:92" hidden="1">
      <c r="CM376" s="18">
        <f t="shared" si="291"/>
        <v>0</v>
      </c>
      <c r="CN376" s="18">
        <f t="shared" si="292"/>
        <v>0</v>
      </c>
    </row>
    <row r="377" spans="91:92" hidden="1">
      <c r="CM377" s="18">
        <f t="shared" si="291"/>
        <v>0</v>
      </c>
      <c r="CN377" s="18">
        <f t="shared" si="292"/>
        <v>0</v>
      </c>
    </row>
    <row r="378" spans="91:92" hidden="1">
      <c r="CM378" s="18">
        <f t="shared" si="291"/>
        <v>0</v>
      </c>
      <c r="CN378" s="18">
        <f t="shared" si="292"/>
        <v>0</v>
      </c>
    </row>
    <row r="379" spans="91:92" hidden="1">
      <c r="CM379" s="18">
        <f t="shared" si="291"/>
        <v>0</v>
      </c>
      <c r="CN379" s="18">
        <f t="shared" si="292"/>
        <v>0</v>
      </c>
    </row>
    <row r="380" spans="91:92" hidden="1">
      <c r="CM380" s="18">
        <f t="shared" si="291"/>
        <v>0</v>
      </c>
      <c r="CN380" s="18">
        <f t="shared" si="292"/>
        <v>0</v>
      </c>
    </row>
    <row r="381" spans="91:92" hidden="1">
      <c r="CM381" s="18">
        <f t="shared" si="291"/>
        <v>0</v>
      </c>
      <c r="CN381" s="18">
        <f t="shared" si="292"/>
        <v>0</v>
      </c>
    </row>
    <row r="382" spans="91:92" hidden="1">
      <c r="CM382" s="18">
        <f t="shared" si="291"/>
        <v>0</v>
      </c>
      <c r="CN382" s="18">
        <f t="shared" si="292"/>
        <v>0</v>
      </c>
    </row>
    <row r="383" spans="91:92" hidden="1">
      <c r="CM383" s="18">
        <f t="shared" si="291"/>
        <v>0</v>
      </c>
      <c r="CN383" s="18">
        <f t="shared" si="292"/>
        <v>0</v>
      </c>
    </row>
    <row r="384" spans="91:92" hidden="1">
      <c r="CM384" s="18">
        <f t="shared" si="291"/>
        <v>0</v>
      </c>
      <c r="CN384" s="18">
        <f t="shared" si="292"/>
        <v>0</v>
      </c>
    </row>
    <row r="385" spans="91:92" hidden="1">
      <c r="CM385" s="18">
        <f t="shared" si="291"/>
        <v>0</v>
      </c>
      <c r="CN385" s="18">
        <f t="shared" si="292"/>
        <v>0</v>
      </c>
    </row>
    <row r="386" spans="91:92" hidden="1">
      <c r="CM386" s="18">
        <f t="shared" si="291"/>
        <v>0</v>
      </c>
      <c r="CN386" s="18">
        <f t="shared" si="292"/>
        <v>0</v>
      </c>
    </row>
    <row r="387" spans="91:92" hidden="1">
      <c r="CM387" s="18">
        <f t="shared" si="291"/>
        <v>0</v>
      </c>
      <c r="CN387" s="18">
        <f t="shared" si="292"/>
        <v>0</v>
      </c>
    </row>
    <row r="388" spans="91:92" hidden="1">
      <c r="CM388" s="18">
        <f t="shared" si="291"/>
        <v>0</v>
      </c>
      <c r="CN388" s="18">
        <f t="shared" si="292"/>
        <v>0</v>
      </c>
    </row>
    <row r="389" spans="91:92" hidden="1">
      <c r="CM389" s="18">
        <f t="shared" si="291"/>
        <v>0</v>
      </c>
      <c r="CN389" s="18">
        <f t="shared" si="292"/>
        <v>0</v>
      </c>
    </row>
    <row r="390" spans="91:92" hidden="1">
      <c r="CM390" s="18">
        <f t="shared" si="291"/>
        <v>0</v>
      </c>
      <c r="CN390" s="18">
        <f t="shared" si="292"/>
        <v>0</v>
      </c>
    </row>
    <row r="391" spans="91:92" hidden="1">
      <c r="CM391" s="18">
        <f t="shared" si="291"/>
        <v>0</v>
      </c>
      <c r="CN391" s="18">
        <f t="shared" si="292"/>
        <v>0</v>
      </c>
    </row>
    <row r="392" spans="91:92" hidden="1">
      <c r="CM392" s="18">
        <f t="shared" si="291"/>
        <v>0</v>
      </c>
      <c r="CN392" s="18">
        <f t="shared" si="292"/>
        <v>0</v>
      </c>
    </row>
    <row r="393" spans="91:92" hidden="1">
      <c r="CM393" s="18">
        <f t="shared" si="291"/>
        <v>0</v>
      </c>
      <c r="CN393" s="18">
        <f t="shared" si="292"/>
        <v>0</v>
      </c>
    </row>
    <row r="394" spans="91:92" hidden="1">
      <c r="CM394" s="18">
        <f t="shared" si="291"/>
        <v>0</v>
      </c>
      <c r="CN394" s="18">
        <f t="shared" si="292"/>
        <v>0</v>
      </c>
    </row>
    <row r="395" spans="91:92" hidden="1">
      <c r="CM395" s="18">
        <f t="shared" si="291"/>
        <v>0</v>
      </c>
      <c r="CN395" s="18">
        <f t="shared" si="292"/>
        <v>0</v>
      </c>
    </row>
    <row r="396" spans="91:92" hidden="1">
      <c r="CM396" s="18">
        <f t="shared" si="291"/>
        <v>0</v>
      </c>
      <c r="CN396" s="18">
        <f t="shared" si="292"/>
        <v>0</v>
      </c>
    </row>
    <row r="397" spans="91:92" hidden="1">
      <c r="CM397" s="18">
        <f t="shared" si="291"/>
        <v>0</v>
      </c>
      <c r="CN397" s="18">
        <f t="shared" si="292"/>
        <v>0</v>
      </c>
    </row>
    <row r="398" spans="91:92" hidden="1">
      <c r="CM398" s="18">
        <f t="shared" si="291"/>
        <v>0</v>
      </c>
      <c r="CN398" s="18">
        <f t="shared" si="292"/>
        <v>0</v>
      </c>
    </row>
    <row r="399" spans="91:92" hidden="1">
      <c r="CM399" s="18">
        <f t="shared" si="291"/>
        <v>0</v>
      </c>
      <c r="CN399" s="18">
        <f t="shared" si="292"/>
        <v>0</v>
      </c>
    </row>
    <row r="400" spans="91:92" hidden="1">
      <c r="CM400" s="18">
        <f t="shared" si="291"/>
        <v>0</v>
      </c>
      <c r="CN400" s="18">
        <f t="shared" si="292"/>
        <v>0</v>
      </c>
    </row>
    <row r="401" spans="91:92" hidden="1">
      <c r="CM401" s="18">
        <f t="shared" ref="CM401:CM425" si="293">N401*AH401/1000</f>
        <v>0</v>
      </c>
      <c r="CN401" s="18">
        <f t="shared" ref="CN401:CN425" si="294">CM401-CL401</f>
        <v>0</v>
      </c>
    </row>
    <row r="402" spans="91:92" hidden="1">
      <c r="CM402" s="18">
        <f t="shared" si="293"/>
        <v>0</v>
      </c>
      <c r="CN402" s="18">
        <f t="shared" si="294"/>
        <v>0</v>
      </c>
    </row>
    <row r="403" spans="91:92" hidden="1">
      <c r="CM403" s="18">
        <f t="shared" si="293"/>
        <v>0</v>
      </c>
      <c r="CN403" s="18">
        <f t="shared" si="294"/>
        <v>0</v>
      </c>
    </row>
    <row r="404" spans="91:92" hidden="1">
      <c r="CM404" s="18">
        <f t="shared" si="293"/>
        <v>0</v>
      </c>
      <c r="CN404" s="18">
        <f t="shared" si="294"/>
        <v>0</v>
      </c>
    </row>
    <row r="405" spans="91:92" hidden="1">
      <c r="CM405" s="18">
        <f t="shared" si="293"/>
        <v>0</v>
      </c>
      <c r="CN405" s="18">
        <f t="shared" si="294"/>
        <v>0</v>
      </c>
    </row>
    <row r="406" spans="91:92" hidden="1">
      <c r="CM406" s="18">
        <f t="shared" si="293"/>
        <v>0</v>
      </c>
      <c r="CN406" s="18">
        <f t="shared" si="294"/>
        <v>0</v>
      </c>
    </row>
    <row r="407" spans="91:92" hidden="1">
      <c r="CM407" s="18">
        <f t="shared" si="293"/>
        <v>0</v>
      </c>
      <c r="CN407" s="18">
        <f t="shared" si="294"/>
        <v>0</v>
      </c>
    </row>
    <row r="408" spans="91:92" hidden="1">
      <c r="CM408" s="18">
        <f t="shared" si="293"/>
        <v>0</v>
      </c>
      <c r="CN408" s="18">
        <f t="shared" si="294"/>
        <v>0</v>
      </c>
    </row>
    <row r="409" spans="91:92" hidden="1">
      <c r="CM409" s="18">
        <f t="shared" si="293"/>
        <v>0</v>
      </c>
      <c r="CN409" s="18">
        <f t="shared" si="294"/>
        <v>0</v>
      </c>
    </row>
    <row r="410" spans="91:92" hidden="1">
      <c r="CM410" s="18">
        <f t="shared" si="293"/>
        <v>0</v>
      </c>
      <c r="CN410" s="18">
        <f t="shared" si="294"/>
        <v>0</v>
      </c>
    </row>
    <row r="411" spans="91:92" hidden="1">
      <c r="CM411" s="18">
        <f t="shared" si="293"/>
        <v>0</v>
      </c>
      <c r="CN411" s="18">
        <f t="shared" si="294"/>
        <v>0</v>
      </c>
    </row>
    <row r="412" spans="91:92" hidden="1">
      <c r="CM412" s="18">
        <f t="shared" si="293"/>
        <v>0</v>
      </c>
      <c r="CN412" s="18">
        <f t="shared" si="294"/>
        <v>0</v>
      </c>
    </row>
    <row r="413" spans="91:92" hidden="1">
      <c r="CM413" s="18">
        <f t="shared" si="293"/>
        <v>0</v>
      </c>
      <c r="CN413" s="18">
        <f t="shared" si="294"/>
        <v>0</v>
      </c>
    </row>
    <row r="414" spans="91:92" hidden="1">
      <c r="CM414" s="18">
        <f t="shared" si="293"/>
        <v>0</v>
      </c>
      <c r="CN414" s="18">
        <f t="shared" si="294"/>
        <v>0</v>
      </c>
    </row>
    <row r="415" spans="91:92" hidden="1">
      <c r="CM415" s="18">
        <f t="shared" si="293"/>
        <v>0</v>
      </c>
      <c r="CN415" s="18">
        <f t="shared" si="294"/>
        <v>0</v>
      </c>
    </row>
    <row r="416" spans="91:92" hidden="1">
      <c r="CM416" s="18">
        <f t="shared" si="293"/>
        <v>0</v>
      </c>
      <c r="CN416" s="18">
        <f t="shared" si="294"/>
        <v>0</v>
      </c>
    </row>
    <row r="417" spans="21:92" hidden="1">
      <c r="CM417" s="18">
        <f t="shared" si="293"/>
        <v>0</v>
      </c>
      <c r="CN417" s="18">
        <f t="shared" si="294"/>
        <v>0</v>
      </c>
    </row>
    <row r="418" spans="21:92" hidden="1">
      <c r="CM418" s="18">
        <f t="shared" si="293"/>
        <v>0</v>
      </c>
      <c r="CN418" s="18">
        <f t="shared" si="294"/>
        <v>0</v>
      </c>
    </row>
    <row r="419" spans="21:92" hidden="1">
      <c r="CM419" s="18">
        <f t="shared" si="293"/>
        <v>0</v>
      </c>
      <c r="CN419" s="18">
        <f t="shared" si="294"/>
        <v>0</v>
      </c>
    </row>
    <row r="420" spans="21:92" hidden="1">
      <c r="CM420" s="18">
        <f t="shared" si="293"/>
        <v>0</v>
      </c>
      <c r="CN420" s="18">
        <f t="shared" si="294"/>
        <v>0</v>
      </c>
    </row>
    <row r="421" spans="21:92" hidden="1">
      <c r="CM421" s="18">
        <f t="shared" si="293"/>
        <v>0</v>
      </c>
      <c r="CN421" s="18">
        <f t="shared" si="294"/>
        <v>0</v>
      </c>
    </row>
    <row r="422" spans="21:92" hidden="1">
      <c r="CM422" s="18">
        <f t="shared" si="293"/>
        <v>0</v>
      </c>
      <c r="CN422" s="18">
        <f t="shared" si="294"/>
        <v>0</v>
      </c>
    </row>
    <row r="423" spans="21:92" hidden="1">
      <c r="CM423" s="18">
        <f t="shared" si="293"/>
        <v>0</v>
      </c>
      <c r="CN423" s="18">
        <f t="shared" si="294"/>
        <v>0</v>
      </c>
    </row>
    <row r="424" spans="21:92" hidden="1">
      <c r="CM424" s="18">
        <f t="shared" si="293"/>
        <v>0</v>
      </c>
      <c r="CN424" s="18">
        <f t="shared" si="294"/>
        <v>0</v>
      </c>
    </row>
    <row r="425" spans="21:92" hidden="1">
      <c r="CM425" s="18">
        <f t="shared" si="293"/>
        <v>0</v>
      </c>
      <c r="CN425" s="18">
        <f t="shared" si="294"/>
        <v>0</v>
      </c>
    </row>
    <row r="427" spans="21:92">
      <c r="BH427" s="6">
        <f>+(O49-Q49)/1.2*AC49/1000</f>
        <v>820.14874912033179</v>
      </c>
      <c r="BJ427" s="755"/>
      <c r="CL427" s="754"/>
    </row>
    <row r="428" spans="21:92">
      <c r="BJ428" s="8"/>
    </row>
    <row r="430" spans="21:92">
      <c r="V430" s="6"/>
    </row>
    <row r="431" spans="21:92">
      <c r="V431" s="6"/>
    </row>
    <row r="432" spans="21:92">
      <c r="U432" s="1846">
        <f>'[29]!!!! СМЕТА КОРРЕКТИРОВКА 2024'!AA17</f>
        <v>1551.42</v>
      </c>
      <c r="V432" s="1846">
        <f>'[29]!!!! СМЕТА КОРРЕКТИРОВКА 2024'!AB17</f>
        <v>1117.3499999999999</v>
      </c>
      <c r="W432" s="1846">
        <f>'[29]!!!! СМЕТА КОРРЕКТИРОВКА 2024'!Z17</f>
        <v>2668.77</v>
      </c>
    </row>
    <row r="433" spans="19:90">
      <c r="V433" s="6"/>
      <c r="X433" s="1211"/>
      <c r="Z433" s="1211"/>
    </row>
    <row r="434" spans="19:90">
      <c r="S434" s="30" t="s">
        <v>280</v>
      </c>
      <c r="T434" s="6" t="s">
        <v>563</v>
      </c>
      <c r="U434" s="6">
        <f>U59</f>
        <v>2970.0699999999997</v>
      </c>
      <c r="V434" s="6">
        <f>AB59</f>
        <v>2227.5500000000002</v>
      </c>
      <c r="W434" s="6">
        <f>U434+V434</f>
        <v>5197.62</v>
      </c>
      <c r="Y434" s="1211"/>
    </row>
    <row r="435" spans="19:90">
      <c r="T435" s="30" t="s">
        <v>1042</v>
      </c>
      <c r="V435" s="6"/>
      <c r="CL435" s="6">
        <f>CL58+CL59</f>
        <v>77816.543063519988</v>
      </c>
    </row>
    <row r="436" spans="19:90">
      <c r="V436" s="1211"/>
      <c r="W436" s="1211"/>
      <c r="CL436" s="6">
        <f>CL435/1.2</f>
        <v>64847.11921959999</v>
      </c>
    </row>
    <row r="437" spans="19:90">
      <c r="S437" s="6" t="s">
        <v>1043</v>
      </c>
      <c r="T437" s="6" t="s">
        <v>563</v>
      </c>
      <c r="U437" s="6">
        <f>U58</f>
        <v>2152.96</v>
      </c>
      <c r="V437" s="6">
        <f>AB58</f>
        <v>1614.72</v>
      </c>
      <c r="W437" s="6">
        <f>U437+V437</f>
        <v>3767.6800000000003</v>
      </c>
      <c r="CL437" s="6">
        <f>CL436-'[29]!!!! СМЕТА КОРРЕКТИРОВКА 2024'!$Z$90</f>
        <v>42113.565977463193</v>
      </c>
    </row>
    <row r="438" spans="19:90">
      <c r="T438" s="30" t="s">
        <v>1042</v>
      </c>
      <c r="U438" s="9">
        <f>U445-U437</f>
        <v>2797.71</v>
      </c>
      <c r="V438" s="9">
        <f>V445-V437</f>
        <v>1912.28</v>
      </c>
      <c r="W438" s="6">
        <f>W445-W437</f>
        <v>4709.99</v>
      </c>
    </row>
    <row r="439" spans="19:90">
      <c r="V439" s="6"/>
    </row>
    <row r="440" spans="19:90">
      <c r="V440" s="6"/>
    </row>
    <row r="441" spans="19:90">
      <c r="V441" s="6"/>
    </row>
    <row r="442" spans="19:90">
      <c r="V442" s="6"/>
    </row>
    <row r="443" spans="19:90">
      <c r="V443" s="6"/>
    </row>
    <row r="444" spans="19:90">
      <c r="V444" s="6"/>
      <c r="CL444" s="754">
        <f>CL8/1.2</f>
        <v>308629.08630660997</v>
      </c>
    </row>
    <row r="445" spans="19:90">
      <c r="U445" s="1845">
        <f>'[29]!!!! СМЕТА КОРРЕКТИРОВКА 2024'!AA16</f>
        <v>4950.67</v>
      </c>
      <c r="V445" s="1845">
        <f>'[29]!!!! СМЕТА КОРРЕКТИРОВКА 2024'!AB16</f>
        <v>3527</v>
      </c>
      <c r="W445" s="1846">
        <f>'[29]!!!! СМЕТА КОРРЕКТИРОВКА 2024'!Z16</f>
        <v>8477.67</v>
      </c>
      <c r="CL445" s="755">
        <f>'[29]!!!! СМЕТА КОРРЕКТИРОВКА 20 (2'!$Z$106</f>
        <v>622789.14354952786</v>
      </c>
    </row>
    <row r="446" spans="19:90">
      <c r="V446" s="6"/>
      <c r="CL446" s="6">
        <f>'[29]!!!! СМЕТА КОРРЕКТИРОВКА 2024'!$Z$88</f>
        <v>640879.24932240241</v>
      </c>
    </row>
    <row r="447" spans="19:90">
      <c r="V447" s="6"/>
      <c r="CL447" s="754">
        <f>CL446-CL8/1.2</f>
        <v>332250.16301579244</v>
      </c>
    </row>
    <row r="448" spans="19:90">
      <c r="V448" s="6"/>
    </row>
    <row r="449" spans="22:22">
      <c r="V449" s="6"/>
    </row>
    <row r="450" spans="22:22">
      <c r="V450" s="6"/>
    </row>
    <row r="451" spans="22:22">
      <c r="V451" s="6"/>
    </row>
  </sheetData>
  <autoFilter ref="A13:GI425">
    <filterColumn colId="3">
      <filters>
        <filter val="ГУПКО &quot;Курскоблжилкомхоз&quot;"/>
      </filters>
    </filterColumn>
    <filterColumn colId="19">
      <filters>
        <filter val="12206,83"/>
        <filter val="4174,499"/>
        <filter val="6 129,007"/>
        <filter val="7450,725"/>
        <filter val="8 759,940"/>
      </filters>
    </filterColumn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FFFF"/>
  </sheetPr>
  <dimension ref="A1:MB81"/>
  <sheetViews>
    <sheetView topLeftCell="A2" zoomScale="110" zoomScaleNormal="110" zoomScaleSheetLayoutView="100" workbookViewId="0">
      <pane xSplit="6" ySplit="4" topLeftCell="G42" activePane="bottomRight" state="frozen"/>
      <selection activeCell="A2" sqref="A2"/>
      <selection pane="topRight" activeCell="F2" sqref="F2"/>
      <selection pane="bottomLeft" activeCell="A6" sqref="A6"/>
      <selection pane="bottomRight" activeCell="H60" sqref="H60"/>
    </sheetView>
  </sheetViews>
  <sheetFormatPr defaultRowHeight="15" outlineLevelCol="3"/>
  <cols>
    <col min="1" max="1" width="9.5703125" style="14" hidden="1" customWidth="1"/>
    <col min="2" max="2" width="7.140625" style="14" customWidth="1"/>
    <col min="3" max="3" width="30" style="233" customWidth="1"/>
    <col min="4" max="4" width="14.5703125" style="96" customWidth="1" outlineLevel="1"/>
    <col min="5" max="5" width="18.42578125" style="96" customWidth="1"/>
    <col min="6" max="6" width="9.140625" style="14" customWidth="1"/>
    <col min="7" max="9" width="22.140625" style="234" customWidth="1"/>
    <col min="10" max="10" width="17.140625" style="14" customWidth="1"/>
    <col min="11" max="11" width="18.140625" style="14" customWidth="1"/>
    <col min="12" max="12" width="17.5703125" style="14" customWidth="1"/>
    <col min="13" max="13" width="17.140625" style="14" customWidth="1" outlineLevel="1"/>
    <col min="14" max="16" width="14.85546875" style="14" customWidth="1" outlineLevel="1"/>
    <col min="17" max="17" width="17.140625" style="14" customWidth="1"/>
    <col min="18" max="18" width="15.42578125" style="14" customWidth="1"/>
    <col min="19" max="19" width="17.7109375" style="14" customWidth="1"/>
    <col min="20" max="20" width="15.140625" style="14" customWidth="1"/>
    <col min="21" max="21" width="15.28515625" style="14" customWidth="1"/>
    <col min="22" max="22" width="17" style="14" customWidth="1"/>
    <col min="23" max="23" width="15.42578125" style="14" bestFit="1" customWidth="1"/>
    <col min="24" max="24" width="16.28515625" style="14" customWidth="1"/>
    <col min="25" max="25" width="16.42578125" style="14" customWidth="1"/>
    <col min="26" max="27" width="14.85546875" style="14" customWidth="1"/>
    <col min="28" max="28" width="1.7109375" style="96" customWidth="1"/>
    <col min="29" max="29" width="13.7109375" style="14" customWidth="1" outlineLevel="2"/>
    <col min="30" max="30" width="13.42578125" style="14" customWidth="1" outlineLevel="2"/>
    <col min="31" max="32" width="12.42578125" style="14" customWidth="1" outlineLevel="2"/>
    <col min="33" max="33" width="13.5703125" style="14" customWidth="1" outlineLevel="2"/>
    <col min="34" max="35" width="16.5703125" style="14" customWidth="1" outlineLevel="2"/>
    <col min="36" max="36" width="14.85546875" style="14" customWidth="1" outlineLevel="2"/>
    <col min="37" max="38" width="13.5703125" style="14" customWidth="1" outlineLevel="3"/>
    <col min="39" max="40" width="10.7109375" style="14" customWidth="1" outlineLevel="3"/>
    <col min="41" max="41" width="14.85546875" style="14" customWidth="1" outlineLevel="3"/>
    <col min="42" max="42" width="13.5703125" style="14" customWidth="1" outlineLevel="3"/>
    <col min="43" max="43" width="9.5703125" style="14" customWidth="1" outlineLevel="3"/>
    <col min="44" max="44" width="12.42578125" style="14" customWidth="1" outlineLevel="3"/>
    <col min="45" max="45" width="14.85546875" style="14" customWidth="1" outlineLevel="3"/>
    <col min="46" max="46" width="10.7109375" style="14" customWidth="1" outlineLevel="3"/>
    <col min="47" max="47" width="12.42578125" style="14" customWidth="1" outlineLevel="3"/>
    <col min="48" max="51" width="9.5703125" style="14" customWidth="1" outlineLevel="3"/>
    <col min="52" max="52" width="12.42578125" style="14" customWidth="1" outlineLevel="2"/>
    <col min="53" max="53" width="14.85546875" style="14" customWidth="1" outlineLevel="2"/>
    <col min="54" max="54" width="13.5703125" style="14" customWidth="1" outlineLevel="3"/>
    <col min="55" max="55" width="9.5703125" style="14" customWidth="1" outlineLevel="3"/>
    <col min="56" max="56" width="13.5703125" style="14" customWidth="1" outlineLevel="3"/>
    <col min="57" max="57" width="9.5703125" style="14" customWidth="1" outlineLevel="3"/>
    <col min="58" max="58" width="12.42578125" style="14" customWidth="1" outlineLevel="3"/>
    <col min="59" max="61" width="9.5703125" style="14" customWidth="1" outlineLevel="3"/>
    <col min="62" max="62" width="14.85546875" style="14" customWidth="1" outlineLevel="3"/>
    <col min="63" max="63" width="9.5703125" style="14" customWidth="1" outlineLevel="3"/>
    <col min="64" max="64" width="13.5703125" style="14" customWidth="1" outlineLevel="3"/>
    <col min="65" max="67" width="9.5703125" style="14" customWidth="1" outlineLevel="3"/>
    <col min="68" max="68" width="10.7109375" style="14" customWidth="1" outlineLevel="3"/>
    <col min="69" max="73" width="9.5703125" style="14" customWidth="1" outlineLevel="3"/>
    <col min="74" max="74" width="12.42578125" style="14" customWidth="1" outlineLevel="3"/>
    <col min="75" max="75" width="9.5703125" style="14" customWidth="1" outlineLevel="3"/>
    <col min="76" max="76" width="10.7109375" style="14" customWidth="1" outlineLevel="3"/>
    <col min="77" max="79" width="9.5703125" style="14" customWidth="1" outlineLevel="3"/>
    <col min="80" max="80" width="10.7109375" style="14" customWidth="1" outlineLevel="2"/>
    <col min="81" max="81" width="9.5703125" style="14" customWidth="1" outlineLevel="2"/>
    <col min="82" max="82" width="10.7109375" style="14" customWidth="1" outlineLevel="2"/>
    <col min="83" max="84" width="9.5703125" style="14" customWidth="1" outlineLevel="3"/>
    <col min="85" max="85" width="10.7109375" style="14" customWidth="1" outlineLevel="3"/>
    <col min="86" max="90" width="9.5703125" style="14" customWidth="1" outlineLevel="3"/>
    <col min="91" max="91" width="14.85546875" style="14" customWidth="1" outlineLevel="2"/>
    <col min="92" max="92" width="14.85546875" style="14" customWidth="1" outlineLevel="3"/>
    <col min="93" max="93" width="9.5703125" style="14" customWidth="1" outlineLevel="3"/>
    <col min="94" max="95" width="13.5703125" style="14" customWidth="1" outlineLevel="3"/>
    <col min="96" max="96" width="9.5703125" style="14" customWidth="1" outlineLevel="3"/>
    <col min="97" max="97" width="14.85546875" style="14" customWidth="1" outlineLevel="2"/>
    <col min="98" max="98" width="14.85546875" style="14" customWidth="1" outlineLevel="3"/>
    <col min="99" max="99" width="9.5703125" style="14" customWidth="1" outlineLevel="3"/>
    <col min="100" max="100" width="12.42578125" style="14" customWidth="1" outlineLevel="3"/>
    <col min="101" max="101" width="13.5703125" style="14" customWidth="1" outlineLevel="3"/>
    <col min="102" max="102" width="9.5703125" style="14" customWidth="1" outlineLevel="3"/>
    <col min="103" max="103" width="13.5703125" style="14" customWidth="1" outlineLevel="2"/>
    <col min="104" max="104" width="9.140625" style="14" customWidth="1" outlineLevel="2"/>
    <col min="105" max="105" width="12.42578125" style="14" customWidth="1" outlineLevel="2"/>
    <col min="106" max="106" width="10.7109375" style="14" customWidth="1" outlineLevel="2"/>
    <col min="107" max="107" width="9.140625" style="14" customWidth="1" outlineLevel="2"/>
    <col min="108" max="108" width="9.5703125" style="14" customWidth="1" outlineLevel="2"/>
    <col min="109" max="109" width="12.42578125" style="14" customWidth="1" outlineLevel="2"/>
    <col min="110" max="110" width="9.5703125" style="14" customWidth="1" outlineLevel="2"/>
    <col min="111" max="111" width="14.85546875" style="14" customWidth="1" outlineLevel="2"/>
    <col min="112" max="112" width="13.5703125" style="14" customWidth="1" outlineLevel="2"/>
    <col min="113" max="113" width="9.5703125" style="14" customWidth="1" outlineLevel="2"/>
    <col min="114" max="114" width="14.85546875" style="14" customWidth="1" outlineLevel="2"/>
    <col min="115" max="115" width="13.5703125" style="14" customWidth="1" outlineLevel="2"/>
    <col min="116" max="117" width="9.5703125" style="14" customWidth="1" outlineLevel="2"/>
    <col min="118" max="118" width="12.42578125" style="14" customWidth="1" outlineLevel="2"/>
    <col min="119" max="119" width="9.5703125" style="14" customWidth="1" outlineLevel="2"/>
    <col min="120" max="120" width="14.85546875" style="14" customWidth="1" outlineLevel="2"/>
    <col min="121" max="123" width="9.5703125" style="14" customWidth="1" outlineLevel="2"/>
    <col min="124" max="125" width="14.85546875" style="14" customWidth="1" outlineLevel="2"/>
    <col min="126" max="126" width="12.42578125" style="14" customWidth="1" outlineLevel="2"/>
    <col min="127" max="127" width="13.5703125" style="14" customWidth="1" outlineLevel="2"/>
    <col min="128" max="128" width="12.42578125" style="14" customWidth="1" outlineLevel="2"/>
    <col min="129" max="129" width="9.5703125" style="14" customWidth="1" outlineLevel="2"/>
    <col min="130" max="131" width="12.42578125" style="14" customWidth="1" outlineLevel="2"/>
    <col min="132" max="133" width="9.5703125" style="14" customWidth="1" outlineLevel="2"/>
    <col min="134" max="134" width="12.42578125" style="14" customWidth="1" outlineLevel="2"/>
    <col min="135" max="136" width="9.5703125" style="14" customWidth="1" outlineLevel="2"/>
    <col min="137" max="138" width="13.5703125" style="14" customWidth="1" outlineLevel="2"/>
    <col min="139" max="139" width="12.42578125" style="14" customWidth="1" outlineLevel="2"/>
    <col min="140" max="140" width="13.5703125" style="14" customWidth="1" outlineLevel="2"/>
    <col min="141" max="141" width="12.42578125" style="14" customWidth="1" outlineLevel="2"/>
    <col min="142" max="142" width="10.7109375" style="14" customWidth="1" outlineLevel="2"/>
    <col min="143" max="143" width="12.42578125" style="14" customWidth="1" outlineLevel="2"/>
    <col min="144" max="144" width="9.5703125" style="14" customWidth="1" outlineLevel="2"/>
    <col min="145" max="145" width="10.7109375" style="14" customWidth="1" outlineLevel="2"/>
    <col min="146" max="146" width="13.5703125" style="14" customWidth="1" outlineLevel="2"/>
    <col min="147" max="147" width="12.42578125" style="14" customWidth="1" outlineLevel="2"/>
    <col min="148" max="152" width="13.5703125" style="14" customWidth="1" outlineLevel="2"/>
    <col min="153" max="153" width="10.7109375" style="14" customWidth="1" outlineLevel="2"/>
    <col min="154" max="157" width="9.5703125" style="14" customWidth="1" outlineLevel="2"/>
    <col min="158" max="158" width="13.5703125" style="14" customWidth="1" outlineLevel="2"/>
    <col min="159" max="160" width="12.42578125" style="14" customWidth="1" outlineLevel="2"/>
    <col min="161" max="161" width="10.7109375" style="14" customWidth="1" outlineLevel="2"/>
    <col min="162" max="163" width="13.5703125" style="14" customWidth="1" outlineLevel="2"/>
    <col min="164" max="164" width="10.7109375" style="14" customWidth="1" outlineLevel="2"/>
    <col min="165" max="165" width="12.42578125" style="14" customWidth="1" outlineLevel="2"/>
    <col min="166" max="166" width="13.5703125" style="14" customWidth="1" outlineLevel="2"/>
    <col min="167" max="167" width="12.42578125" style="14" customWidth="1" outlineLevel="2"/>
    <col min="168" max="168" width="13.5703125" style="14" customWidth="1" outlineLevel="2"/>
    <col min="169" max="170" width="14.85546875" style="14" customWidth="1" outlineLevel="2"/>
    <col min="171" max="171" width="10.7109375" style="14" customWidth="1" outlineLevel="2"/>
    <col min="172" max="173" width="13.5703125" style="14" customWidth="1" outlineLevel="2"/>
    <col min="174" max="174" width="12.42578125" style="14" customWidth="1" outlineLevel="2"/>
    <col min="175" max="175" width="16.5703125" style="14" customWidth="1" outlineLevel="2"/>
    <col min="176" max="189" width="9.5703125" style="14" customWidth="1" outlineLevel="2"/>
    <col min="190" max="191" width="13.5703125" style="14" customWidth="1" outlineLevel="2"/>
    <col min="192" max="192" width="9.140625" style="14" customWidth="1" outlineLevel="2"/>
    <col min="193" max="193" width="13.5703125" style="14" customWidth="1" outlineLevel="2"/>
    <col min="194" max="194" width="9.140625" style="14" customWidth="1" outlineLevel="2"/>
    <col min="195" max="195" width="14.85546875" style="14" customWidth="1" outlineLevel="2"/>
    <col min="196" max="196" width="10.7109375" style="14" customWidth="1" outlineLevel="2"/>
    <col min="197" max="198" width="9.140625" style="14" customWidth="1" outlineLevel="2"/>
    <col min="199" max="199" width="9.5703125" style="14" customWidth="1" outlineLevel="2"/>
    <col min="200" max="201" width="9.140625" style="14" customWidth="1" outlineLevel="2"/>
    <col min="202" max="202" width="14.85546875" style="14" customWidth="1" outlineLevel="2"/>
    <col min="203" max="204" width="13.5703125" style="14" customWidth="1" outlineLevel="2"/>
    <col min="205" max="205" width="9.5703125" style="14" customWidth="1" outlineLevel="2"/>
    <col min="206" max="206" width="14.85546875" style="14" customWidth="1" outlineLevel="2"/>
    <col min="207" max="207" width="9.5703125" style="14" customWidth="1" outlineLevel="2"/>
    <col min="208" max="209" width="14.85546875" style="14" customWidth="1" outlineLevel="2"/>
    <col min="210" max="212" width="9.5703125" style="14" customWidth="1" outlineLevel="2"/>
    <col min="213" max="213" width="13.5703125" style="14" customWidth="1" outlineLevel="2"/>
    <col min="214" max="214" width="12.42578125" style="14" customWidth="1" outlineLevel="2"/>
    <col min="215" max="215" width="13.5703125" style="14" customWidth="1" outlineLevel="2"/>
    <col min="216" max="216" width="9.5703125" style="14" customWidth="1" outlineLevel="2"/>
    <col min="217" max="217" width="14.85546875" style="14" customWidth="1" outlineLevel="2"/>
    <col min="218" max="218" width="9.5703125" style="14" customWidth="1" outlineLevel="2"/>
    <col min="219" max="219" width="13.5703125" style="14" customWidth="1" outlineLevel="2"/>
    <col min="220" max="273" width="9.140625" style="14" customWidth="1" outlineLevel="1"/>
    <col min="274" max="274" width="16.5703125" style="14" customWidth="1" outlineLevel="1"/>
    <col min="275" max="275" width="14.85546875" style="14" customWidth="1" outlineLevel="1"/>
    <col min="276" max="276" width="16.5703125" style="14" customWidth="1" outlineLevel="1"/>
    <col min="277" max="277" width="9.5703125" style="14" customWidth="1" outlineLevel="1"/>
    <col min="278" max="278" width="13.5703125" style="14" customWidth="1" outlineLevel="1"/>
    <col min="279" max="279" width="23" style="14" customWidth="1" outlineLevel="1"/>
    <col min="280" max="280" width="23" style="234" customWidth="1" outlineLevel="1"/>
    <col min="281" max="285" width="16.5703125" style="14" customWidth="1" outlineLevel="1"/>
    <col min="286" max="286" width="9.5703125" style="14" customWidth="1" outlineLevel="1"/>
    <col min="287" max="287" width="16.5703125" style="14" customWidth="1" outlineLevel="1"/>
    <col min="288" max="289" width="9.5703125" style="14" customWidth="1" outlineLevel="1"/>
    <col min="290" max="291" width="16.5703125" style="14" customWidth="1" outlineLevel="1"/>
    <col min="292" max="292" width="14.85546875" style="14" customWidth="1" outlineLevel="1"/>
    <col min="293" max="293" width="10.7109375" style="14" customWidth="1" outlineLevel="1"/>
    <col min="294" max="294" width="14.85546875" style="14" customWidth="1" outlineLevel="1"/>
    <col min="295" max="295" width="16.5703125" style="14" customWidth="1" outlineLevel="1"/>
    <col min="296" max="296" width="12.42578125" style="14" customWidth="1" outlineLevel="1"/>
    <col min="297" max="297" width="14.85546875" style="14" customWidth="1" outlineLevel="1"/>
    <col min="298" max="298" width="16.5703125" style="14" customWidth="1" outlineLevel="1"/>
    <col min="299" max="299" width="12.42578125" style="14" customWidth="1" outlineLevel="1"/>
    <col min="300" max="300" width="16.5703125" style="14" customWidth="1" outlineLevel="1"/>
    <col min="301" max="301" width="14.85546875" style="14" customWidth="1" outlineLevel="1"/>
    <col min="302" max="302" width="12.42578125" style="14" customWidth="1" outlineLevel="1"/>
    <col min="303" max="303" width="14.85546875" style="14" customWidth="1" outlineLevel="1"/>
    <col min="304" max="305" width="9.140625" style="14" customWidth="1" outlineLevel="1"/>
    <col min="306" max="306" width="16.5703125" style="14" customWidth="1" outlineLevel="1"/>
    <col min="307" max="307" width="9.28515625" style="14" customWidth="1" outlineLevel="1"/>
    <col min="308" max="308" width="9.140625" style="14" customWidth="1" outlineLevel="1"/>
    <col min="309" max="309" width="16.5703125" style="14" customWidth="1" outlineLevel="1"/>
    <col min="310" max="310" width="12.42578125" style="14" customWidth="1" outlineLevel="1"/>
    <col min="311" max="311" width="10.7109375" style="14" customWidth="1" outlineLevel="1"/>
    <col min="312" max="312" width="9.140625" style="14" customWidth="1" outlineLevel="1"/>
    <col min="313" max="314" width="14.85546875" style="14" customWidth="1" outlineLevel="1"/>
    <col min="315" max="315" width="9.5703125" style="14" customWidth="1" outlineLevel="1"/>
    <col min="316" max="316" width="18.42578125" style="96" customWidth="1"/>
    <col min="317" max="319" width="17.140625" style="14" customWidth="1"/>
    <col min="320" max="320" width="7.85546875" style="14" customWidth="1" outlineLevel="1"/>
    <col min="321" max="321" width="17.140625" style="14" customWidth="1"/>
    <col min="322" max="322" width="9.140625" style="14" customWidth="1" outlineLevel="1"/>
    <col min="323" max="323" width="14" style="14" customWidth="1"/>
    <col min="324" max="324" width="12.42578125" style="14" customWidth="1" outlineLevel="1"/>
    <col min="325" max="325" width="13.85546875" style="14" customWidth="1"/>
    <col min="326" max="326" width="9.28515625" style="14" customWidth="1" outlineLevel="1"/>
    <col min="327" max="327" width="14.7109375" style="14" customWidth="1"/>
    <col min="328" max="328" width="11.5703125" style="14" customWidth="1" outlineLevel="1"/>
    <col min="329" max="329" width="17.28515625" style="14" customWidth="1"/>
    <col min="330" max="330" width="10.42578125" style="14" customWidth="1" outlineLevel="1"/>
    <col min="331" max="331" width="14.5703125" style="14" customWidth="1"/>
    <col min="332" max="332" width="16.85546875" style="14" customWidth="1"/>
    <col min="333" max="334" width="17" style="14" customWidth="1"/>
    <col min="335" max="335" width="16.42578125" style="14" customWidth="1"/>
    <col min="336" max="336" width="15.7109375" style="14" customWidth="1"/>
    <col min="337" max="337" width="16.42578125" style="14" customWidth="1"/>
    <col min="338" max="338" width="15.85546875" style="14" customWidth="1"/>
    <col min="339" max="340" width="14.85546875" style="14" customWidth="1"/>
    <col min="341" max="16384" width="9.140625" style="14"/>
  </cols>
  <sheetData>
    <row r="1" spans="1:340">
      <c r="A1" s="14">
        <v>1</v>
      </c>
    </row>
    <row r="2" spans="1:340" ht="19.5" thickBot="1">
      <c r="A2" s="14">
        <v>1</v>
      </c>
      <c r="B2" s="235" t="s">
        <v>317</v>
      </c>
      <c r="LE2" s="236" t="s">
        <v>318</v>
      </c>
      <c r="LF2" s="236"/>
    </row>
    <row r="3" spans="1:340" ht="23.25" customHeight="1" thickBot="1">
      <c r="A3" s="14">
        <v>1</v>
      </c>
      <c r="B3" s="237"/>
      <c r="C3" s="238"/>
      <c r="D3" s="238"/>
      <c r="E3" s="2073" t="s">
        <v>854</v>
      </c>
      <c r="F3" s="239"/>
      <c r="G3" s="588"/>
      <c r="H3" s="588"/>
      <c r="I3" s="588"/>
      <c r="J3" s="2075" t="s">
        <v>855</v>
      </c>
      <c r="K3" s="2077" t="s">
        <v>319</v>
      </c>
      <c r="L3" s="2079" t="s">
        <v>319</v>
      </c>
      <c r="M3" s="2080"/>
      <c r="N3" s="2080"/>
      <c r="O3" s="2080"/>
      <c r="P3" s="2080"/>
      <c r="Q3" s="2080"/>
      <c r="R3" s="2081"/>
      <c r="S3" s="2082" t="s">
        <v>320</v>
      </c>
      <c r="T3" s="2083"/>
      <c r="U3" s="2084"/>
      <c r="V3" s="2088" t="s">
        <v>321</v>
      </c>
      <c r="W3" s="2089"/>
      <c r="X3" s="2089"/>
      <c r="Y3" s="2090"/>
      <c r="Z3" s="2119" t="s">
        <v>322</v>
      </c>
      <c r="AA3" s="2121" t="s">
        <v>323</v>
      </c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0"/>
      <c r="BM3" s="240"/>
      <c r="BN3" s="240"/>
      <c r="BO3" s="240"/>
      <c r="BP3" s="240"/>
      <c r="BQ3" s="240"/>
      <c r="BR3" s="240"/>
      <c r="BS3" s="240"/>
      <c r="BT3" s="240"/>
      <c r="BU3" s="240"/>
      <c r="BV3" s="240"/>
      <c r="BW3" s="240"/>
      <c r="BX3" s="240"/>
      <c r="BY3" s="240"/>
      <c r="BZ3" s="240"/>
      <c r="CA3" s="240"/>
      <c r="CB3" s="240"/>
      <c r="CC3" s="240"/>
      <c r="CD3" s="240"/>
      <c r="CE3" s="240"/>
      <c r="CF3" s="240"/>
      <c r="CG3" s="240"/>
      <c r="CH3" s="240"/>
      <c r="CI3" s="240"/>
      <c r="CJ3" s="240"/>
      <c r="CK3" s="240"/>
      <c r="CL3" s="240"/>
      <c r="CM3" s="240"/>
      <c r="CN3" s="240"/>
      <c r="CO3" s="240"/>
      <c r="CP3" s="240"/>
      <c r="CQ3" s="240"/>
      <c r="CR3" s="240"/>
      <c r="CS3" s="240"/>
      <c r="CT3" s="240"/>
      <c r="CU3" s="240"/>
      <c r="CV3" s="240"/>
      <c r="CW3" s="240"/>
      <c r="CX3" s="240"/>
      <c r="CY3" s="240"/>
      <c r="CZ3" s="240"/>
      <c r="DA3" s="240"/>
      <c r="DB3" s="240"/>
      <c r="DC3" s="240"/>
      <c r="DD3" s="240"/>
      <c r="DE3" s="240"/>
      <c r="DF3" s="240"/>
      <c r="DG3" s="240"/>
      <c r="DH3" s="240"/>
      <c r="DI3" s="240"/>
      <c r="DJ3" s="240"/>
      <c r="DK3" s="240"/>
      <c r="DL3" s="240"/>
      <c r="DM3" s="240"/>
      <c r="DN3" s="240"/>
      <c r="DO3" s="240"/>
      <c r="DP3" s="240"/>
      <c r="DQ3" s="240"/>
      <c r="DR3" s="240"/>
      <c r="DS3" s="240"/>
      <c r="DT3" s="240"/>
      <c r="DU3" s="240"/>
      <c r="DV3" s="240"/>
      <c r="DW3" s="240"/>
      <c r="DX3" s="240"/>
      <c r="DY3" s="240"/>
      <c r="DZ3" s="240"/>
      <c r="EA3" s="240"/>
      <c r="EB3" s="240"/>
      <c r="EC3" s="240"/>
      <c r="ED3" s="240"/>
      <c r="EE3" s="240"/>
      <c r="EF3" s="240"/>
      <c r="EG3" s="240"/>
      <c r="EH3" s="240"/>
      <c r="EI3" s="240"/>
      <c r="EJ3" s="240"/>
      <c r="EK3" s="240"/>
      <c r="EL3" s="240"/>
      <c r="EM3" s="240"/>
      <c r="EN3" s="240"/>
      <c r="EO3" s="240"/>
      <c r="EP3" s="240"/>
      <c r="EQ3" s="240"/>
      <c r="ER3" s="240"/>
      <c r="ES3" s="240"/>
      <c r="ET3" s="240"/>
      <c r="EU3" s="240"/>
      <c r="EV3" s="240"/>
      <c r="EW3" s="240"/>
      <c r="EX3" s="240"/>
      <c r="EY3" s="240"/>
      <c r="EZ3" s="240"/>
      <c r="FA3" s="240"/>
      <c r="FB3" s="240"/>
      <c r="FC3" s="240"/>
      <c r="FD3" s="240"/>
      <c r="FE3" s="240"/>
      <c r="FF3" s="240"/>
      <c r="FG3" s="240"/>
      <c r="FH3" s="240"/>
      <c r="FI3" s="240"/>
      <c r="FJ3" s="240"/>
      <c r="FK3" s="240"/>
      <c r="FL3" s="240"/>
      <c r="FM3" s="240"/>
      <c r="FN3" s="240"/>
      <c r="FO3" s="240"/>
      <c r="FP3" s="240"/>
      <c r="FQ3" s="240"/>
      <c r="FR3" s="240"/>
      <c r="FS3" s="240"/>
      <c r="FT3" s="240"/>
      <c r="FU3" s="240"/>
      <c r="FV3" s="240"/>
      <c r="FW3" s="240"/>
      <c r="FX3" s="240"/>
      <c r="FY3" s="240"/>
      <c r="FZ3" s="240"/>
      <c r="GA3" s="240"/>
      <c r="GB3" s="240"/>
      <c r="GC3" s="240"/>
      <c r="GD3" s="240"/>
      <c r="GE3" s="240"/>
      <c r="GF3" s="240"/>
      <c r="GG3" s="240"/>
      <c r="GH3" s="240"/>
      <c r="GI3" s="240"/>
      <c r="GJ3" s="240"/>
      <c r="GK3" s="240"/>
      <c r="GL3" s="240"/>
      <c r="GM3" s="240"/>
      <c r="GN3" s="240"/>
      <c r="GO3" s="240"/>
      <c r="GP3" s="240"/>
      <c r="GQ3" s="240"/>
      <c r="GR3" s="240"/>
      <c r="GS3" s="240"/>
      <c r="GT3" s="240"/>
      <c r="GU3" s="240"/>
      <c r="GV3" s="240"/>
      <c r="GW3" s="240"/>
      <c r="GX3" s="240"/>
      <c r="GY3" s="240"/>
      <c r="GZ3" s="240"/>
      <c r="HA3" s="240"/>
      <c r="HB3" s="240"/>
      <c r="HC3" s="240"/>
      <c r="HD3" s="240"/>
      <c r="HE3" s="240"/>
      <c r="HF3" s="240"/>
      <c r="HG3" s="240"/>
      <c r="HH3" s="240"/>
      <c r="HI3" s="240"/>
      <c r="HJ3" s="240"/>
      <c r="HK3" s="240"/>
      <c r="HL3" s="240"/>
      <c r="HM3" s="240"/>
      <c r="HN3" s="240"/>
      <c r="HO3" s="240"/>
      <c r="HP3" s="240"/>
      <c r="HQ3" s="240"/>
      <c r="HR3" s="240"/>
      <c r="HS3" s="240"/>
      <c r="HT3" s="240"/>
      <c r="HU3" s="240"/>
      <c r="HV3" s="240"/>
      <c r="HW3" s="240"/>
      <c r="HX3" s="240"/>
      <c r="HY3" s="240"/>
      <c r="HZ3" s="240"/>
      <c r="IA3" s="240"/>
      <c r="IB3" s="240"/>
      <c r="IC3" s="240"/>
      <c r="ID3" s="240"/>
      <c r="IE3" s="240"/>
      <c r="IF3" s="240"/>
      <c r="IG3" s="240"/>
      <c r="IH3" s="240"/>
      <c r="II3" s="240"/>
      <c r="IJ3" s="240"/>
      <c r="IK3" s="240"/>
      <c r="IL3" s="240"/>
      <c r="IM3" s="240"/>
      <c r="IN3" s="240"/>
      <c r="IO3" s="240"/>
      <c r="IP3" s="240"/>
      <c r="IQ3" s="240"/>
      <c r="IR3" s="240"/>
      <c r="IS3" s="240"/>
      <c r="IT3" s="240"/>
      <c r="IU3" s="240"/>
      <c r="IV3" s="240"/>
      <c r="IW3" s="240"/>
      <c r="IX3" s="240"/>
      <c r="IY3" s="240"/>
      <c r="IZ3" s="240"/>
      <c r="JA3" s="240"/>
      <c r="JB3" s="240"/>
      <c r="JC3" s="240"/>
      <c r="JD3" s="240"/>
      <c r="JE3" s="240"/>
      <c r="JF3" s="240"/>
      <c r="JG3" s="240"/>
      <c r="JH3" s="240"/>
      <c r="JI3" s="240"/>
      <c r="JJ3" s="240"/>
      <c r="JK3" s="240"/>
      <c r="JL3" s="240"/>
      <c r="JM3" s="240"/>
      <c r="JN3" s="240"/>
      <c r="JO3" s="240"/>
      <c r="JP3" s="240"/>
      <c r="JQ3" s="240"/>
      <c r="JR3" s="240"/>
      <c r="JS3" s="240"/>
      <c r="JT3" s="241"/>
      <c r="JU3" s="240"/>
      <c r="JV3" s="240"/>
      <c r="JW3" s="240"/>
      <c r="JX3" s="240"/>
      <c r="JY3" s="240"/>
      <c r="JZ3" s="240"/>
      <c r="KA3" s="240"/>
      <c r="KB3" s="240"/>
      <c r="KC3" s="240"/>
      <c r="KD3" s="240"/>
      <c r="KE3" s="240"/>
      <c r="KF3" s="240"/>
      <c r="KG3" s="240"/>
      <c r="KH3" s="240"/>
      <c r="KI3" s="240"/>
      <c r="KJ3" s="240"/>
      <c r="KK3" s="240"/>
      <c r="KL3" s="240"/>
      <c r="KM3" s="240"/>
      <c r="KN3" s="240"/>
      <c r="KO3" s="240"/>
      <c r="KP3" s="240"/>
      <c r="KQ3" s="240"/>
      <c r="KR3" s="240"/>
      <c r="KS3" s="240"/>
      <c r="KT3" s="240"/>
      <c r="KU3" s="240"/>
      <c r="KV3" s="240"/>
      <c r="KW3" s="240"/>
      <c r="KX3" s="240"/>
      <c r="KY3" s="240"/>
      <c r="KZ3" s="240"/>
      <c r="LA3" s="240"/>
      <c r="LB3" s="240"/>
      <c r="LC3" s="240"/>
      <c r="LD3" s="2123" t="s">
        <v>324</v>
      </c>
      <c r="LE3" s="2125" t="s">
        <v>325</v>
      </c>
      <c r="LF3" s="2127" t="s">
        <v>326</v>
      </c>
      <c r="LG3" s="2129" t="s">
        <v>327</v>
      </c>
      <c r="LH3" s="2129"/>
      <c r="LI3" s="2129"/>
      <c r="LJ3" s="2129"/>
      <c r="LK3" s="2129"/>
      <c r="LL3" s="2129"/>
      <c r="LM3" s="2129"/>
      <c r="LN3" s="2129"/>
      <c r="LO3" s="2129"/>
      <c r="LP3" s="2129"/>
      <c r="LQ3" s="2129"/>
      <c r="LR3" s="2129"/>
      <c r="LS3" s="2130"/>
      <c r="LT3" s="2094" t="s">
        <v>328</v>
      </c>
      <c r="LU3" s="2095"/>
      <c r="LV3" s="2096"/>
      <c r="LW3" s="2100" t="s">
        <v>321</v>
      </c>
      <c r="LX3" s="2101"/>
      <c r="LY3" s="2101"/>
      <c r="LZ3" s="2101"/>
      <c r="MA3" s="2104" t="s">
        <v>322</v>
      </c>
      <c r="MB3" s="2106" t="s">
        <v>323</v>
      </c>
    </row>
    <row r="4" spans="1:340" ht="15.75" thickBot="1">
      <c r="A4" s="14">
        <v>1</v>
      </c>
      <c r="B4" s="242"/>
      <c r="C4" s="243"/>
      <c r="D4" s="244"/>
      <c r="E4" s="2074"/>
      <c r="F4" s="245"/>
      <c r="G4" s="589"/>
      <c r="H4" s="589"/>
      <c r="I4" s="589"/>
      <c r="J4" s="2076"/>
      <c r="K4" s="2078"/>
      <c r="L4" s="2108" t="s">
        <v>329</v>
      </c>
      <c r="M4" s="2109"/>
      <c r="N4" s="2109"/>
      <c r="O4" s="2109"/>
      <c r="P4" s="2109"/>
      <c r="Q4" s="2110" t="s">
        <v>330</v>
      </c>
      <c r="R4" s="2112" t="s">
        <v>331</v>
      </c>
      <c r="S4" s="2085"/>
      <c r="T4" s="2086"/>
      <c r="U4" s="2087"/>
      <c r="V4" s="2091"/>
      <c r="W4" s="2092"/>
      <c r="X4" s="2092"/>
      <c r="Y4" s="2093"/>
      <c r="Z4" s="2120"/>
      <c r="AA4" s="2122"/>
      <c r="AC4" s="246" t="s">
        <v>332</v>
      </c>
      <c r="AD4" s="247"/>
      <c r="AE4" s="247"/>
      <c r="AF4" s="247"/>
      <c r="AG4" s="247"/>
      <c r="AH4" s="248"/>
      <c r="AI4" s="248"/>
      <c r="AJ4" s="249" t="s">
        <v>332</v>
      </c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9" t="s">
        <v>332</v>
      </c>
      <c r="BA4" s="249" t="s">
        <v>332</v>
      </c>
      <c r="BB4" s="248"/>
      <c r="BC4" s="248"/>
      <c r="BD4" s="248"/>
      <c r="BE4" s="248"/>
      <c r="BF4" s="248"/>
      <c r="BG4" s="248"/>
      <c r="BH4" s="248"/>
      <c r="BI4" s="248"/>
      <c r="BJ4" s="248"/>
      <c r="BK4" s="248"/>
      <c r="BL4" s="248"/>
      <c r="BM4" s="248"/>
      <c r="BN4" s="248"/>
      <c r="BO4" s="248"/>
      <c r="BP4" s="248"/>
      <c r="BQ4" s="248"/>
      <c r="BR4" s="248"/>
      <c r="BS4" s="248"/>
      <c r="BT4" s="248"/>
      <c r="BU4" s="248"/>
      <c r="BV4" s="248"/>
      <c r="BW4" s="248"/>
      <c r="BX4" s="248"/>
      <c r="BY4" s="248"/>
      <c r="BZ4" s="248"/>
      <c r="CA4" s="248"/>
      <c r="CB4" s="248"/>
      <c r="CC4" s="249" t="s">
        <v>332</v>
      </c>
      <c r="CD4" s="249" t="s">
        <v>332</v>
      </c>
      <c r="CE4" s="248"/>
      <c r="CF4" s="248"/>
      <c r="CG4" s="248"/>
      <c r="CH4" s="248"/>
      <c r="CI4" s="248"/>
      <c r="CJ4" s="248"/>
      <c r="CK4" s="248"/>
      <c r="CL4" s="248"/>
      <c r="CM4" s="250" t="s">
        <v>333</v>
      </c>
      <c r="CN4" s="248"/>
      <c r="CO4" s="248"/>
      <c r="CP4" s="248"/>
      <c r="CQ4" s="248"/>
      <c r="CR4" s="248"/>
      <c r="CS4" s="251" t="s">
        <v>334</v>
      </c>
      <c r="CT4" s="248"/>
      <c r="CU4" s="248"/>
      <c r="CV4" s="248"/>
      <c r="CW4" s="248"/>
      <c r="CX4" s="248"/>
      <c r="CY4" s="249" t="s">
        <v>332</v>
      </c>
      <c r="CZ4" s="248"/>
      <c r="DA4" s="248"/>
      <c r="DB4" s="249" t="s">
        <v>332</v>
      </c>
      <c r="DC4" s="248"/>
      <c r="DD4" s="248"/>
      <c r="DE4" s="249" t="s">
        <v>332</v>
      </c>
      <c r="DF4" s="249" t="s">
        <v>332</v>
      </c>
      <c r="DG4" s="252" t="s">
        <v>333</v>
      </c>
      <c r="DH4" s="248"/>
      <c r="DI4" s="248"/>
      <c r="DJ4" s="248"/>
      <c r="DK4" s="248"/>
      <c r="DL4" s="248"/>
      <c r="DM4" s="248"/>
      <c r="DN4" s="248"/>
      <c r="DO4" s="252" t="s">
        <v>333</v>
      </c>
      <c r="DP4" s="252" t="s">
        <v>333</v>
      </c>
      <c r="DQ4" s="248"/>
      <c r="DR4" s="248"/>
      <c r="DS4" s="248"/>
      <c r="DT4" s="248"/>
      <c r="DU4" s="252" t="s">
        <v>333</v>
      </c>
      <c r="DV4" s="248"/>
      <c r="DW4" s="248"/>
      <c r="DX4" s="248"/>
      <c r="DY4" s="248"/>
      <c r="DZ4" s="248"/>
      <c r="EA4" s="248"/>
      <c r="EB4" s="248"/>
      <c r="EC4" s="248"/>
      <c r="ED4" s="248"/>
      <c r="EE4" s="248"/>
      <c r="EF4" s="248"/>
      <c r="EG4" s="248"/>
      <c r="EH4" s="248"/>
      <c r="EI4" s="248"/>
      <c r="EJ4" s="248"/>
      <c r="EK4" s="248"/>
      <c r="EL4" s="252" t="s">
        <v>333</v>
      </c>
      <c r="EM4" s="252" t="s">
        <v>333</v>
      </c>
      <c r="EN4" s="252" t="s">
        <v>333</v>
      </c>
      <c r="EO4" s="252" t="s">
        <v>333</v>
      </c>
      <c r="EP4" s="252" t="s">
        <v>333</v>
      </c>
      <c r="EQ4" s="248"/>
      <c r="ER4" s="248"/>
      <c r="ES4" s="253" t="s">
        <v>334</v>
      </c>
      <c r="ET4" s="248"/>
      <c r="EU4" s="253" t="s">
        <v>334</v>
      </c>
      <c r="EV4" s="252" t="s">
        <v>333</v>
      </c>
      <c r="EW4" s="253" t="s">
        <v>334</v>
      </c>
      <c r="EX4" s="248"/>
      <c r="EY4" s="253" t="s">
        <v>334</v>
      </c>
      <c r="EZ4" s="252" t="s">
        <v>333</v>
      </c>
      <c r="FA4" s="253" t="s">
        <v>334</v>
      </c>
      <c r="FB4" s="253" t="s">
        <v>334</v>
      </c>
      <c r="FC4" s="248"/>
      <c r="FD4" s="248"/>
      <c r="FE4" s="248"/>
      <c r="FF4" s="248"/>
      <c r="FG4" s="248"/>
      <c r="FH4" s="248"/>
      <c r="FI4" s="248"/>
      <c r="FJ4" s="248"/>
      <c r="FK4" s="248"/>
      <c r="FL4" s="253" t="s">
        <v>334</v>
      </c>
      <c r="FM4" s="253" t="s">
        <v>334</v>
      </c>
      <c r="FN4" s="248"/>
      <c r="FO4" s="248"/>
      <c r="FP4" s="253" t="s">
        <v>334</v>
      </c>
      <c r="FQ4" s="253" t="s">
        <v>334</v>
      </c>
      <c r="FR4" s="253" t="s">
        <v>334</v>
      </c>
      <c r="FS4" s="248"/>
      <c r="FT4" s="248"/>
      <c r="FU4" s="248"/>
      <c r="FV4" s="248"/>
      <c r="FW4" s="248"/>
      <c r="FX4" s="248"/>
      <c r="FY4" s="248"/>
      <c r="FZ4" s="248"/>
      <c r="GA4" s="248"/>
      <c r="GB4" s="248"/>
      <c r="GC4" s="248"/>
      <c r="GD4" s="248"/>
      <c r="GE4" s="248"/>
      <c r="GF4" s="248"/>
      <c r="GG4" s="248"/>
      <c r="GH4" s="254" t="s">
        <v>335</v>
      </c>
      <c r="GI4" s="248"/>
      <c r="GJ4" s="248"/>
      <c r="GK4" s="248"/>
      <c r="GL4" s="248"/>
      <c r="GM4" s="248"/>
      <c r="GN4" s="248"/>
      <c r="GO4" s="248"/>
      <c r="GP4" s="248"/>
      <c r="GQ4" s="248"/>
      <c r="GR4" s="248"/>
      <c r="GS4" s="255"/>
      <c r="GT4" s="248"/>
      <c r="GU4" s="248"/>
      <c r="GV4" s="248"/>
      <c r="GW4" s="248"/>
      <c r="GX4" s="248"/>
      <c r="GY4" s="248"/>
      <c r="GZ4" s="248"/>
      <c r="HA4" s="248"/>
      <c r="HB4" s="248"/>
      <c r="HC4" s="248"/>
      <c r="HD4" s="248"/>
      <c r="HE4" s="248"/>
      <c r="HF4" s="248"/>
      <c r="HG4" s="248"/>
      <c r="HH4" s="248"/>
      <c r="HI4" s="248"/>
      <c r="HJ4" s="248"/>
      <c r="HK4" s="248"/>
      <c r="HL4" s="255"/>
      <c r="HM4" s="253" t="s">
        <v>334</v>
      </c>
      <c r="HN4" s="248"/>
      <c r="HO4" s="253" t="s">
        <v>334</v>
      </c>
      <c r="HP4" s="253" t="s">
        <v>334</v>
      </c>
      <c r="HQ4" s="248"/>
      <c r="HR4" s="253" t="s">
        <v>334</v>
      </c>
      <c r="HS4" s="248"/>
      <c r="HT4" s="253" t="s">
        <v>334</v>
      </c>
      <c r="HU4" s="248"/>
      <c r="HV4" s="253" t="s">
        <v>334</v>
      </c>
      <c r="HW4" s="248"/>
      <c r="HX4" s="253" t="s">
        <v>334</v>
      </c>
      <c r="HY4" s="248"/>
      <c r="HZ4" s="253" t="s">
        <v>334</v>
      </c>
      <c r="IA4" s="248"/>
      <c r="IB4" s="253" t="s">
        <v>334</v>
      </c>
      <c r="IC4" s="248"/>
      <c r="ID4" s="248"/>
      <c r="IE4" s="255"/>
      <c r="IF4" s="255"/>
      <c r="IG4" s="255"/>
      <c r="IH4" s="255"/>
      <c r="II4" s="255"/>
      <c r="IJ4" s="255"/>
      <c r="IK4" s="255"/>
      <c r="IL4" s="255"/>
      <c r="IM4" s="255"/>
      <c r="IN4" s="255"/>
      <c r="IO4" s="255"/>
      <c r="IP4" s="255"/>
      <c r="IQ4" s="248"/>
      <c r="IR4" s="255"/>
      <c r="IS4" s="255"/>
      <c r="IT4" s="255"/>
      <c r="IU4" s="248"/>
      <c r="IV4" s="248"/>
      <c r="IW4" s="248"/>
      <c r="IX4" s="248"/>
      <c r="IY4" s="248"/>
      <c r="IZ4" s="248"/>
      <c r="JA4" s="248"/>
      <c r="JB4" s="248"/>
      <c r="JC4" s="248"/>
      <c r="JD4" s="248"/>
      <c r="JE4" s="248"/>
      <c r="JF4" s="248"/>
      <c r="JG4" s="256" t="s">
        <v>336</v>
      </c>
      <c r="JH4" s="255"/>
      <c r="JI4" s="248"/>
      <c r="JJ4" s="255"/>
      <c r="JK4" s="255"/>
      <c r="JL4" s="255"/>
      <c r="JM4" s="255"/>
      <c r="JN4" s="255"/>
      <c r="JO4" s="255"/>
      <c r="JP4" s="255"/>
      <c r="JQ4" s="255"/>
      <c r="JR4" s="255"/>
      <c r="JS4" s="248"/>
      <c r="JT4" s="257"/>
      <c r="JU4" s="248"/>
      <c r="JV4" s="248"/>
      <c r="JW4" s="248"/>
      <c r="JX4" s="248"/>
      <c r="JY4" s="248"/>
      <c r="JZ4" s="248"/>
      <c r="KA4" s="248"/>
      <c r="KB4" s="248"/>
      <c r="KC4" s="248"/>
      <c r="KD4" s="248"/>
      <c r="KE4" s="248"/>
      <c r="KF4" s="248"/>
      <c r="KG4" s="248"/>
      <c r="KH4" s="248"/>
      <c r="KI4" s="248"/>
      <c r="KJ4" s="248"/>
      <c r="KK4" s="248"/>
      <c r="KL4" s="248"/>
      <c r="KM4" s="248"/>
      <c r="KN4" s="248"/>
      <c r="KO4" s="248"/>
      <c r="KP4" s="248"/>
      <c r="KQ4" s="248"/>
      <c r="KR4" s="248"/>
      <c r="KS4" s="248"/>
      <c r="KT4" s="248"/>
      <c r="KU4" s="248"/>
      <c r="KV4" s="248"/>
      <c r="KW4" s="248"/>
      <c r="KX4" s="248"/>
      <c r="KY4" s="248"/>
      <c r="KZ4" s="248"/>
      <c r="LA4" s="248"/>
      <c r="LB4" s="248"/>
      <c r="LC4" s="248"/>
      <c r="LD4" s="2124"/>
      <c r="LE4" s="2126"/>
      <c r="LF4" s="2128"/>
      <c r="LG4" s="2114" t="s">
        <v>329</v>
      </c>
      <c r="LH4" s="2114"/>
      <c r="LI4" s="2114"/>
      <c r="LJ4" s="2114"/>
      <c r="LK4" s="2114"/>
      <c r="LL4" s="2114"/>
      <c r="LM4" s="2114"/>
      <c r="LN4" s="2114"/>
      <c r="LO4" s="2114"/>
      <c r="LP4" s="2115" t="s">
        <v>337</v>
      </c>
      <c r="LQ4" s="2117" t="s">
        <v>330</v>
      </c>
      <c r="LR4" s="2069" t="s">
        <v>337</v>
      </c>
      <c r="LS4" s="2071" t="s">
        <v>331</v>
      </c>
      <c r="LT4" s="2097"/>
      <c r="LU4" s="2098"/>
      <c r="LV4" s="2099"/>
      <c r="LW4" s="2102"/>
      <c r="LX4" s="2103"/>
      <c r="LY4" s="2103"/>
      <c r="LZ4" s="2103"/>
      <c r="MA4" s="2105"/>
      <c r="MB4" s="2107"/>
    </row>
    <row r="5" spans="1:340" ht="98.25" customHeight="1" thickBot="1">
      <c r="A5" s="14">
        <v>1</v>
      </c>
      <c r="B5" s="258" t="s">
        <v>338</v>
      </c>
      <c r="C5" s="259" t="s">
        <v>339</v>
      </c>
      <c r="D5" s="260" t="s">
        <v>223</v>
      </c>
      <c r="E5" s="2074"/>
      <c r="F5" s="261" t="s">
        <v>316</v>
      </c>
      <c r="G5" s="590" t="s">
        <v>856</v>
      </c>
      <c r="H5" s="590"/>
      <c r="I5" s="590"/>
      <c r="J5" s="2076"/>
      <c r="K5" s="2078"/>
      <c r="L5" s="262" t="s">
        <v>340</v>
      </c>
      <c r="M5" s="263" t="s">
        <v>341</v>
      </c>
      <c r="N5" s="264" t="s">
        <v>342</v>
      </c>
      <c r="O5" s="264" t="s">
        <v>343</v>
      </c>
      <c r="P5" s="265" t="s">
        <v>344</v>
      </c>
      <c r="Q5" s="2111"/>
      <c r="R5" s="2113"/>
      <c r="S5" s="266" t="s">
        <v>345</v>
      </c>
      <c r="T5" s="263" t="s">
        <v>346</v>
      </c>
      <c r="U5" s="267" t="s">
        <v>347</v>
      </c>
      <c r="V5" s="266" t="s">
        <v>348</v>
      </c>
      <c r="W5" s="264" t="s">
        <v>349</v>
      </c>
      <c r="X5" s="263" t="s">
        <v>350</v>
      </c>
      <c r="Y5" s="267" t="s">
        <v>351</v>
      </c>
      <c r="Z5" s="268" t="s">
        <v>352</v>
      </c>
      <c r="AA5" s="269" t="s">
        <v>353</v>
      </c>
      <c r="AC5" s="270" t="s">
        <v>340</v>
      </c>
      <c r="AD5" s="271" t="s">
        <v>354</v>
      </c>
      <c r="AE5" s="272" t="s">
        <v>342</v>
      </c>
      <c r="AF5" s="271" t="s">
        <v>343</v>
      </c>
      <c r="AG5" s="273" t="s">
        <v>344</v>
      </c>
      <c r="AH5" s="274" t="s">
        <v>355</v>
      </c>
      <c r="AI5" s="275" t="s">
        <v>356</v>
      </c>
      <c r="AJ5" s="275" t="s">
        <v>357</v>
      </c>
      <c r="AK5" s="276" t="s">
        <v>358</v>
      </c>
      <c r="AL5" s="276" t="s">
        <v>359</v>
      </c>
      <c r="AM5" s="276" t="s">
        <v>360</v>
      </c>
      <c r="AN5" s="276" t="s">
        <v>361</v>
      </c>
      <c r="AO5" s="276" t="s">
        <v>362</v>
      </c>
      <c r="AP5" s="276" t="s">
        <v>359</v>
      </c>
      <c r="AQ5" s="276" t="s">
        <v>360</v>
      </c>
      <c r="AR5" s="276" t="s">
        <v>361</v>
      </c>
      <c r="AS5" s="276" t="s">
        <v>363</v>
      </c>
      <c r="AT5" s="276" t="s">
        <v>360</v>
      </c>
      <c r="AU5" s="276" t="s">
        <v>361</v>
      </c>
      <c r="AV5" s="276" t="s">
        <v>364</v>
      </c>
      <c r="AW5" s="276" t="s">
        <v>359</v>
      </c>
      <c r="AX5" s="276" t="s">
        <v>365</v>
      </c>
      <c r="AY5" s="276" t="s">
        <v>363</v>
      </c>
      <c r="AZ5" s="275" t="s">
        <v>366</v>
      </c>
      <c r="BA5" s="275" t="s">
        <v>367</v>
      </c>
      <c r="BB5" s="277" t="s">
        <v>368</v>
      </c>
      <c r="BC5" s="277" t="s">
        <v>369</v>
      </c>
      <c r="BD5" s="277" t="s">
        <v>370</v>
      </c>
      <c r="BE5" s="277" t="s">
        <v>371</v>
      </c>
      <c r="BF5" s="277" t="s">
        <v>368</v>
      </c>
      <c r="BG5" s="277" t="s">
        <v>372</v>
      </c>
      <c r="BH5" s="277" t="s">
        <v>373</v>
      </c>
      <c r="BI5" s="277" t="s">
        <v>374</v>
      </c>
      <c r="BJ5" s="277" t="s">
        <v>375</v>
      </c>
      <c r="BK5" s="277" t="s">
        <v>371</v>
      </c>
      <c r="BL5" s="277" t="s">
        <v>368</v>
      </c>
      <c r="BM5" s="277" t="s">
        <v>376</v>
      </c>
      <c r="BN5" s="277" t="s">
        <v>373</v>
      </c>
      <c r="BO5" s="277" t="s">
        <v>374</v>
      </c>
      <c r="BP5" s="277" t="s">
        <v>377</v>
      </c>
      <c r="BQ5" s="277" t="s">
        <v>371</v>
      </c>
      <c r="BR5" s="277" t="s">
        <v>368</v>
      </c>
      <c r="BS5" s="277" t="s">
        <v>378</v>
      </c>
      <c r="BT5" s="277" t="s">
        <v>373</v>
      </c>
      <c r="BU5" s="277" t="s">
        <v>374</v>
      </c>
      <c r="BV5" s="277" t="s">
        <v>379</v>
      </c>
      <c r="BW5" s="277" t="s">
        <v>371</v>
      </c>
      <c r="BX5" s="277" t="s">
        <v>368</v>
      </c>
      <c r="BY5" s="277" t="s">
        <v>380</v>
      </c>
      <c r="BZ5" s="277" t="s">
        <v>373</v>
      </c>
      <c r="CA5" s="277" t="s">
        <v>374</v>
      </c>
      <c r="CB5" s="275" t="s">
        <v>381</v>
      </c>
      <c r="CC5" s="275" t="s">
        <v>382</v>
      </c>
      <c r="CD5" s="275" t="s">
        <v>383</v>
      </c>
      <c r="CE5" s="277" t="s">
        <v>368</v>
      </c>
      <c r="CF5" s="277" t="s">
        <v>369</v>
      </c>
      <c r="CG5" s="277" t="s">
        <v>375</v>
      </c>
      <c r="CH5" s="277" t="s">
        <v>371</v>
      </c>
      <c r="CI5" s="277" t="s">
        <v>368</v>
      </c>
      <c r="CJ5" s="277" t="s">
        <v>380</v>
      </c>
      <c r="CK5" s="277" t="s">
        <v>373</v>
      </c>
      <c r="CL5" s="277" t="s">
        <v>374</v>
      </c>
      <c r="CM5" s="275" t="s">
        <v>384</v>
      </c>
      <c r="CN5" s="277" t="s">
        <v>385</v>
      </c>
      <c r="CO5" s="277" t="s">
        <v>386</v>
      </c>
      <c r="CP5" s="277" t="s">
        <v>387</v>
      </c>
      <c r="CQ5" s="277" t="s">
        <v>388</v>
      </c>
      <c r="CR5" s="277" t="s">
        <v>389</v>
      </c>
      <c r="CS5" s="275" t="s">
        <v>390</v>
      </c>
      <c r="CT5" s="277" t="s">
        <v>391</v>
      </c>
      <c r="CU5" s="277" t="s">
        <v>392</v>
      </c>
      <c r="CV5" s="277" t="s">
        <v>393</v>
      </c>
      <c r="CW5" s="277" t="s">
        <v>394</v>
      </c>
      <c r="CX5" s="277" t="s">
        <v>395</v>
      </c>
      <c r="CY5" s="275" t="s">
        <v>396</v>
      </c>
      <c r="CZ5" s="278" t="s">
        <v>397</v>
      </c>
      <c r="DA5" s="278" t="s">
        <v>398</v>
      </c>
      <c r="DB5" s="275" t="s">
        <v>399</v>
      </c>
      <c r="DC5" s="278" t="s">
        <v>397</v>
      </c>
      <c r="DD5" s="278" t="s">
        <v>398</v>
      </c>
      <c r="DE5" s="275" t="s">
        <v>400</v>
      </c>
      <c r="DF5" s="275" t="s">
        <v>401</v>
      </c>
      <c r="DG5" s="275" t="s">
        <v>402</v>
      </c>
      <c r="DH5" s="278" t="s">
        <v>403</v>
      </c>
      <c r="DI5" s="278" t="s">
        <v>404</v>
      </c>
      <c r="DJ5" s="278" t="s">
        <v>405</v>
      </c>
      <c r="DK5" s="278" t="s">
        <v>406</v>
      </c>
      <c r="DL5" s="278" t="s">
        <v>407</v>
      </c>
      <c r="DM5" s="278" t="s">
        <v>408</v>
      </c>
      <c r="DN5" s="278" t="s">
        <v>409</v>
      </c>
      <c r="DO5" s="275" t="s">
        <v>410</v>
      </c>
      <c r="DP5" s="275" t="s">
        <v>411</v>
      </c>
      <c r="DQ5" s="279" t="s">
        <v>412</v>
      </c>
      <c r="DR5" s="280" t="s">
        <v>413</v>
      </c>
      <c r="DS5" s="279" t="s">
        <v>414</v>
      </c>
      <c r="DT5" s="279" t="s">
        <v>415</v>
      </c>
      <c r="DU5" s="275" t="s">
        <v>416</v>
      </c>
      <c r="DV5" s="281" t="s">
        <v>417</v>
      </c>
      <c r="DW5" s="281" t="s">
        <v>418</v>
      </c>
      <c r="DX5" s="281" t="s">
        <v>419</v>
      </c>
      <c r="DY5" s="282" t="s">
        <v>420</v>
      </c>
      <c r="DZ5" s="282" t="s">
        <v>421</v>
      </c>
      <c r="EA5" s="282" t="s">
        <v>422</v>
      </c>
      <c r="EB5" s="282" t="s">
        <v>423</v>
      </c>
      <c r="EC5" s="281" t="s">
        <v>424</v>
      </c>
      <c r="ED5" s="282" t="s">
        <v>425</v>
      </c>
      <c r="EE5" s="282" t="s">
        <v>426</v>
      </c>
      <c r="EF5" s="282" t="s">
        <v>427</v>
      </c>
      <c r="EG5" s="281" t="s">
        <v>428</v>
      </c>
      <c r="EH5" s="275" t="s">
        <v>429</v>
      </c>
      <c r="EI5" s="277" t="s">
        <v>430</v>
      </c>
      <c r="EJ5" s="277" t="s">
        <v>431</v>
      </c>
      <c r="EK5" s="277" t="s">
        <v>432</v>
      </c>
      <c r="EL5" s="275" t="s">
        <v>433</v>
      </c>
      <c r="EM5" s="275" t="s">
        <v>434</v>
      </c>
      <c r="EN5" s="275" t="s">
        <v>435</v>
      </c>
      <c r="EO5" s="275" t="s">
        <v>436</v>
      </c>
      <c r="EP5" s="275" t="s">
        <v>437</v>
      </c>
      <c r="EQ5" s="283" t="s">
        <v>438</v>
      </c>
      <c r="ER5" s="283" t="s">
        <v>439</v>
      </c>
      <c r="ES5" s="275" t="s">
        <v>440</v>
      </c>
      <c r="ET5" s="275" t="s">
        <v>441</v>
      </c>
      <c r="EU5" s="284" t="s">
        <v>442</v>
      </c>
      <c r="EV5" s="284" t="s">
        <v>443</v>
      </c>
      <c r="EW5" s="275" t="s">
        <v>444</v>
      </c>
      <c r="EX5" s="275" t="s">
        <v>445</v>
      </c>
      <c r="EY5" s="284" t="s">
        <v>446</v>
      </c>
      <c r="EZ5" s="284" t="s">
        <v>447</v>
      </c>
      <c r="FA5" s="284" t="s">
        <v>448</v>
      </c>
      <c r="FB5" s="275" t="s">
        <v>449</v>
      </c>
      <c r="FC5" s="285" t="s">
        <v>450</v>
      </c>
      <c r="FD5" s="285" t="s">
        <v>451</v>
      </c>
      <c r="FE5" s="285" t="s">
        <v>452</v>
      </c>
      <c r="FF5" s="284" t="s">
        <v>453</v>
      </c>
      <c r="FG5" s="278" t="s">
        <v>454</v>
      </c>
      <c r="FH5" s="278" t="s">
        <v>455</v>
      </c>
      <c r="FI5" s="278" t="s">
        <v>456</v>
      </c>
      <c r="FJ5" s="278" t="s">
        <v>457</v>
      </c>
      <c r="FK5" s="278" t="s">
        <v>458</v>
      </c>
      <c r="FL5" s="275" t="s">
        <v>459</v>
      </c>
      <c r="FM5" s="275" t="s">
        <v>460</v>
      </c>
      <c r="FN5" s="286" t="s">
        <v>461</v>
      </c>
      <c r="FO5" s="286" t="s">
        <v>462</v>
      </c>
      <c r="FP5" s="275" t="s">
        <v>463</v>
      </c>
      <c r="FQ5" s="275" t="s">
        <v>351</v>
      </c>
      <c r="FR5" s="275" t="s">
        <v>464</v>
      </c>
      <c r="FS5" s="275" t="s">
        <v>465</v>
      </c>
      <c r="FT5" s="287" t="s">
        <v>466</v>
      </c>
      <c r="FU5" s="286" t="s">
        <v>467</v>
      </c>
      <c r="FV5" s="286" t="s">
        <v>468</v>
      </c>
      <c r="FW5" s="286" t="s">
        <v>469</v>
      </c>
      <c r="FX5" s="286" t="s">
        <v>470</v>
      </c>
      <c r="FY5" s="286" t="s">
        <v>471</v>
      </c>
      <c r="FZ5" s="286" t="s">
        <v>472</v>
      </c>
      <c r="GA5" s="286" t="s">
        <v>473</v>
      </c>
      <c r="GB5" s="278" t="s">
        <v>474</v>
      </c>
      <c r="GC5" s="278" t="s">
        <v>475</v>
      </c>
      <c r="GD5" s="288" t="s">
        <v>476</v>
      </c>
      <c r="GE5" s="288" t="s">
        <v>477</v>
      </c>
      <c r="GF5" s="282" t="s">
        <v>478</v>
      </c>
      <c r="GG5" s="282" t="s">
        <v>479</v>
      </c>
      <c r="GH5" s="287" t="s">
        <v>353</v>
      </c>
      <c r="GI5" s="289" t="s">
        <v>480</v>
      </c>
      <c r="GJ5" s="289" t="s">
        <v>481</v>
      </c>
      <c r="GK5" s="289" t="s">
        <v>482</v>
      </c>
      <c r="GL5" s="289" t="s">
        <v>483</v>
      </c>
      <c r="GM5" s="289" t="s">
        <v>484</v>
      </c>
      <c r="GN5" s="289" t="s">
        <v>485</v>
      </c>
      <c r="GO5" s="289" t="s">
        <v>486</v>
      </c>
      <c r="GP5" s="289" t="s">
        <v>487</v>
      </c>
      <c r="GQ5" s="289" t="s">
        <v>488</v>
      </c>
      <c r="GR5" s="289" t="s">
        <v>488</v>
      </c>
      <c r="GS5" s="275" t="s">
        <v>489</v>
      </c>
      <c r="GT5" s="289" t="s">
        <v>490</v>
      </c>
      <c r="GU5" s="289" t="s">
        <v>491</v>
      </c>
      <c r="GV5" s="289" t="s">
        <v>492</v>
      </c>
      <c r="GW5" s="289" t="s">
        <v>493</v>
      </c>
      <c r="GX5" s="289" t="s">
        <v>494</v>
      </c>
      <c r="GY5" s="289" t="s">
        <v>495</v>
      </c>
      <c r="GZ5" s="289" t="s">
        <v>496</v>
      </c>
      <c r="HA5" s="289" t="s">
        <v>497</v>
      </c>
      <c r="HB5" s="289" t="s">
        <v>498</v>
      </c>
      <c r="HC5" s="289" t="s">
        <v>499</v>
      </c>
      <c r="HD5" s="289" t="s">
        <v>353</v>
      </c>
      <c r="HE5" s="289" t="s">
        <v>500</v>
      </c>
      <c r="HF5" s="289" t="s">
        <v>501</v>
      </c>
      <c r="HG5" s="289" t="s">
        <v>502</v>
      </c>
      <c r="HH5" s="289" t="s">
        <v>432</v>
      </c>
      <c r="HI5" s="289" t="s">
        <v>503</v>
      </c>
      <c r="HJ5" s="289" t="s">
        <v>504</v>
      </c>
      <c r="HK5" s="289" t="s">
        <v>505</v>
      </c>
      <c r="HL5" s="275" t="s">
        <v>506</v>
      </c>
      <c r="HM5" s="290" t="s">
        <v>507</v>
      </c>
      <c r="HN5" s="290" t="s">
        <v>508</v>
      </c>
      <c r="HO5" s="290" t="s">
        <v>509</v>
      </c>
      <c r="HP5" s="290" t="s">
        <v>510</v>
      </c>
      <c r="HQ5" s="290" t="s">
        <v>508</v>
      </c>
      <c r="HR5" s="290" t="s">
        <v>511</v>
      </c>
      <c r="HS5" s="290" t="s">
        <v>508</v>
      </c>
      <c r="HT5" s="290" t="s">
        <v>512</v>
      </c>
      <c r="HU5" s="290" t="s">
        <v>508</v>
      </c>
      <c r="HV5" s="290" t="s">
        <v>513</v>
      </c>
      <c r="HW5" s="290" t="s">
        <v>508</v>
      </c>
      <c r="HX5" s="290" t="s">
        <v>514</v>
      </c>
      <c r="HY5" s="290" t="s">
        <v>508</v>
      </c>
      <c r="HZ5" s="290" t="s">
        <v>515</v>
      </c>
      <c r="IA5" s="290" t="s">
        <v>508</v>
      </c>
      <c r="IB5" s="290" t="s">
        <v>516</v>
      </c>
      <c r="IC5" s="290" t="s">
        <v>508</v>
      </c>
      <c r="ID5" s="275" t="s">
        <v>517</v>
      </c>
      <c r="IE5" s="291" t="s">
        <v>518</v>
      </c>
      <c r="IF5" s="291" t="s">
        <v>519</v>
      </c>
      <c r="IG5" s="291" t="s">
        <v>520</v>
      </c>
      <c r="IH5" s="278" t="s">
        <v>521</v>
      </c>
      <c r="II5" s="286" t="s">
        <v>522</v>
      </c>
      <c r="IJ5" s="286" t="s">
        <v>523</v>
      </c>
      <c r="IK5" s="286" t="s">
        <v>524</v>
      </c>
      <c r="IL5" s="277" t="s">
        <v>525</v>
      </c>
      <c r="IM5" s="277" t="s">
        <v>526</v>
      </c>
      <c r="IN5" s="277" t="s">
        <v>527</v>
      </c>
      <c r="IO5" s="277" t="s">
        <v>528</v>
      </c>
      <c r="IP5" s="277" t="s">
        <v>529</v>
      </c>
      <c r="IQ5" s="275" t="s">
        <v>530</v>
      </c>
      <c r="IR5" s="291" t="s">
        <v>518</v>
      </c>
      <c r="IS5" s="291" t="s">
        <v>519</v>
      </c>
      <c r="IT5" s="291" t="s">
        <v>520</v>
      </c>
      <c r="IU5" s="291" t="s">
        <v>531</v>
      </c>
      <c r="IV5" s="291" t="s">
        <v>532</v>
      </c>
      <c r="IW5" s="291" t="s">
        <v>533</v>
      </c>
      <c r="IX5" s="291" t="s">
        <v>534</v>
      </c>
      <c r="IY5" s="291" t="s">
        <v>535</v>
      </c>
      <c r="IZ5" s="291" t="s">
        <v>536</v>
      </c>
      <c r="JA5" s="291" t="s">
        <v>537</v>
      </c>
      <c r="JB5" s="291" t="s">
        <v>538</v>
      </c>
      <c r="JC5" s="291" t="s">
        <v>539</v>
      </c>
      <c r="JD5" s="291" t="s">
        <v>487</v>
      </c>
      <c r="JE5" s="291" t="s">
        <v>540</v>
      </c>
      <c r="JF5" s="291" t="s">
        <v>541</v>
      </c>
      <c r="JG5" s="292" t="s">
        <v>350</v>
      </c>
      <c r="JH5" s="277" t="s">
        <v>529</v>
      </c>
      <c r="JI5" s="275" t="s">
        <v>542</v>
      </c>
      <c r="JJ5" s="291" t="s">
        <v>518</v>
      </c>
      <c r="JK5" s="291" t="s">
        <v>519</v>
      </c>
      <c r="JL5" s="277" t="s">
        <v>543</v>
      </c>
      <c r="JM5" s="277" t="s">
        <v>544</v>
      </c>
      <c r="JN5" s="293" t="s">
        <v>545</v>
      </c>
      <c r="JO5" s="294" t="s">
        <v>348</v>
      </c>
      <c r="JP5" s="295" t="s">
        <v>546</v>
      </c>
      <c r="JQ5" s="256" t="s">
        <v>350</v>
      </c>
      <c r="JR5" s="296" t="s">
        <v>353</v>
      </c>
      <c r="JS5" s="275" t="s">
        <v>547</v>
      </c>
      <c r="JT5" s="297"/>
      <c r="JU5" s="275" t="s">
        <v>548</v>
      </c>
      <c r="JV5" s="275" t="s">
        <v>549</v>
      </c>
      <c r="JW5" s="275" t="s">
        <v>550</v>
      </c>
      <c r="JX5" s="277" t="s">
        <v>551</v>
      </c>
      <c r="JY5" s="298" t="s">
        <v>552</v>
      </c>
      <c r="JZ5" s="277" t="s">
        <v>553</v>
      </c>
      <c r="KA5" s="299" t="s">
        <v>554</v>
      </c>
      <c r="KB5" s="275" t="s">
        <v>555</v>
      </c>
      <c r="KC5" s="275" t="s">
        <v>556</v>
      </c>
      <c r="KD5" s="275" t="s">
        <v>557</v>
      </c>
      <c r="KE5" s="298" t="s">
        <v>558</v>
      </c>
      <c r="KF5" s="275" t="s">
        <v>559</v>
      </c>
      <c r="KG5" s="298" t="s">
        <v>560</v>
      </c>
      <c r="KH5" s="298" t="s">
        <v>561</v>
      </c>
      <c r="KI5" s="275" t="s">
        <v>562</v>
      </c>
      <c r="KJ5" s="298" t="s">
        <v>560</v>
      </c>
      <c r="KK5" s="298" t="s">
        <v>561</v>
      </c>
      <c r="KL5" s="275" t="s">
        <v>563</v>
      </c>
      <c r="KM5" s="298" t="s">
        <v>560</v>
      </c>
      <c r="KN5" s="298" t="s">
        <v>561</v>
      </c>
      <c r="KO5" s="275" t="s">
        <v>262</v>
      </c>
      <c r="KP5" s="298" t="s">
        <v>560</v>
      </c>
      <c r="KQ5" s="298" t="s">
        <v>561</v>
      </c>
      <c r="KR5" s="275" t="s">
        <v>564</v>
      </c>
      <c r="KS5" s="275" t="s">
        <v>565</v>
      </c>
      <c r="KT5" s="298" t="s">
        <v>566</v>
      </c>
      <c r="KU5" s="298" t="s">
        <v>567</v>
      </c>
      <c r="KV5" s="275" t="s">
        <v>568</v>
      </c>
      <c r="KW5" s="298" t="s">
        <v>569</v>
      </c>
      <c r="KX5" s="298" t="s">
        <v>570</v>
      </c>
      <c r="KY5" s="298" t="s">
        <v>571</v>
      </c>
      <c r="KZ5" s="275" t="s">
        <v>572</v>
      </c>
      <c r="LA5" s="298" t="s">
        <v>573</v>
      </c>
      <c r="LB5" s="298" t="s">
        <v>574</v>
      </c>
      <c r="LC5" s="298" t="s">
        <v>575</v>
      </c>
      <c r="LD5" s="2124"/>
      <c r="LE5" s="2126"/>
      <c r="LF5" s="2128"/>
      <c r="LG5" s="300" t="s">
        <v>340</v>
      </c>
      <c r="LH5" s="301" t="s">
        <v>337</v>
      </c>
      <c r="LI5" s="302" t="s">
        <v>341</v>
      </c>
      <c r="LJ5" s="301" t="s">
        <v>337</v>
      </c>
      <c r="LK5" s="302" t="s">
        <v>342</v>
      </c>
      <c r="LL5" s="301" t="s">
        <v>337</v>
      </c>
      <c r="LM5" s="302" t="s">
        <v>343</v>
      </c>
      <c r="LN5" s="301" t="s">
        <v>337</v>
      </c>
      <c r="LO5" s="302" t="s">
        <v>344</v>
      </c>
      <c r="LP5" s="2116"/>
      <c r="LQ5" s="2118"/>
      <c r="LR5" s="2070"/>
      <c r="LS5" s="2072"/>
      <c r="LT5" s="303" t="s">
        <v>345</v>
      </c>
      <c r="LU5" s="304" t="s">
        <v>346</v>
      </c>
      <c r="LV5" s="305" t="s">
        <v>347</v>
      </c>
      <c r="LW5" s="303" t="s">
        <v>348</v>
      </c>
      <c r="LX5" s="304" t="s">
        <v>349</v>
      </c>
      <c r="LY5" s="304" t="s">
        <v>350</v>
      </c>
      <c r="LZ5" s="306" t="s">
        <v>351</v>
      </c>
      <c r="MA5" s="307" t="s">
        <v>352</v>
      </c>
      <c r="MB5" s="308" t="s">
        <v>353</v>
      </c>
    </row>
    <row r="6" spans="1:340" ht="22.5">
      <c r="A6" s="14">
        <v>1</v>
      </c>
      <c r="B6" s="309"/>
      <c r="C6" s="310"/>
      <c r="D6" s="311"/>
      <c r="E6" s="312"/>
      <c r="F6" s="313"/>
      <c r="G6" s="595">
        <f>J8-G8</f>
        <v>265789.50441253372</v>
      </c>
      <c r="H6" s="596"/>
      <c r="I6" s="596"/>
      <c r="J6" s="314"/>
      <c r="K6" s="314"/>
      <c r="L6" s="315"/>
      <c r="M6" s="316"/>
      <c r="N6" s="317"/>
      <c r="O6" s="317"/>
      <c r="P6" s="318"/>
      <c r="Q6" s="314"/>
      <c r="R6" s="313"/>
      <c r="S6" s="319"/>
      <c r="T6" s="320"/>
      <c r="U6" s="321"/>
      <c r="V6" s="319"/>
      <c r="W6" s="322"/>
      <c r="X6" s="320"/>
      <c r="Y6" s="321"/>
      <c r="Z6" s="315"/>
      <c r="AA6" s="314"/>
      <c r="AC6" s="323" t="s">
        <v>253</v>
      </c>
      <c r="AD6" s="324" t="s">
        <v>253</v>
      </c>
      <c r="AE6" s="324" t="s">
        <v>253</v>
      </c>
      <c r="AF6" s="324" t="s">
        <v>253</v>
      </c>
      <c r="AG6" s="324" t="s">
        <v>253</v>
      </c>
      <c r="AH6" s="277" t="s">
        <v>253</v>
      </c>
      <c r="AI6" s="277" t="s">
        <v>253</v>
      </c>
      <c r="AJ6" s="277" t="s">
        <v>253</v>
      </c>
      <c r="AK6" s="277" t="s">
        <v>253</v>
      </c>
      <c r="AL6" s="277" t="s">
        <v>253</v>
      </c>
      <c r="AM6" s="277" t="s">
        <v>576</v>
      </c>
      <c r="AN6" s="277" t="s">
        <v>286</v>
      </c>
      <c r="AO6" s="277" t="s">
        <v>253</v>
      </c>
      <c r="AP6" s="277" t="s">
        <v>253</v>
      </c>
      <c r="AQ6" s="277" t="s">
        <v>576</v>
      </c>
      <c r="AR6" s="277" t="s">
        <v>286</v>
      </c>
      <c r="AS6" s="277" t="s">
        <v>253</v>
      </c>
      <c r="AT6" s="277" t="s">
        <v>576</v>
      </c>
      <c r="AU6" s="277" t="s">
        <v>286</v>
      </c>
      <c r="AV6" s="277" t="s">
        <v>253</v>
      </c>
      <c r="AW6" s="277" t="s">
        <v>253</v>
      </c>
      <c r="AX6" s="277" t="s">
        <v>253</v>
      </c>
      <c r="AY6" s="277" t="s">
        <v>253</v>
      </c>
      <c r="AZ6" s="277" t="s">
        <v>253</v>
      </c>
      <c r="BA6" s="277" t="s">
        <v>253</v>
      </c>
      <c r="BB6" s="277" t="s">
        <v>577</v>
      </c>
      <c r="BC6" s="277" t="s">
        <v>578</v>
      </c>
      <c r="BD6" s="277" t="s">
        <v>253</v>
      </c>
      <c r="BE6" s="277" t="s">
        <v>579</v>
      </c>
      <c r="BF6" s="277" t="s">
        <v>577</v>
      </c>
      <c r="BG6" s="277" t="s">
        <v>253</v>
      </c>
      <c r="BH6" s="277" t="s">
        <v>580</v>
      </c>
      <c r="BI6" s="277" t="s">
        <v>578</v>
      </c>
      <c r="BJ6" s="277" t="s">
        <v>253</v>
      </c>
      <c r="BK6" s="277" t="s">
        <v>579</v>
      </c>
      <c r="BL6" s="277" t="s">
        <v>577</v>
      </c>
      <c r="BM6" s="277" t="s">
        <v>253</v>
      </c>
      <c r="BN6" s="277" t="s">
        <v>580</v>
      </c>
      <c r="BO6" s="277" t="s">
        <v>578</v>
      </c>
      <c r="BP6" s="277" t="s">
        <v>253</v>
      </c>
      <c r="BQ6" s="277" t="s">
        <v>579</v>
      </c>
      <c r="BR6" s="277" t="s">
        <v>577</v>
      </c>
      <c r="BS6" s="277" t="s">
        <v>253</v>
      </c>
      <c r="BT6" s="277" t="s">
        <v>580</v>
      </c>
      <c r="BU6" s="277" t="s">
        <v>578</v>
      </c>
      <c r="BV6" s="277" t="s">
        <v>253</v>
      </c>
      <c r="BW6" s="277" t="s">
        <v>579</v>
      </c>
      <c r="BX6" s="277" t="s">
        <v>577</v>
      </c>
      <c r="BY6" s="277" t="s">
        <v>253</v>
      </c>
      <c r="BZ6" s="277" t="s">
        <v>580</v>
      </c>
      <c r="CA6" s="277" t="s">
        <v>578</v>
      </c>
      <c r="CB6" s="277" t="s">
        <v>253</v>
      </c>
      <c r="CC6" s="277" t="s">
        <v>253</v>
      </c>
      <c r="CD6" s="277" t="s">
        <v>253</v>
      </c>
      <c r="CE6" s="277" t="s">
        <v>577</v>
      </c>
      <c r="CF6" s="277" t="s">
        <v>578</v>
      </c>
      <c r="CG6" s="277" t="s">
        <v>253</v>
      </c>
      <c r="CH6" s="277" t="s">
        <v>579</v>
      </c>
      <c r="CI6" s="277" t="s">
        <v>577</v>
      </c>
      <c r="CJ6" s="277" t="s">
        <v>253</v>
      </c>
      <c r="CK6" s="277" t="s">
        <v>580</v>
      </c>
      <c r="CL6" s="277" t="s">
        <v>578</v>
      </c>
      <c r="CM6" s="277" t="s">
        <v>253</v>
      </c>
      <c r="CN6" s="277" t="s">
        <v>253</v>
      </c>
      <c r="CO6" s="277" t="s">
        <v>253</v>
      </c>
      <c r="CP6" s="277" t="s">
        <v>253</v>
      </c>
      <c r="CQ6" s="277" t="s">
        <v>253</v>
      </c>
      <c r="CR6" s="277" t="s">
        <v>253</v>
      </c>
      <c r="CS6" s="277" t="s">
        <v>253</v>
      </c>
      <c r="CT6" s="277" t="s">
        <v>253</v>
      </c>
      <c r="CU6" s="277" t="s">
        <v>253</v>
      </c>
      <c r="CV6" s="277" t="s">
        <v>253</v>
      </c>
      <c r="CW6" s="277" t="s">
        <v>253</v>
      </c>
      <c r="CX6" s="277" t="s">
        <v>253</v>
      </c>
      <c r="CY6" s="277" t="s">
        <v>253</v>
      </c>
      <c r="CZ6" s="277" t="s">
        <v>581</v>
      </c>
      <c r="DA6" s="277" t="s">
        <v>582</v>
      </c>
      <c r="DB6" s="277" t="s">
        <v>253</v>
      </c>
      <c r="DC6" s="277" t="s">
        <v>581</v>
      </c>
      <c r="DD6" s="277" t="s">
        <v>582</v>
      </c>
      <c r="DE6" s="277" t="s">
        <v>253</v>
      </c>
      <c r="DF6" s="325" t="s">
        <v>253</v>
      </c>
      <c r="DG6" s="325" t="s">
        <v>253</v>
      </c>
      <c r="DH6" s="325" t="s">
        <v>253</v>
      </c>
      <c r="DI6" s="325" t="s">
        <v>253</v>
      </c>
      <c r="DJ6" s="325" t="s">
        <v>253</v>
      </c>
      <c r="DK6" s="325" t="s">
        <v>253</v>
      </c>
      <c r="DL6" s="325" t="s">
        <v>253</v>
      </c>
      <c r="DM6" s="325" t="s">
        <v>253</v>
      </c>
      <c r="DN6" s="325" t="s">
        <v>253</v>
      </c>
      <c r="DO6" s="325" t="s">
        <v>253</v>
      </c>
      <c r="DP6" s="325" t="s">
        <v>253</v>
      </c>
      <c r="DQ6" s="325" t="s">
        <v>253</v>
      </c>
      <c r="DR6" s="325" t="s">
        <v>253</v>
      </c>
      <c r="DS6" s="325" t="s">
        <v>253</v>
      </c>
      <c r="DT6" s="325" t="s">
        <v>253</v>
      </c>
      <c r="DU6" s="325" t="s">
        <v>253</v>
      </c>
      <c r="DV6" s="325" t="s">
        <v>253</v>
      </c>
      <c r="DW6" s="325" t="s">
        <v>253</v>
      </c>
      <c r="DX6" s="325" t="s">
        <v>253</v>
      </c>
      <c r="DY6" s="325" t="s">
        <v>253</v>
      </c>
      <c r="DZ6" s="277" t="s">
        <v>253</v>
      </c>
      <c r="EA6" s="277" t="s">
        <v>253</v>
      </c>
      <c r="EB6" s="277" t="s">
        <v>253</v>
      </c>
      <c r="EC6" s="277" t="s">
        <v>253</v>
      </c>
      <c r="ED6" s="277" t="s">
        <v>253</v>
      </c>
      <c r="EE6" s="277" t="s">
        <v>253</v>
      </c>
      <c r="EF6" s="277" t="s">
        <v>253</v>
      </c>
      <c r="EG6" s="325" t="s">
        <v>253</v>
      </c>
      <c r="EH6" s="277" t="s">
        <v>253</v>
      </c>
      <c r="EI6" s="277" t="s">
        <v>253</v>
      </c>
      <c r="EJ6" s="277" t="s">
        <v>253</v>
      </c>
      <c r="EK6" s="277" t="s">
        <v>253</v>
      </c>
      <c r="EL6" s="325" t="s">
        <v>253</v>
      </c>
      <c r="EM6" s="325" t="s">
        <v>253</v>
      </c>
      <c r="EN6" s="325" t="s">
        <v>253</v>
      </c>
      <c r="EO6" s="325" t="s">
        <v>253</v>
      </c>
      <c r="EP6" s="325" t="s">
        <v>253</v>
      </c>
      <c r="EQ6" s="325" t="s">
        <v>253</v>
      </c>
      <c r="ER6" s="325" t="s">
        <v>253</v>
      </c>
      <c r="ES6" s="325" t="s">
        <v>253</v>
      </c>
      <c r="ET6" s="325" t="s">
        <v>253</v>
      </c>
      <c r="EU6" s="325" t="s">
        <v>253</v>
      </c>
      <c r="EV6" s="325" t="s">
        <v>253</v>
      </c>
      <c r="EW6" s="325" t="s">
        <v>253</v>
      </c>
      <c r="EX6" s="325" t="s">
        <v>253</v>
      </c>
      <c r="EY6" s="325" t="s">
        <v>253</v>
      </c>
      <c r="EZ6" s="325" t="s">
        <v>253</v>
      </c>
      <c r="FA6" s="325" t="s">
        <v>253</v>
      </c>
      <c r="FB6" s="325" t="s">
        <v>253</v>
      </c>
      <c r="FC6" s="325" t="s">
        <v>253</v>
      </c>
      <c r="FD6" s="325" t="s">
        <v>253</v>
      </c>
      <c r="FE6" s="325" t="s">
        <v>253</v>
      </c>
      <c r="FF6" s="325" t="s">
        <v>253</v>
      </c>
      <c r="FG6" s="325" t="s">
        <v>253</v>
      </c>
      <c r="FH6" s="325" t="s">
        <v>253</v>
      </c>
      <c r="FI6" s="325" t="s">
        <v>253</v>
      </c>
      <c r="FJ6" s="325" t="s">
        <v>253</v>
      </c>
      <c r="FK6" s="325" t="s">
        <v>253</v>
      </c>
      <c r="FL6" s="325" t="s">
        <v>253</v>
      </c>
      <c r="FM6" s="325" t="s">
        <v>253</v>
      </c>
      <c r="FN6" s="325" t="s">
        <v>253</v>
      </c>
      <c r="FO6" s="325" t="s">
        <v>253</v>
      </c>
      <c r="FP6" s="325" t="s">
        <v>253</v>
      </c>
      <c r="FQ6" s="325" t="s">
        <v>253</v>
      </c>
      <c r="FR6" s="325" t="s">
        <v>253</v>
      </c>
      <c r="FS6" s="277" t="s">
        <v>253</v>
      </c>
      <c r="FT6" s="325" t="s">
        <v>253</v>
      </c>
      <c r="FU6" s="325" t="s">
        <v>253</v>
      </c>
      <c r="FV6" s="277" t="s">
        <v>253</v>
      </c>
      <c r="FW6" s="277" t="s">
        <v>253</v>
      </c>
      <c r="FX6" s="277" t="s">
        <v>253</v>
      </c>
      <c r="FY6" s="277" t="s">
        <v>253</v>
      </c>
      <c r="FZ6" s="325" t="s">
        <v>253</v>
      </c>
      <c r="GA6" s="325" t="s">
        <v>253</v>
      </c>
      <c r="GB6" s="325" t="s">
        <v>253</v>
      </c>
      <c r="GC6" s="325" t="s">
        <v>253</v>
      </c>
      <c r="GD6" s="277" t="s">
        <v>253</v>
      </c>
      <c r="GE6" s="277" t="s">
        <v>253</v>
      </c>
      <c r="GF6" s="277" t="s">
        <v>253</v>
      </c>
      <c r="GG6" s="277" t="s">
        <v>253</v>
      </c>
      <c r="GH6" s="325" t="s">
        <v>253</v>
      </c>
      <c r="GI6" s="325" t="s">
        <v>253</v>
      </c>
      <c r="GJ6" s="325" t="s">
        <v>583</v>
      </c>
      <c r="GK6" s="325" t="s">
        <v>253</v>
      </c>
      <c r="GL6" s="325" t="s">
        <v>583</v>
      </c>
      <c r="GM6" s="325" t="s">
        <v>253</v>
      </c>
      <c r="GN6" s="325" t="s">
        <v>253</v>
      </c>
      <c r="GO6" s="325" t="s">
        <v>583</v>
      </c>
      <c r="GP6" s="325" t="s">
        <v>583</v>
      </c>
      <c r="GQ6" s="325" t="s">
        <v>253</v>
      </c>
      <c r="GR6" s="325" t="s">
        <v>583</v>
      </c>
      <c r="GS6" s="326"/>
      <c r="GT6" s="325" t="s">
        <v>253</v>
      </c>
      <c r="GU6" s="325" t="s">
        <v>253</v>
      </c>
      <c r="GV6" s="325" t="s">
        <v>253</v>
      </c>
      <c r="GW6" s="325" t="s">
        <v>253</v>
      </c>
      <c r="GX6" s="325" t="s">
        <v>253</v>
      </c>
      <c r="GY6" s="325" t="s">
        <v>253</v>
      </c>
      <c r="GZ6" s="325" t="s">
        <v>253</v>
      </c>
      <c r="HA6" s="325" t="s">
        <v>253</v>
      </c>
      <c r="HB6" s="325" t="s">
        <v>253</v>
      </c>
      <c r="HC6" s="325" t="s">
        <v>253</v>
      </c>
      <c r="HD6" s="325" t="s">
        <v>253</v>
      </c>
      <c r="HE6" s="325" t="s">
        <v>253</v>
      </c>
      <c r="HF6" s="325" t="s">
        <v>253</v>
      </c>
      <c r="HG6" s="325" t="s">
        <v>253</v>
      </c>
      <c r="HH6" s="325" t="s">
        <v>253</v>
      </c>
      <c r="HI6" s="325" t="s">
        <v>253</v>
      </c>
      <c r="HJ6" s="325" t="s">
        <v>253</v>
      </c>
      <c r="HK6" s="325" t="s">
        <v>253</v>
      </c>
      <c r="HL6" s="326"/>
      <c r="HM6" s="325" t="s">
        <v>253</v>
      </c>
      <c r="HN6" s="325" t="s">
        <v>253</v>
      </c>
      <c r="HO6" s="325" t="s">
        <v>253</v>
      </c>
      <c r="HP6" s="277" t="s">
        <v>253</v>
      </c>
      <c r="HQ6" s="277" t="s">
        <v>253</v>
      </c>
      <c r="HR6" s="277" t="s">
        <v>253</v>
      </c>
      <c r="HS6" s="277" t="s">
        <v>253</v>
      </c>
      <c r="HT6" s="277" t="s">
        <v>253</v>
      </c>
      <c r="HU6" s="277" t="s">
        <v>253</v>
      </c>
      <c r="HV6" s="277" t="s">
        <v>253</v>
      </c>
      <c r="HW6" s="277" t="s">
        <v>253</v>
      </c>
      <c r="HX6" s="277" t="s">
        <v>253</v>
      </c>
      <c r="HY6" s="277" t="s">
        <v>253</v>
      </c>
      <c r="HZ6" s="277" t="s">
        <v>253</v>
      </c>
      <c r="IA6" s="277" t="s">
        <v>253</v>
      </c>
      <c r="IB6" s="277" t="s">
        <v>253</v>
      </c>
      <c r="IC6" s="277" t="s">
        <v>253</v>
      </c>
      <c r="ID6" s="327"/>
      <c r="IE6" s="277" t="s">
        <v>583</v>
      </c>
      <c r="IF6" s="277" t="s">
        <v>583</v>
      </c>
      <c r="IG6" s="277" t="s">
        <v>583</v>
      </c>
      <c r="IH6" s="325" t="s">
        <v>253</v>
      </c>
      <c r="II6" s="325" t="s">
        <v>253</v>
      </c>
      <c r="IJ6" s="325" t="s">
        <v>253</v>
      </c>
      <c r="IK6" s="325" t="s">
        <v>253</v>
      </c>
      <c r="IL6" s="277" t="s">
        <v>253</v>
      </c>
      <c r="IM6" s="277" t="s">
        <v>253</v>
      </c>
      <c r="IN6" s="277" t="s">
        <v>253</v>
      </c>
      <c r="IO6" s="277" t="s">
        <v>253</v>
      </c>
      <c r="IP6" s="277" t="s">
        <v>253</v>
      </c>
      <c r="IQ6" s="327"/>
      <c r="IR6" s="277" t="s">
        <v>583</v>
      </c>
      <c r="IS6" s="277" t="s">
        <v>583</v>
      </c>
      <c r="IT6" s="277" t="s">
        <v>583</v>
      </c>
      <c r="IU6" s="328" t="s">
        <v>253</v>
      </c>
      <c r="IV6" s="328" t="s">
        <v>253</v>
      </c>
      <c r="IW6" s="328" t="s">
        <v>584</v>
      </c>
      <c r="IX6" s="328" t="s">
        <v>253</v>
      </c>
      <c r="IY6" s="328" t="s">
        <v>253</v>
      </c>
      <c r="IZ6" s="328" t="s">
        <v>583</v>
      </c>
      <c r="JA6" s="328" t="s">
        <v>253</v>
      </c>
      <c r="JB6" s="328" t="s">
        <v>253</v>
      </c>
      <c r="JC6" s="328" t="s">
        <v>583</v>
      </c>
      <c r="JD6" s="328" t="s">
        <v>583</v>
      </c>
      <c r="JE6" s="328" t="s">
        <v>583</v>
      </c>
      <c r="JF6" s="328" t="s">
        <v>583</v>
      </c>
      <c r="JG6" s="277" t="s">
        <v>253</v>
      </c>
      <c r="JH6" s="277" t="s">
        <v>253</v>
      </c>
      <c r="JI6" s="327"/>
      <c r="JJ6" s="277" t="s">
        <v>583</v>
      </c>
      <c r="JK6" s="277" t="s">
        <v>583</v>
      </c>
      <c r="JL6" s="277" t="s">
        <v>253</v>
      </c>
      <c r="JM6" s="277" t="s">
        <v>253</v>
      </c>
      <c r="JN6" s="328" t="s">
        <v>253</v>
      </c>
      <c r="JO6" s="328" t="s">
        <v>253</v>
      </c>
      <c r="JP6" s="328" t="s">
        <v>253</v>
      </c>
      <c r="JQ6" s="328" t="s">
        <v>253</v>
      </c>
      <c r="JR6" s="328" t="s">
        <v>253</v>
      </c>
      <c r="JS6" s="277" t="s">
        <v>253</v>
      </c>
      <c r="JT6" s="329"/>
      <c r="JU6" s="277" t="s">
        <v>253</v>
      </c>
      <c r="JV6" s="277" t="s">
        <v>253</v>
      </c>
      <c r="JW6" s="277" t="s">
        <v>253</v>
      </c>
      <c r="JX6" s="277" t="s">
        <v>252</v>
      </c>
      <c r="JY6" s="277" t="s">
        <v>252</v>
      </c>
      <c r="JZ6" s="277"/>
      <c r="KA6" s="277" t="s">
        <v>252</v>
      </c>
      <c r="KB6" s="277" t="s">
        <v>583</v>
      </c>
      <c r="KC6" s="277" t="s">
        <v>253</v>
      </c>
      <c r="KD6" s="277" t="s">
        <v>253</v>
      </c>
      <c r="KE6" s="277" t="s">
        <v>252</v>
      </c>
      <c r="KF6" s="277" t="s">
        <v>253</v>
      </c>
      <c r="KG6" s="277" t="s">
        <v>585</v>
      </c>
      <c r="KH6" s="277" t="s">
        <v>252</v>
      </c>
      <c r="KI6" s="277" t="s">
        <v>253</v>
      </c>
      <c r="KJ6" s="277" t="s">
        <v>585</v>
      </c>
      <c r="KK6" s="277" t="s">
        <v>252</v>
      </c>
      <c r="KL6" s="277" t="s">
        <v>253</v>
      </c>
      <c r="KM6" s="277" t="s">
        <v>585</v>
      </c>
      <c r="KN6" s="277" t="s">
        <v>252</v>
      </c>
      <c r="KO6" s="277" t="s">
        <v>253</v>
      </c>
      <c r="KP6" s="277" t="s">
        <v>585</v>
      </c>
      <c r="KQ6" s="277" t="s">
        <v>252</v>
      </c>
      <c r="KR6" s="326"/>
      <c r="KS6" s="326"/>
      <c r="KT6" s="277" t="s">
        <v>253</v>
      </c>
      <c r="KU6" s="277" t="s">
        <v>583</v>
      </c>
      <c r="KV6" s="326"/>
      <c r="KW6" s="277" t="s">
        <v>253</v>
      </c>
      <c r="KX6" s="277" t="s">
        <v>586</v>
      </c>
      <c r="KY6" s="277" t="s">
        <v>586</v>
      </c>
      <c r="KZ6" s="326"/>
      <c r="LA6" s="277" t="s">
        <v>252</v>
      </c>
      <c r="LB6" s="277" t="s">
        <v>587</v>
      </c>
      <c r="LC6" s="277" t="s">
        <v>588</v>
      </c>
      <c r="LD6" s="312"/>
      <c r="LE6" s="314"/>
      <c r="LF6" s="330"/>
      <c r="LG6" s="318"/>
      <c r="LH6" s="331"/>
      <c r="LI6" s="332"/>
      <c r="LJ6" s="331"/>
      <c r="LK6" s="332"/>
      <c r="LL6" s="331"/>
      <c r="LM6" s="332"/>
      <c r="LN6" s="331"/>
      <c r="LO6" s="332"/>
      <c r="LP6" s="331"/>
      <c r="LQ6" s="332"/>
      <c r="LR6" s="331"/>
      <c r="LS6" s="332"/>
      <c r="LT6" s="333"/>
      <c r="LU6" s="334"/>
      <c r="LV6" s="335"/>
      <c r="LW6" s="333"/>
      <c r="LX6" s="334"/>
      <c r="LY6" s="334"/>
      <c r="LZ6" s="336"/>
      <c r="MA6" s="314"/>
      <c r="MB6" s="313"/>
    </row>
    <row r="7" spans="1:340" ht="15.75" thickBot="1">
      <c r="A7" s="14">
        <v>1</v>
      </c>
      <c r="B7" s="337"/>
      <c r="C7" s="338"/>
      <c r="D7" s="339"/>
      <c r="E7" s="340">
        <f>E8/J8</f>
        <v>1.18670216143857</v>
      </c>
      <c r="F7" s="341"/>
      <c r="G7" s="591"/>
      <c r="H7" s="591"/>
      <c r="I7" s="591"/>
      <c r="J7" s="342">
        <f>JS8</f>
        <v>7248625.2881854139</v>
      </c>
      <c r="K7" s="343"/>
      <c r="L7" s="344"/>
      <c r="M7" s="345"/>
      <c r="N7" s="346"/>
      <c r="O7" s="346"/>
      <c r="P7" s="347"/>
      <c r="Q7" s="343"/>
      <c r="R7" s="341"/>
      <c r="S7" s="337"/>
      <c r="T7" s="348"/>
      <c r="U7" s="349"/>
      <c r="V7" s="337"/>
      <c r="W7" s="350"/>
      <c r="X7" s="348"/>
      <c r="Y7" s="349"/>
      <c r="Z7" s="344"/>
      <c r="AA7" s="343"/>
      <c r="AC7" s="351" t="s">
        <v>589</v>
      </c>
      <c r="AD7" s="352" t="s">
        <v>590</v>
      </c>
      <c r="AE7" s="352" t="s">
        <v>591</v>
      </c>
      <c r="AF7" s="352" t="s">
        <v>592</v>
      </c>
      <c r="AG7" s="352" t="s">
        <v>593</v>
      </c>
      <c r="AH7" s="275" t="s">
        <v>594</v>
      </c>
      <c r="AI7" s="275" t="s">
        <v>595</v>
      </c>
      <c r="AJ7" s="275" t="s">
        <v>596</v>
      </c>
      <c r="AK7" s="299" t="s">
        <v>597</v>
      </c>
      <c r="AL7" s="299" t="s">
        <v>598</v>
      </c>
      <c r="AM7" s="299" t="s">
        <v>599</v>
      </c>
      <c r="AN7" s="299" t="s">
        <v>600</v>
      </c>
      <c r="AO7" s="299" t="s">
        <v>601</v>
      </c>
      <c r="AP7" s="299" t="s">
        <v>602</v>
      </c>
      <c r="AQ7" s="299" t="s">
        <v>603</v>
      </c>
      <c r="AR7" s="299" t="s">
        <v>604</v>
      </c>
      <c r="AS7" s="299" t="s">
        <v>605</v>
      </c>
      <c r="AT7" s="299" t="s">
        <v>606</v>
      </c>
      <c r="AU7" s="299" t="s">
        <v>607</v>
      </c>
      <c r="AV7" s="299" t="s">
        <v>608</v>
      </c>
      <c r="AW7" s="299" t="s">
        <v>609</v>
      </c>
      <c r="AX7" s="299" t="s">
        <v>610</v>
      </c>
      <c r="AY7" s="299" t="s">
        <v>611</v>
      </c>
      <c r="AZ7" s="275" t="s">
        <v>612</v>
      </c>
      <c r="BA7" s="275" t="s">
        <v>613</v>
      </c>
      <c r="BB7" s="277" t="s">
        <v>614</v>
      </c>
      <c r="BC7" s="277" t="s">
        <v>615</v>
      </c>
      <c r="BD7" s="277" t="s">
        <v>616</v>
      </c>
      <c r="BE7" s="277" t="s">
        <v>617</v>
      </c>
      <c r="BF7" s="277" t="s">
        <v>618</v>
      </c>
      <c r="BG7" s="277" t="s">
        <v>619</v>
      </c>
      <c r="BH7" s="277" t="s">
        <v>620</v>
      </c>
      <c r="BI7" s="277" t="s">
        <v>621</v>
      </c>
      <c r="BJ7" s="277" t="s">
        <v>622</v>
      </c>
      <c r="BK7" s="277" t="s">
        <v>623</v>
      </c>
      <c r="BL7" s="277" t="s">
        <v>624</v>
      </c>
      <c r="BM7" s="277" t="s">
        <v>625</v>
      </c>
      <c r="BN7" s="277" t="s">
        <v>626</v>
      </c>
      <c r="BO7" s="277" t="s">
        <v>627</v>
      </c>
      <c r="BP7" s="277" t="s">
        <v>628</v>
      </c>
      <c r="BQ7" s="277" t="s">
        <v>629</v>
      </c>
      <c r="BR7" s="277" t="s">
        <v>630</v>
      </c>
      <c r="BS7" s="277" t="s">
        <v>631</v>
      </c>
      <c r="BT7" s="277" t="s">
        <v>632</v>
      </c>
      <c r="BU7" s="277" t="s">
        <v>633</v>
      </c>
      <c r="BV7" s="277" t="s">
        <v>634</v>
      </c>
      <c r="BW7" s="277" t="s">
        <v>635</v>
      </c>
      <c r="BX7" s="277" t="s">
        <v>636</v>
      </c>
      <c r="BY7" s="277" t="s">
        <v>637</v>
      </c>
      <c r="BZ7" s="277" t="s">
        <v>638</v>
      </c>
      <c r="CA7" s="277" t="s">
        <v>639</v>
      </c>
      <c r="CB7" s="275" t="s">
        <v>640</v>
      </c>
      <c r="CC7" s="275" t="s">
        <v>641</v>
      </c>
      <c r="CD7" s="275" t="s">
        <v>642</v>
      </c>
      <c r="CE7" s="277" t="s">
        <v>643</v>
      </c>
      <c r="CF7" s="277" t="s">
        <v>644</v>
      </c>
      <c r="CG7" s="277" t="s">
        <v>645</v>
      </c>
      <c r="CH7" s="277" t="s">
        <v>646</v>
      </c>
      <c r="CI7" s="277" t="s">
        <v>647</v>
      </c>
      <c r="CJ7" s="277" t="s">
        <v>648</v>
      </c>
      <c r="CK7" s="277" t="s">
        <v>649</v>
      </c>
      <c r="CL7" s="277" t="s">
        <v>650</v>
      </c>
      <c r="CM7" s="275" t="s">
        <v>651</v>
      </c>
      <c r="CN7" s="277" t="s">
        <v>652</v>
      </c>
      <c r="CO7" s="277" t="s">
        <v>653</v>
      </c>
      <c r="CP7" s="277" t="s">
        <v>654</v>
      </c>
      <c r="CQ7" s="277" t="s">
        <v>655</v>
      </c>
      <c r="CR7" s="277" t="s">
        <v>656</v>
      </c>
      <c r="CS7" s="275" t="s">
        <v>657</v>
      </c>
      <c r="CT7" s="277" t="s">
        <v>658</v>
      </c>
      <c r="CU7" s="277" t="s">
        <v>659</v>
      </c>
      <c r="CV7" s="277" t="s">
        <v>660</v>
      </c>
      <c r="CW7" s="277" t="s">
        <v>661</v>
      </c>
      <c r="CX7" s="277" t="s">
        <v>662</v>
      </c>
      <c r="CY7" s="275" t="s">
        <v>663</v>
      </c>
      <c r="CZ7" s="286" t="s">
        <v>664</v>
      </c>
      <c r="DA7" s="286" t="s">
        <v>665</v>
      </c>
      <c r="DB7" s="275" t="s">
        <v>666</v>
      </c>
      <c r="DC7" s="286" t="s">
        <v>667</v>
      </c>
      <c r="DD7" s="286" t="s">
        <v>668</v>
      </c>
      <c r="DE7" s="275" t="s">
        <v>669</v>
      </c>
      <c r="DF7" s="275" t="s">
        <v>670</v>
      </c>
      <c r="DG7" s="275" t="s">
        <v>671</v>
      </c>
      <c r="DH7" s="353" t="s">
        <v>672</v>
      </c>
      <c r="DI7" s="353" t="s">
        <v>673</v>
      </c>
      <c r="DJ7" s="353" t="s">
        <v>674</v>
      </c>
      <c r="DK7" s="353" t="s">
        <v>675</v>
      </c>
      <c r="DL7" s="353" t="s">
        <v>676</v>
      </c>
      <c r="DM7" s="353" t="s">
        <v>677</v>
      </c>
      <c r="DN7" s="353" t="s">
        <v>678</v>
      </c>
      <c r="DO7" s="275" t="s">
        <v>679</v>
      </c>
      <c r="DP7" s="275" t="s">
        <v>680</v>
      </c>
      <c r="DQ7" s="353" t="s">
        <v>681</v>
      </c>
      <c r="DR7" s="353" t="s">
        <v>682</v>
      </c>
      <c r="DS7" s="353" t="s">
        <v>683</v>
      </c>
      <c r="DT7" s="353" t="s">
        <v>684</v>
      </c>
      <c r="DU7" s="275" t="s">
        <v>685</v>
      </c>
      <c r="DV7" s="353" t="s">
        <v>686</v>
      </c>
      <c r="DW7" s="353" t="s">
        <v>687</v>
      </c>
      <c r="DX7" s="353" t="s">
        <v>688</v>
      </c>
      <c r="DY7" s="353" t="s">
        <v>689</v>
      </c>
      <c r="DZ7" s="353" t="s">
        <v>690</v>
      </c>
      <c r="EA7" s="353" t="s">
        <v>691</v>
      </c>
      <c r="EB7" s="353" t="s">
        <v>692</v>
      </c>
      <c r="EC7" s="353" t="s">
        <v>693</v>
      </c>
      <c r="ED7" s="353" t="s">
        <v>694</v>
      </c>
      <c r="EE7" s="353" t="s">
        <v>695</v>
      </c>
      <c r="EF7" s="353" t="s">
        <v>696</v>
      </c>
      <c r="EG7" s="353" t="s">
        <v>697</v>
      </c>
      <c r="EH7" s="354" t="s">
        <v>698</v>
      </c>
      <c r="EI7" s="355" t="s">
        <v>699</v>
      </c>
      <c r="EJ7" s="355" t="s">
        <v>700</v>
      </c>
      <c r="EK7" s="355" t="s">
        <v>701</v>
      </c>
      <c r="EL7" s="275" t="s">
        <v>702</v>
      </c>
      <c r="EM7" s="275" t="s">
        <v>703</v>
      </c>
      <c r="EN7" s="275" t="s">
        <v>704</v>
      </c>
      <c r="EO7" s="275" t="s">
        <v>705</v>
      </c>
      <c r="EP7" s="275" t="s">
        <v>706</v>
      </c>
      <c r="EQ7" s="353" t="s">
        <v>707</v>
      </c>
      <c r="ER7" s="353" t="s">
        <v>708</v>
      </c>
      <c r="ES7" s="275" t="s">
        <v>709</v>
      </c>
      <c r="ET7" s="275" t="s">
        <v>710</v>
      </c>
      <c r="EU7" s="353" t="s">
        <v>711</v>
      </c>
      <c r="EV7" s="353" t="s">
        <v>712</v>
      </c>
      <c r="EW7" s="275" t="s">
        <v>713</v>
      </c>
      <c r="EX7" s="275" t="s">
        <v>714</v>
      </c>
      <c r="EY7" s="353" t="s">
        <v>715</v>
      </c>
      <c r="EZ7" s="353" t="s">
        <v>716</v>
      </c>
      <c r="FA7" s="353" t="s">
        <v>717</v>
      </c>
      <c r="FB7" s="275" t="s">
        <v>718</v>
      </c>
      <c r="FC7" s="353" t="s">
        <v>719</v>
      </c>
      <c r="FD7" s="353" t="s">
        <v>720</v>
      </c>
      <c r="FE7" s="353" t="s">
        <v>721</v>
      </c>
      <c r="FF7" s="353" t="s">
        <v>722</v>
      </c>
      <c r="FG7" s="353" t="s">
        <v>723</v>
      </c>
      <c r="FH7" s="353" t="s">
        <v>724</v>
      </c>
      <c r="FI7" s="353" t="s">
        <v>725</v>
      </c>
      <c r="FJ7" s="353" t="s">
        <v>726</v>
      </c>
      <c r="FK7" s="353" t="s">
        <v>727</v>
      </c>
      <c r="FL7" s="275" t="s">
        <v>728</v>
      </c>
      <c r="FM7" s="275" t="s">
        <v>729</v>
      </c>
      <c r="FN7" s="353" t="s">
        <v>730</v>
      </c>
      <c r="FO7" s="353" t="s">
        <v>731</v>
      </c>
      <c r="FP7" s="275" t="s">
        <v>732</v>
      </c>
      <c r="FQ7" s="275" t="s">
        <v>733</v>
      </c>
      <c r="FR7" s="275" t="s">
        <v>734</v>
      </c>
      <c r="FS7" s="275" t="s">
        <v>735</v>
      </c>
      <c r="FT7" s="275" t="s">
        <v>736</v>
      </c>
      <c r="FU7" s="353" t="s">
        <v>737</v>
      </c>
      <c r="FV7" s="353" t="s">
        <v>738</v>
      </c>
      <c r="FW7" s="353" t="s">
        <v>739</v>
      </c>
      <c r="FX7" s="353" t="s">
        <v>740</v>
      </c>
      <c r="FY7" s="353" t="s">
        <v>741</v>
      </c>
      <c r="FZ7" s="353" t="s">
        <v>742</v>
      </c>
      <c r="GA7" s="353" t="s">
        <v>743</v>
      </c>
      <c r="GB7" s="353" t="s">
        <v>744</v>
      </c>
      <c r="GC7" s="353" t="s">
        <v>745</v>
      </c>
      <c r="GD7" s="275" t="s">
        <v>746</v>
      </c>
      <c r="GE7" s="275" t="s">
        <v>747</v>
      </c>
      <c r="GF7" s="353" t="s">
        <v>748</v>
      </c>
      <c r="GG7" s="353" t="s">
        <v>749</v>
      </c>
      <c r="GH7" s="356" t="s">
        <v>750</v>
      </c>
      <c r="GI7" s="357" t="s">
        <v>751</v>
      </c>
      <c r="GJ7" s="357" t="s">
        <v>752</v>
      </c>
      <c r="GK7" s="357" t="s">
        <v>753</v>
      </c>
      <c r="GL7" s="357" t="s">
        <v>754</v>
      </c>
      <c r="GM7" s="357" t="s">
        <v>755</v>
      </c>
      <c r="GN7" s="357" t="s">
        <v>756</v>
      </c>
      <c r="GO7" s="357" t="s">
        <v>757</v>
      </c>
      <c r="GP7" s="357" t="s">
        <v>758</v>
      </c>
      <c r="GQ7" s="357" t="s">
        <v>759</v>
      </c>
      <c r="GR7" s="357" t="s">
        <v>760</v>
      </c>
      <c r="GS7" s="356"/>
      <c r="GT7" s="357" t="s">
        <v>761</v>
      </c>
      <c r="GU7" s="357" t="s">
        <v>762</v>
      </c>
      <c r="GV7" s="357" t="s">
        <v>763</v>
      </c>
      <c r="GW7" s="357" t="s">
        <v>764</v>
      </c>
      <c r="GX7" s="357" t="s">
        <v>765</v>
      </c>
      <c r="GY7" s="357" t="s">
        <v>766</v>
      </c>
      <c r="GZ7" s="357" t="s">
        <v>767</v>
      </c>
      <c r="HA7" s="357" t="s">
        <v>768</v>
      </c>
      <c r="HB7" s="357" t="s">
        <v>769</v>
      </c>
      <c r="HC7" s="357" t="s">
        <v>770</v>
      </c>
      <c r="HD7" s="357" t="s">
        <v>771</v>
      </c>
      <c r="HE7" s="357" t="s">
        <v>772</v>
      </c>
      <c r="HF7" s="357" t="s">
        <v>773</v>
      </c>
      <c r="HG7" s="357" t="s">
        <v>774</v>
      </c>
      <c r="HH7" s="357" t="s">
        <v>775</v>
      </c>
      <c r="HI7" s="357" t="s">
        <v>776</v>
      </c>
      <c r="HJ7" s="357" t="s">
        <v>777</v>
      </c>
      <c r="HK7" s="357" t="s">
        <v>778</v>
      </c>
      <c r="HL7" s="275"/>
      <c r="HM7" s="328" t="s">
        <v>779</v>
      </c>
      <c r="HN7" s="358" t="s">
        <v>780</v>
      </c>
      <c r="HO7" s="328" t="s">
        <v>781</v>
      </c>
      <c r="HP7" s="328" t="s">
        <v>782</v>
      </c>
      <c r="HQ7" s="358" t="s">
        <v>783</v>
      </c>
      <c r="HR7" s="328" t="s">
        <v>784</v>
      </c>
      <c r="HS7" s="358" t="s">
        <v>785</v>
      </c>
      <c r="HT7" s="328" t="s">
        <v>786</v>
      </c>
      <c r="HU7" s="358" t="s">
        <v>787</v>
      </c>
      <c r="HV7" s="328" t="s">
        <v>788</v>
      </c>
      <c r="HW7" s="358" t="s">
        <v>789</v>
      </c>
      <c r="HX7" s="328" t="s">
        <v>790</v>
      </c>
      <c r="HY7" s="358" t="s">
        <v>791</v>
      </c>
      <c r="HZ7" s="328" t="s">
        <v>792</v>
      </c>
      <c r="IA7" s="358" t="s">
        <v>793</v>
      </c>
      <c r="IB7" s="328" t="s">
        <v>794</v>
      </c>
      <c r="IC7" s="358" t="s">
        <v>795</v>
      </c>
      <c r="ID7" s="328"/>
      <c r="IE7" s="328" t="s">
        <v>796</v>
      </c>
      <c r="IF7" s="328" t="s">
        <v>797</v>
      </c>
      <c r="IG7" s="328" t="s">
        <v>798</v>
      </c>
      <c r="IH7" s="328" t="s">
        <v>799</v>
      </c>
      <c r="II7" s="328" t="s">
        <v>800</v>
      </c>
      <c r="IJ7" s="328" t="s">
        <v>801</v>
      </c>
      <c r="IK7" s="328" t="s">
        <v>802</v>
      </c>
      <c r="IL7" s="328" t="s">
        <v>803</v>
      </c>
      <c r="IM7" s="328" t="s">
        <v>804</v>
      </c>
      <c r="IN7" s="328" t="s">
        <v>805</v>
      </c>
      <c r="IO7" s="328" t="s">
        <v>806</v>
      </c>
      <c r="IP7" s="328" t="s">
        <v>807</v>
      </c>
      <c r="IQ7" s="328"/>
      <c r="IR7" s="359" t="s">
        <v>808</v>
      </c>
      <c r="IS7" s="359" t="s">
        <v>809</v>
      </c>
      <c r="IT7" s="359" t="s">
        <v>810</v>
      </c>
      <c r="IU7" s="359" t="s">
        <v>809</v>
      </c>
      <c r="IV7" s="359" t="s">
        <v>811</v>
      </c>
      <c r="IW7" s="359" t="s">
        <v>812</v>
      </c>
      <c r="IX7" s="359" t="s">
        <v>810</v>
      </c>
      <c r="IY7" s="359" t="s">
        <v>813</v>
      </c>
      <c r="IZ7" s="359" t="s">
        <v>814</v>
      </c>
      <c r="JA7" s="359" t="s">
        <v>815</v>
      </c>
      <c r="JB7" s="359" t="s">
        <v>816</v>
      </c>
      <c r="JC7" s="359" t="s">
        <v>817</v>
      </c>
      <c r="JD7" s="359" t="s">
        <v>818</v>
      </c>
      <c r="JE7" s="359" t="s">
        <v>819</v>
      </c>
      <c r="JF7" s="359" t="s">
        <v>820</v>
      </c>
      <c r="JG7" s="359" t="s">
        <v>821</v>
      </c>
      <c r="JH7" s="359" t="s">
        <v>822</v>
      </c>
      <c r="JI7" s="328"/>
      <c r="JJ7" s="359" t="s">
        <v>823</v>
      </c>
      <c r="JK7" s="359" t="s">
        <v>824</v>
      </c>
      <c r="JL7" s="359" t="s">
        <v>825</v>
      </c>
      <c r="JM7" s="359" t="s">
        <v>826</v>
      </c>
      <c r="JN7" s="293" t="s">
        <v>333</v>
      </c>
      <c r="JO7" s="294" t="s">
        <v>334</v>
      </c>
      <c r="JP7" s="295" t="s">
        <v>332</v>
      </c>
      <c r="JQ7" s="256" t="s">
        <v>336</v>
      </c>
      <c r="JR7" s="296" t="s">
        <v>335</v>
      </c>
      <c r="JS7" s="275" t="s">
        <v>827</v>
      </c>
      <c r="JT7" s="297"/>
      <c r="JU7" s="275" t="s">
        <v>828</v>
      </c>
      <c r="JV7" s="275" t="s">
        <v>829</v>
      </c>
      <c r="JW7" s="275" t="s">
        <v>830</v>
      </c>
      <c r="JX7" s="355" t="s">
        <v>831</v>
      </c>
      <c r="JY7" s="355" t="s">
        <v>832</v>
      </c>
      <c r="JZ7" s="355" t="s">
        <v>833</v>
      </c>
      <c r="KA7" s="355" t="s">
        <v>834</v>
      </c>
      <c r="KB7" s="355" t="s">
        <v>835</v>
      </c>
      <c r="KC7" s="277" t="s">
        <v>836</v>
      </c>
      <c r="KD7" s="298" t="s">
        <v>837</v>
      </c>
      <c r="KE7" s="298" t="s">
        <v>838</v>
      </c>
      <c r="KF7" s="298" t="s">
        <v>839</v>
      </c>
      <c r="KG7" s="277" t="s">
        <v>840</v>
      </c>
      <c r="KH7" s="277" t="s">
        <v>841</v>
      </c>
      <c r="KI7" s="298" t="s">
        <v>842</v>
      </c>
      <c r="KJ7" s="277" t="s">
        <v>843</v>
      </c>
      <c r="KK7" s="277" t="s">
        <v>844</v>
      </c>
      <c r="KL7" s="298" t="s">
        <v>845</v>
      </c>
      <c r="KM7" s="277" t="s">
        <v>846</v>
      </c>
      <c r="KN7" s="277" t="s">
        <v>847</v>
      </c>
      <c r="KO7" s="298" t="s">
        <v>848</v>
      </c>
      <c r="KP7" s="277" t="s">
        <v>849</v>
      </c>
      <c r="KQ7" s="277" t="s">
        <v>850</v>
      </c>
      <c r="KR7" s="328"/>
      <c r="KS7" s="328"/>
      <c r="KT7" s="355"/>
      <c r="KU7" s="355"/>
      <c r="KV7" s="328"/>
      <c r="KW7" s="355"/>
      <c r="KX7" s="355"/>
      <c r="KY7" s="355"/>
      <c r="KZ7" s="328"/>
      <c r="LA7" s="355"/>
      <c r="LB7" s="355"/>
      <c r="LC7" s="355"/>
      <c r="LD7" s="340">
        <f>LD8/LE8</f>
        <v>1.1867071746581233</v>
      </c>
      <c r="LE7" s="342">
        <f>VT8</f>
        <v>0</v>
      </c>
      <c r="LF7" s="360"/>
      <c r="LG7" s="347"/>
      <c r="LH7" s="361"/>
      <c r="LI7" s="362"/>
      <c r="LJ7" s="361"/>
      <c r="LK7" s="362"/>
      <c r="LL7" s="361"/>
      <c r="LM7" s="362"/>
      <c r="LN7" s="361"/>
      <c r="LO7" s="362"/>
      <c r="LP7" s="361"/>
      <c r="LQ7" s="362"/>
      <c r="LR7" s="361"/>
      <c r="LS7" s="362"/>
      <c r="LT7" s="363"/>
      <c r="LU7" s="364"/>
      <c r="LV7" s="365"/>
      <c r="LW7" s="363"/>
      <c r="LX7" s="364"/>
      <c r="LY7" s="364"/>
      <c r="LZ7" s="366"/>
      <c r="MA7" s="343"/>
      <c r="MB7" s="341"/>
    </row>
    <row r="8" spans="1:340" s="398" customFormat="1" ht="16.5" customHeight="1" thickTop="1" thickBot="1">
      <c r="A8" s="367">
        <v>1</v>
      </c>
      <c r="B8" s="368" t="s">
        <v>851</v>
      </c>
      <c r="C8" s="369" t="s">
        <v>852</v>
      </c>
      <c r="D8" s="370"/>
      <c r="E8" s="371">
        <f>SUM(E11:E53)</f>
        <v>8601959.2969479077</v>
      </c>
      <c r="F8" s="372" t="s">
        <v>227</v>
      </c>
      <c r="G8" s="371">
        <f>SUM(G11:G53)</f>
        <v>6982835.7837728802</v>
      </c>
      <c r="H8" s="371">
        <f>SUM(H11:H53)</f>
        <v>1619123.5131750286</v>
      </c>
      <c r="I8" s="371"/>
      <c r="J8" s="371">
        <f t="shared" ref="J8:AA8" si="0">SUM(J11:J53)</f>
        <v>7248625.2881854139</v>
      </c>
      <c r="K8" s="371">
        <f t="shared" si="0"/>
        <v>4758733.3663866781</v>
      </c>
      <c r="L8" s="373">
        <f t="shared" si="0"/>
        <v>3605765.2948596599</v>
      </c>
      <c r="M8" s="374">
        <f t="shared" si="0"/>
        <v>3552686.0171593991</v>
      </c>
      <c r="N8" s="375">
        <f t="shared" si="0"/>
        <v>8190.2746446587971</v>
      </c>
      <c r="O8" s="375">
        <f t="shared" si="0"/>
        <v>6393.3530556021515</v>
      </c>
      <c r="P8" s="376">
        <f t="shared" si="0"/>
        <v>38495.65</v>
      </c>
      <c r="Q8" s="371">
        <f t="shared" si="0"/>
        <v>1090924.6927155252</v>
      </c>
      <c r="R8" s="376">
        <f t="shared" si="0"/>
        <v>62043.378811492148</v>
      </c>
      <c r="S8" s="373">
        <f t="shared" si="0"/>
        <v>1434450.5470150607</v>
      </c>
      <c r="T8" s="373">
        <f t="shared" si="0"/>
        <v>915163.91925146396</v>
      </c>
      <c r="U8" s="371">
        <f t="shared" si="0"/>
        <v>519286.62776359648</v>
      </c>
      <c r="V8" s="373">
        <f t="shared" si="0"/>
        <v>907567.30210981308</v>
      </c>
      <c r="W8" s="373">
        <f t="shared" si="0"/>
        <v>277663.82898318995</v>
      </c>
      <c r="X8" s="373">
        <f t="shared" si="0"/>
        <v>400538.71388044988</v>
      </c>
      <c r="Y8" s="371">
        <f t="shared" si="0"/>
        <v>229364.75924617323</v>
      </c>
      <c r="Z8" s="373">
        <f t="shared" si="0"/>
        <v>63996.710439830422</v>
      </c>
      <c r="AA8" s="371">
        <f t="shared" si="0"/>
        <v>83877.362234032073</v>
      </c>
      <c r="AB8" s="96"/>
      <c r="AC8" s="377">
        <v>3605765.2948596599</v>
      </c>
      <c r="AD8" s="378">
        <v>3552686.0171593991</v>
      </c>
      <c r="AE8" s="378">
        <v>8190.2746446587971</v>
      </c>
      <c r="AF8" s="378">
        <v>6393.3530556021515</v>
      </c>
      <c r="AG8" s="379">
        <v>38495.65</v>
      </c>
      <c r="AH8" s="380">
        <v>1090924.6927155252</v>
      </c>
      <c r="AI8" s="381">
        <v>1090229.3280455451</v>
      </c>
      <c r="AJ8" s="381">
        <v>590992.16097854672</v>
      </c>
      <c r="AK8" s="381">
        <v>89203.989733837108</v>
      </c>
      <c r="AL8" s="381">
        <v>89203.989733837108</v>
      </c>
      <c r="AM8" s="381">
        <v>368.59811999999999</v>
      </c>
      <c r="AN8" s="382">
        <v>242.00880279540522</v>
      </c>
      <c r="AO8" s="381">
        <v>501788.17124470964</v>
      </c>
      <c r="AP8" s="381">
        <v>17794.736693439969</v>
      </c>
      <c r="AQ8" s="381">
        <v>11.14</v>
      </c>
      <c r="AR8" s="382">
        <v>1597.3731322657063</v>
      </c>
      <c r="AS8" s="381">
        <v>483993.43455126963</v>
      </c>
      <c r="AT8" s="381">
        <v>336.64200000000005</v>
      </c>
      <c r="AU8" s="382">
        <v>1437.7095981822517</v>
      </c>
      <c r="AV8" s="381">
        <v>0</v>
      </c>
      <c r="AW8" s="381">
        <v>0</v>
      </c>
      <c r="AX8" s="381">
        <v>0</v>
      </c>
      <c r="AY8" s="381">
        <v>0</v>
      </c>
      <c r="AZ8" s="381">
        <v>3007.8829999999994</v>
      </c>
      <c r="BA8" s="381">
        <v>496229.28406699828</v>
      </c>
      <c r="BB8" s="381">
        <v>86383.553266509538</v>
      </c>
      <c r="BC8" s="381">
        <v>0</v>
      </c>
      <c r="BD8" s="381">
        <v>37032.236601019446</v>
      </c>
      <c r="BE8" s="381">
        <v>7.7487189151218843</v>
      </c>
      <c r="BF8" s="381">
        <v>4779.1431082562303</v>
      </c>
      <c r="BG8" s="381">
        <v>0</v>
      </c>
      <c r="BH8" s="381">
        <v>0</v>
      </c>
      <c r="BI8" s="381">
        <v>0</v>
      </c>
      <c r="BJ8" s="381">
        <v>457720.63916317886</v>
      </c>
      <c r="BK8" s="381">
        <v>5.6317628802272379</v>
      </c>
      <c r="BL8" s="381">
        <v>81274.842158253319</v>
      </c>
      <c r="BM8" s="381">
        <v>0</v>
      </c>
      <c r="BN8" s="381">
        <v>0</v>
      </c>
      <c r="BO8" s="381">
        <v>0</v>
      </c>
      <c r="BP8" s="381">
        <v>337.64073999999999</v>
      </c>
      <c r="BQ8" s="381">
        <v>4.8441999999999998</v>
      </c>
      <c r="BR8" s="381">
        <v>69.7</v>
      </c>
      <c r="BS8" s="381">
        <v>0</v>
      </c>
      <c r="BT8" s="381">
        <v>0</v>
      </c>
      <c r="BU8" s="381">
        <v>0</v>
      </c>
      <c r="BV8" s="381">
        <v>1138.7675628000002</v>
      </c>
      <c r="BW8" s="381">
        <v>4.3821000000000003</v>
      </c>
      <c r="BX8" s="381">
        <v>259.86799999999999</v>
      </c>
      <c r="BY8" s="381">
        <v>0</v>
      </c>
      <c r="BZ8" s="381">
        <v>0</v>
      </c>
      <c r="CA8" s="381">
        <v>0</v>
      </c>
      <c r="CB8" s="381">
        <v>695.36466998000003</v>
      </c>
      <c r="CC8" s="381">
        <v>0</v>
      </c>
      <c r="CD8" s="381">
        <v>695.36466998000003</v>
      </c>
      <c r="CE8" s="381">
        <v>63.158200000000001</v>
      </c>
      <c r="CF8" s="381">
        <v>16.481999999999999</v>
      </c>
      <c r="CG8" s="381">
        <v>619.95457538000005</v>
      </c>
      <c r="CH8" s="381">
        <v>9.815900000000001</v>
      </c>
      <c r="CI8" s="381">
        <v>63.158200000000001</v>
      </c>
      <c r="CJ8" s="381">
        <v>75.410094599999994</v>
      </c>
      <c r="CK8" s="381">
        <v>4.5752999999999995</v>
      </c>
      <c r="CL8" s="381">
        <v>16.481999999999999</v>
      </c>
      <c r="CM8" s="381">
        <v>915163.91925146396</v>
      </c>
      <c r="CN8" s="381">
        <v>837639.74120722373</v>
      </c>
      <c r="CO8" s="381">
        <v>0</v>
      </c>
      <c r="CP8" s="381">
        <v>22330.495133060365</v>
      </c>
      <c r="CQ8" s="381">
        <v>55193.682911180025</v>
      </c>
      <c r="CR8" s="381">
        <v>0</v>
      </c>
      <c r="CS8" s="381">
        <v>277663.82898318995</v>
      </c>
      <c r="CT8" s="381">
        <v>254231.95544342932</v>
      </c>
      <c r="CU8" s="381">
        <v>0</v>
      </c>
      <c r="CV8" s="381">
        <v>6759.669430584232</v>
      </c>
      <c r="CW8" s="381">
        <v>16672.204109176368</v>
      </c>
      <c r="CX8" s="381">
        <v>0</v>
      </c>
      <c r="CY8" s="381">
        <v>55904.89054178146</v>
      </c>
      <c r="CZ8" s="383"/>
      <c r="DA8" s="381">
        <v>3294.2859255665076</v>
      </c>
      <c r="DB8" s="381">
        <v>758.83476172149369</v>
      </c>
      <c r="DC8" s="383"/>
      <c r="DD8" s="381">
        <v>45.328133695671518</v>
      </c>
      <c r="DE8" s="381">
        <v>5379.6535079891983</v>
      </c>
      <c r="DF8" s="381">
        <v>0</v>
      </c>
      <c r="DG8" s="381">
        <v>253995.28877741538</v>
      </c>
      <c r="DH8" s="381">
        <v>51189.855304368728</v>
      </c>
      <c r="DI8" s="381">
        <v>0</v>
      </c>
      <c r="DJ8" s="381">
        <v>184494.53792136666</v>
      </c>
      <c r="DK8" s="381">
        <v>13729.83</v>
      </c>
      <c r="DL8" s="381">
        <v>0</v>
      </c>
      <c r="DM8" s="381">
        <v>0</v>
      </c>
      <c r="DN8" s="381">
        <v>4581.0655516799998</v>
      </c>
      <c r="DO8" s="381">
        <v>0</v>
      </c>
      <c r="DP8" s="381">
        <v>124376.36355837766</v>
      </c>
      <c r="DQ8" s="381">
        <v>0</v>
      </c>
      <c r="DR8" s="381">
        <v>0</v>
      </c>
      <c r="DS8" s="381">
        <v>0</v>
      </c>
      <c r="DT8" s="381">
        <v>124376.36355837766</v>
      </c>
      <c r="DU8" s="381">
        <v>101788.98650878662</v>
      </c>
      <c r="DV8" s="381">
        <v>7779.5960814526852</v>
      </c>
      <c r="DW8" s="381">
        <v>15182.2692626968</v>
      </c>
      <c r="DX8" s="381">
        <v>4526.9262154652806</v>
      </c>
      <c r="DY8" s="381">
        <v>17.332000000000001</v>
      </c>
      <c r="DZ8" s="381">
        <v>1872.0536091304</v>
      </c>
      <c r="EA8" s="381">
        <v>2140.2972091140082</v>
      </c>
      <c r="EB8" s="381">
        <v>0</v>
      </c>
      <c r="EC8" s="381">
        <v>0</v>
      </c>
      <c r="ED8" s="381">
        <v>2480.8098190264495</v>
      </c>
      <c r="EE8" s="381">
        <v>0</v>
      </c>
      <c r="EF8" s="381">
        <v>0</v>
      </c>
      <c r="EG8" s="381">
        <v>67789.702311901041</v>
      </c>
      <c r="EH8" s="381">
        <v>27166.136827615232</v>
      </c>
      <c r="EI8" s="381">
        <v>3005.3109856680348</v>
      </c>
      <c r="EJ8" s="381">
        <v>15508.914139156675</v>
      </c>
      <c r="EK8" s="381">
        <v>8651.9117027905195</v>
      </c>
      <c r="EL8" s="381">
        <v>564.2541355674507</v>
      </c>
      <c r="EM8" s="381">
        <v>2166.6104209401983</v>
      </c>
      <c r="EN8" s="381">
        <v>0</v>
      </c>
      <c r="EO8" s="381">
        <v>269.62</v>
      </c>
      <c r="EP8" s="381">
        <v>20972.630014591839</v>
      </c>
      <c r="EQ8" s="381">
        <v>4638.0948772992033</v>
      </c>
      <c r="ER8" s="381">
        <v>16334.535137292642</v>
      </c>
      <c r="ES8" s="381">
        <v>33644.634121359217</v>
      </c>
      <c r="ET8" s="381">
        <v>29249.95919216211</v>
      </c>
      <c r="EU8" s="381">
        <v>14097.084844244686</v>
      </c>
      <c r="EV8" s="381">
        <v>15152.874347917425</v>
      </c>
      <c r="EW8" s="381">
        <v>153.19999999999999</v>
      </c>
      <c r="EX8" s="381">
        <v>0</v>
      </c>
      <c r="EY8" s="381">
        <v>0</v>
      </c>
      <c r="EZ8" s="381">
        <v>0</v>
      </c>
      <c r="FA8" s="381">
        <v>0</v>
      </c>
      <c r="FB8" s="381">
        <v>97718.233214991982</v>
      </c>
      <c r="FC8" s="381">
        <v>2452.1275189806452</v>
      </c>
      <c r="FD8" s="381">
        <v>6040.8535999999876</v>
      </c>
      <c r="FE8" s="381">
        <v>468.17499999999995</v>
      </c>
      <c r="FF8" s="381">
        <v>88757.077096011359</v>
      </c>
      <c r="FG8" s="381">
        <v>71432.715999999185</v>
      </c>
      <c r="FH8" s="381">
        <v>152.12036308855889</v>
      </c>
      <c r="FI8" s="381">
        <v>1139.2779999999998</v>
      </c>
      <c r="FJ8" s="381">
        <v>11165.25</v>
      </c>
      <c r="FK8" s="381">
        <v>4867.7127329236173</v>
      </c>
      <c r="FL8" s="381">
        <v>13789.057040199999</v>
      </c>
      <c r="FM8" s="381">
        <v>400538.71388044988</v>
      </c>
      <c r="FN8" s="381">
        <v>399777.38840044988</v>
      </c>
      <c r="FO8" s="381">
        <v>761.3254800000002</v>
      </c>
      <c r="FP8" s="381">
        <v>11783.577200148757</v>
      </c>
      <c r="FQ8" s="381">
        <v>51732.393252430295</v>
      </c>
      <c r="FR8" s="381">
        <v>6446.5795727983486</v>
      </c>
      <c r="FS8" s="384">
        <v>7100751.2155115502</v>
      </c>
      <c r="FT8" s="381">
        <v>0</v>
      </c>
      <c r="FU8" s="381">
        <v>0</v>
      </c>
      <c r="FV8" s="381">
        <v>0</v>
      </c>
      <c r="FW8" s="381">
        <v>0</v>
      </c>
      <c r="FX8" s="381">
        <v>0</v>
      </c>
      <c r="FY8" s="381">
        <v>0</v>
      </c>
      <c r="FZ8" s="381">
        <v>0</v>
      </c>
      <c r="GA8" s="381">
        <v>0</v>
      </c>
      <c r="GB8" s="381">
        <v>0</v>
      </c>
      <c r="GC8" s="381">
        <v>0</v>
      </c>
      <c r="GD8" s="381">
        <v>0</v>
      </c>
      <c r="GE8" s="381">
        <v>0</v>
      </c>
      <c r="GF8" s="381">
        <v>0</v>
      </c>
      <c r="GG8" s="381">
        <v>0</v>
      </c>
      <c r="GH8" s="381">
        <v>83877.362234032073</v>
      </c>
      <c r="GI8" s="381">
        <v>63481.314831279095</v>
      </c>
      <c r="GJ8" s="383"/>
      <c r="GK8" s="381">
        <v>20396.047402752982</v>
      </c>
      <c r="GL8" s="383"/>
      <c r="GM8" s="381">
        <v>483196.90000000008</v>
      </c>
      <c r="GN8" s="381">
        <v>304.32380000000001</v>
      </c>
      <c r="GO8" s="383"/>
      <c r="GP8" s="383"/>
      <c r="GQ8" s="381">
        <v>0</v>
      </c>
      <c r="GR8" s="383"/>
      <c r="GS8" s="383"/>
      <c r="GT8" s="381">
        <v>483196.90000000008</v>
      </c>
      <c r="GU8" s="381">
        <v>13425.4</v>
      </c>
      <c r="GV8" s="381">
        <v>51333.9</v>
      </c>
      <c r="GW8" s="381">
        <v>0</v>
      </c>
      <c r="GX8" s="381">
        <v>418437.60000000009</v>
      </c>
      <c r="GY8" s="381">
        <v>0</v>
      </c>
      <c r="GZ8" s="381">
        <v>483196.9</v>
      </c>
      <c r="HA8" s="381">
        <v>218715.60000000003</v>
      </c>
      <c r="HB8" s="381">
        <v>0</v>
      </c>
      <c r="HC8" s="381">
        <v>0</v>
      </c>
      <c r="HD8" s="381">
        <v>0</v>
      </c>
      <c r="HE8" s="381">
        <v>83030.250000000015</v>
      </c>
      <c r="HF8" s="381">
        <v>2250</v>
      </c>
      <c r="HG8" s="381">
        <v>25426.750000000004</v>
      </c>
      <c r="HH8" s="381">
        <v>0</v>
      </c>
      <c r="HI8" s="381">
        <v>141547.10000000003</v>
      </c>
      <c r="HJ8" s="381">
        <v>0</v>
      </c>
      <c r="HK8" s="381">
        <v>12227.200000000003</v>
      </c>
      <c r="HL8" s="385"/>
      <c r="HM8" s="385"/>
      <c r="HN8" s="385"/>
      <c r="HO8" s="385"/>
      <c r="HP8" s="385"/>
      <c r="HQ8" s="385"/>
      <c r="HR8" s="385"/>
      <c r="HS8" s="385"/>
      <c r="HT8" s="385"/>
      <c r="HU8" s="385"/>
      <c r="HV8" s="385"/>
      <c r="HW8" s="385"/>
      <c r="HX8" s="385"/>
      <c r="HY8" s="385"/>
      <c r="HZ8" s="385"/>
      <c r="IA8" s="385"/>
      <c r="IB8" s="385"/>
      <c r="IC8" s="385"/>
      <c r="ID8" s="385"/>
      <c r="IE8" s="385"/>
      <c r="IF8" s="385"/>
      <c r="IG8" s="385"/>
      <c r="IH8" s="385"/>
      <c r="II8" s="385"/>
      <c r="IJ8" s="385"/>
      <c r="IK8" s="385"/>
      <c r="IL8" s="385"/>
      <c r="IM8" s="385"/>
      <c r="IN8" s="385"/>
      <c r="IO8" s="385"/>
      <c r="IP8" s="385"/>
      <c r="IQ8" s="385"/>
      <c r="IR8" s="385"/>
      <c r="IS8" s="385"/>
      <c r="IT8" s="385"/>
      <c r="IU8" s="385"/>
      <c r="IV8" s="385"/>
      <c r="IW8" s="385"/>
      <c r="IX8" s="385"/>
      <c r="IY8" s="385"/>
      <c r="IZ8" s="385"/>
      <c r="JA8" s="385"/>
      <c r="JB8" s="385"/>
      <c r="JC8" s="385"/>
      <c r="JD8" s="385"/>
      <c r="JE8" s="385"/>
      <c r="JF8" s="385"/>
      <c r="JG8" s="385"/>
      <c r="JH8" s="385"/>
      <c r="JI8" s="385"/>
      <c r="JJ8" s="385"/>
      <c r="JK8" s="385"/>
      <c r="JL8" s="385"/>
      <c r="JM8" s="385"/>
      <c r="JN8" s="381">
        <v>1434450.5470150607</v>
      </c>
      <c r="JO8" s="381">
        <v>907567.3021098132</v>
      </c>
      <c r="JP8" s="381">
        <v>4758733.3663866781</v>
      </c>
      <c r="JQ8" s="381">
        <v>0</v>
      </c>
      <c r="JR8" s="381">
        <v>83877.362234032073</v>
      </c>
      <c r="JS8" s="384">
        <v>7248625.2881854139</v>
      </c>
      <c r="JT8" s="386">
        <f>SUM(JT11:JT53)</f>
        <v>63996.710439830422</v>
      </c>
      <c r="JU8" s="381">
        <v>8601959.2969479077</v>
      </c>
      <c r="JV8" s="381">
        <v>6508764.7584093772</v>
      </c>
      <c r="JW8" s="381">
        <v>7714126.6612166641</v>
      </c>
      <c r="JX8" s="381">
        <v>5071358.0136845252</v>
      </c>
      <c r="JY8" s="381">
        <v>4641349.7236845251</v>
      </c>
      <c r="JZ8" s="387">
        <v>0.73639809960315694</v>
      </c>
      <c r="KA8" s="381">
        <v>3734538.4036845248</v>
      </c>
      <c r="KB8" s="388">
        <v>1.1812463173023504</v>
      </c>
      <c r="KC8" s="381">
        <v>24.019526732164877</v>
      </c>
      <c r="KD8" s="381">
        <v>6508740.738882646</v>
      </c>
      <c r="KE8" s="381">
        <v>4641349.7236845251</v>
      </c>
      <c r="KF8" s="381">
        <v>609317.77564359992</v>
      </c>
      <c r="KG8" s="387">
        <v>671.93446112207766</v>
      </c>
      <c r="KH8" s="381">
        <v>906811.32</v>
      </c>
      <c r="KI8" s="381">
        <v>1135778.2886742922</v>
      </c>
      <c r="KJ8" s="387">
        <v>1835.6529727075131</v>
      </c>
      <c r="KK8" s="381">
        <v>618732.57394564373</v>
      </c>
      <c r="KL8" s="381">
        <v>4204139.2463961029</v>
      </c>
      <c r="KM8" s="387">
        <v>1567.2064869399535</v>
      </c>
      <c r="KN8" s="381">
        <v>2682568.8136378815</v>
      </c>
      <c r="KO8" s="381">
        <v>559505.42816864944</v>
      </c>
      <c r="KP8" s="387">
        <v>1291.4534247420186</v>
      </c>
      <c r="KQ8" s="381">
        <v>433237.01610099996</v>
      </c>
      <c r="KR8" s="385"/>
      <c r="KS8" s="385"/>
      <c r="KT8" s="381">
        <v>7089072.0539300004</v>
      </c>
      <c r="KU8" s="385"/>
      <c r="KV8" s="385"/>
      <c r="KW8" s="381">
        <v>3035185.3256399999</v>
      </c>
      <c r="KX8" s="381">
        <v>1190.9450101000002</v>
      </c>
      <c r="KY8" s="381">
        <v>245.444211</v>
      </c>
      <c r="KZ8" s="385"/>
      <c r="LA8" s="381">
        <v>969232.321</v>
      </c>
      <c r="LB8" s="389">
        <v>459966</v>
      </c>
      <c r="LC8" s="389">
        <v>18.052</v>
      </c>
      <c r="LD8" s="371">
        <f>SUM(LD11:LD53)</f>
        <v>8866751.3561650608</v>
      </c>
      <c r="LE8" s="371">
        <f>SUM(LE11:LE53)</f>
        <v>7471726.425450718</v>
      </c>
      <c r="LF8" s="390">
        <f>SUM(LF11:LF53)</f>
        <v>4907868.582117049</v>
      </c>
      <c r="LG8" s="376">
        <f>SUM(LG11:LG53)</f>
        <v>3714236.4111925294</v>
      </c>
      <c r="LH8" s="391"/>
      <c r="LI8" s="392">
        <f>SUM(LI11:LI53)</f>
        <v>3659266.5976741812</v>
      </c>
      <c r="LJ8" s="391"/>
      <c r="LK8" s="392">
        <f>SUM(LK11:LK53)</f>
        <v>8509.6953558004898</v>
      </c>
      <c r="LL8" s="391"/>
      <c r="LM8" s="392">
        <f>SUM(LM11:LM53)</f>
        <v>6617.1204125482263</v>
      </c>
      <c r="LN8" s="391"/>
      <c r="LO8" s="392">
        <f>SUM(LO11:LO53)</f>
        <v>39842.997749999995</v>
      </c>
      <c r="LP8" s="391"/>
      <c r="LQ8" s="392">
        <f>SUM(LQ11:LQ53)</f>
        <v>1129107.0569605681</v>
      </c>
      <c r="LR8" s="391"/>
      <c r="LS8" s="392">
        <f t="shared" ref="LS8:MB8" si="1">SUM(LS11:LS53)</f>
        <v>64525.113963951837</v>
      </c>
      <c r="LT8" s="393">
        <f t="shared" si="1"/>
        <v>1475490.1771651616</v>
      </c>
      <c r="LU8" s="394">
        <f t="shared" si="1"/>
        <v>941346.75898124848</v>
      </c>
      <c r="LV8" s="395">
        <f t="shared" si="1"/>
        <v>534143.41818391287</v>
      </c>
      <c r="LW8" s="393">
        <f t="shared" si="1"/>
        <v>937557.88581645396</v>
      </c>
      <c r="LX8" s="394">
        <f t="shared" si="1"/>
        <v>285607.79113039892</v>
      </c>
      <c r="LY8" s="394">
        <f t="shared" si="1"/>
        <v>414557.56886626547</v>
      </c>
      <c r="LZ8" s="396">
        <f t="shared" si="1"/>
        <v>237392.52581978933</v>
      </c>
      <c r="MA8" s="371">
        <f t="shared" si="1"/>
        <v>63996.710439830422</v>
      </c>
      <c r="MB8" s="397">
        <f t="shared" si="1"/>
        <v>86813.069912223189</v>
      </c>
    </row>
    <row r="9" spans="1:340" s="432" customFormat="1" ht="16.5" customHeight="1" thickTop="1" thickBot="1">
      <c r="A9" s="14">
        <v>1</v>
      </c>
      <c r="B9" s="399"/>
      <c r="C9" s="400" t="s">
        <v>853</v>
      </c>
      <c r="D9" s="401"/>
      <c r="E9" s="402"/>
      <c r="F9" s="403"/>
      <c r="G9" s="592"/>
      <c r="H9" s="592"/>
      <c r="I9" s="592"/>
      <c r="J9" s="404"/>
      <c r="K9" s="404"/>
      <c r="L9" s="405"/>
      <c r="M9" s="406"/>
      <c r="N9" s="407"/>
      <c r="O9" s="407"/>
      <c r="P9" s="408"/>
      <c r="Q9" s="404"/>
      <c r="R9" s="408"/>
      <c r="S9" s="405"/>
      <c r="T9" s="408"/>
      <c r="U9" s="409"/>
      <c r="V9" s="405"/>
      <c r="W9" s="408"/>
      <c r="X9" s="408"/>
      <c r="Y9" s="409"/>
      <c r="Z9" s="405"/>
      <c r="AA9" s="404"/>
      <c r="AB9" s="96"/>
      <c r="AC9" s="410"/>
      <c r="AD9" s="411"/>
      <c r="AE9" s="411"/>
      <c r="AF9" s="411"/>
      <c r="AG9" s="412"/>
      <c r="AH9" s="413"/>
      <c r="AI9" s="414"/>
      <c r="AJ9" s="414"/>
      <c r="AK9" s="414"/>
      <c r="AL9" s="414"/>
      <c r="AM9" s="414"/>
      <c r="AN9" s="415"/>
      <c r="AO9" s="414"/>
      <c r="AP9" s="414"/>
      <c r="AQ9" s="414"/>
      <c r="AR9" s="415"/>
      <c r="AS9" s="414"/>
      <c r="AT9" s="414"/>
      <c r="AU9" s="415"/>
      <c r="AV9" s="414"/>
      <c r="AW9" s="414"/>
      <c r="AX9" s="414"/>
      <c r="AY9" s="414"/>
      <c r="AZ9" s="414"/>
      <c r="BA9" s="414"/>
      <c r="BB9" s="414"/>
      <c r="BC9" s="414"/>
      <c r="BD9" s="414"/>
      <c r="BE9" s="414"/>
      <c r="BF9" s="414"/>
      <c r="BG9" s="414"/>
      <c r="BH9" s="414"/>
      <c r="BI9" s="414"/>
      <c r="BJ9" s="414"/>
      <c r="BK9" s="414"/>
      <c r="BL9" s="414"/>
      <c r="BM9" s="414"/>
      <c r="BN9" s="414"/>
      <c r="BO9" s="414"/>
      <c r="BP9" s="414"/>
      <c r="BQ9" s="414"/>
      <c r="BR9" s="414"/>
      <c r="BS9" s="414"/>
      <c r="BT9" s="414"/>
      <c r="BU9" s="414"/>
      <c r="BV9" s="414"/>
      <c r="BW9" s="414"/>
      <c r="BX9" s="414"/>
      <c r="BY9" s="414"/>
      <c r="BZ9" s="414"/>
      <c r="CA9" s="414"/>
      <c r="CB9" s="414"/>
      <c r="CC9" s="414"/>
      <c r="CD9" s="414"/>
      <c r="CE9" s="414"/>
      <c r="CF9" s="414"/>
      <c r="CG9" s="414"/>
      <c r="CH9" s="414"/>
      <c r="CI9" s="414"/>
      <c r="CJ9" s="414"/>
      <c r="CK9" s="414"/>
      <c r="CL9" s="414"/>
      <c r="CM9" s="414"/>
      <c r="CN9" s="414"/>
      <c r="CO9" s="414"/>
      <c r="CP9" s="414"/>
      <c r="CQ9" s="414"/>
      <c r="CR9" s="414"/>
      <c r="CS9" s="414"/>
      <c r="CT9" s="414"/>
      <c r="CU9" s="414"/>
      <c r="CV9" s="414"/>
      <c r="CW9" s="414"/>
      <c r="CX9" s="414"/>
      <c r="CY9" s="414"/>
      <c r="CZ9" s="416"/>
      <c r="DA9" s="414"/>
      <c r="DB9" s="414"/>
      <c r="DC9" s="416"/>
      <c r="DD9" s="414"/>
      <c r="DE9" s="414"/>
      <c r="DF9" s="414"/>
      <c r="DG9" s="414"/>
      <c r="DH9" s="414"/>
      <c r="DI9" s="414"/>
      <c r="DJ9" s="414"/>
      <c r="DK9" s="414"/>
      <c r="DL9" s="414"/>
      <c r="DM9" s="414"/>
      <c r="DN9" s="414"/>
      <c r="DO9" s="414"/>
      <c r="DP9" s="414"/>
      <c r="DQ9" s="414"/>
      <c r="DR9" s="414"/>
      <c r="DS9" s="414"/>
      <c r="DT9" s="414"/>
      <c r="DU9" s="414"/>
      <c r="DV9" s="414"/>
      <c r="DW9" s="414"/>
      <c r="DX9" s="414"/>
      <c r="DY9" s="414"/>
      <c r="DZ9" s="414"/>
      <c r="EA9" s="414"/>
      <c r="EB9" s="414"/>
      <c r="EC9" s="414"/>
      <c r="ED9" s="414"/>
      <c r="EE9" s="414"/>
      <c r="EF9" s="414"/>
      <c r="EG9" s="414"/>
      <c r="EH9" s="414"/>
      <c r="EI9" s="414"/>
      <c r="EJ9" s="414"/>
      <c r="EK9" s="414"/>
      <c r="EL9" s="414"/>
      <c r="EM9" s="414"/>
      <c r="EN9" s="414"/>
      <c r="EO9" s="414"/>
      <c r="EP9" s="414"/>
      <c r="EQ9" s="414"/>
      <c r="ER9" s="414"/>
      <c r="ES9" s="414"/>
      <c r="ET9" s="414"/>
      <c r="EU9" s="414"/>
      <c r="EV9" s="414"/>
      <c r="EW9" s="414"/>
      <c r="EX9" s="414"/>
      <c r="EY9" s="414"/>
      <c r="EZ9" s="414"/>
      <c r="FA9" s="414"/>
      <c r="FB9" s="414"/>
      <c r="FC9" s="414"/>
      <c r="FD9" s="414"/>
      <c r="FE9" s="414"/>
      <c r="FF9" s="414"/>
      <c r="FG9" s="414"/>
      <c r="FH9" s="414"/>
      <c r="FI9" s="414"/>
      <c r="FJ9" s="414"/>
      <c r="FK9" s="414"/>
      <c r="FL9" s="414"/>
      <c r="FM9" s="414"/>
      <c r="FN9" s="414"/>
      <c r="FO9" s="414"/>
      <c r="FP9" s="414"/>
      <c r="FQ9" s="414"/>
      <c r="FR9" s="414"/>
      <c r="FS9" s="417"/>
      <c r="FT9" s="414"/>
      <c r="FU9" s="414"/>
      <c r="FV9" s="414"/>
      <c r="FW9" s="414"/>
      <c r="FX9" s="414"/>
      <c r="FY9" s="414"/>
      <c r="FZ9" s="414"/>
      <c r="GA9" s="414"/>
      <c r="GB9" s="414"/>
      <c r="GC9" s="414"/>
      <c r="GD9" s="414"/>
      <c r="GE9" s="414"/>
      <c r="GF9" s="414"/>
      <c r="GG9" s="414"/>
      <c r="GH9" s="414"/>
      <c r="GI9" s="414"/>
      <c r="GJ9" s="416"/>
      <c r="GK9" s="414"/>
      <c r="GL9" s="416"/>
      <c r="GM9" s="414"/>
      <c r="GN9" s="414"/>
      <c r="GO9" s="416"/>
      <c r="GP9" s="416"/>
      <c r="GQ9" s="414"/>
      <c r="GR9" s="416"/>
      <c r="GS9" s="416"/>
      <c r="GT9" s="414"/>
      <c r="GU9" s="414"/>
      <c r="GV9" s="414"/>
      <c r="GW9" s="414"/>
      <c r="GX9" s="414"/>
      <c r="GY9" s="414"/>
      <c r="GZ9" s="414"/>
      <c r="HA9" s="414"/>
      <c r="HB9" s="414"/>
      <c r="HC9" s="414"/>
      <c r="HD9" s="414"/>
      <c r="HE9" s="414"/>
      <c r="HF9" s="414"/>
      <c r="HG9" s="414"/>
      <c r="HH9" s="414"/>
      <c r="HI9" s="414"/>
      <c r="HJ9" s="414"/>
      <c r="HK9" s="414"/>
      <c r="HL9" s="418"/>
      <c r="HM9" s="418"/>
      <c r="HN9" s="418"/>
      <c r="HO9" s="418"/>
      <c r="HP9" s="418"/>
      <c r="HQ9" s="418"/>
      <c r="HR9" s="418"/>
      <c r="HS9" s="418"/>
      <c r="HT9" s="418"/>
      <c r="HU9" s="418"/>
      <c r="HV9" s="418"/>
      <c r="HW9" s="418"/>
      <c r="HX9" s="418"/>
      <c r="HY9" s="418"/>
      <c r="HZ9" s="418"/>
      <c r="IA9" s="418"/>
      <c r="IB9" s="418"/>
      <c r="IC9" s="418"/>
      <c r="ID9" s="418"/>
      <c r="IE9" s="418"/>
      <c r="IF9" s="418"/>
      <c r="IG9" s="418"/>
      <c r="IH9" s="418"/>
      <c r="II9" s="418"/>
      <c r="IJ9" s="418"/>
      <c r="IK9" s="418"/>
      <c r="IL9" s="418"/>
      <c r="IM9" s="418"/>
      <c r="IN9" s="418"/>
      <c r="IO9" s="418"/>
      <c r="IP9" s="418"/>
      <c r="IQ9" s="418"/>
      <c r="IR9" s="418"/>
      <c r="IS9" s="418"/>
      <c r="IT9" s="418"/>
      <c r="IU9" s="418"/>
      <c r="IV9" s="418"/>
      <c r="IW9" s="418"/>
      <c r="IX9" s="418"/>
      <c r="IY9" s="418"/>
      <c r="IZ9" s="418"/>
      <c r="JA9" s="418"/>
      <c r="JB9" s="418"/>
      <c r="JC9" s="418"/>
      <c r="JD9" s="418"/>
      <c r="JE9" s="418"/>
      <c r="JF9" s="418"/>
      <c r="JG9" s="418"/>
      <c r="JH9" s="418"/>
      <c r="JI9" s="418"/>
      <c r="JJ9" s="418"/>
      <c r="JK9" s="418"/>
      <c r="JL9" s="418"/>
      <c r="JM9" s="418"/>
      <c r="JN9" s="414"/>
      <c r="JO9" s="414"/>
      <c r="JP9" s="414"/>
      <c r="JQ9" s="414"/>
      <c r="JR9" s="414"/>
      <c r="JS9" s="417"/>
      <c r="JT9" s="408"/>
      <c r="JU9" s="414"/>
      <c r="JV9" s="414"/>
      <c r="JW9" s="414"/>
      <c r="JX9" s="414"/>
      <c r="JY9" s="414"/>
      <c r="JZ9" s="419"/>
      <c r="KA9" s="414"/>
      <c r="KB9" s="420"/>
      <c r="KC9" s="414"/>
      <c r="KD9" s="414"/>
      <c r="KE9" s="414"/>
      <c r="KF9" s="414"/>
      <c r="KG9" s="419"/>
      <c r="KH9" s="414"/>
      <c r="KI9" s="414"/>
      <c r="KJ9" s="419"/>
      <c r="KK9" s="414"/>
      <c r="KL9" s="414"/>
      <c r="KM9" s="419"/>
      <c r="KN9" s="414"/>
      <c r="KO9" s="414"/>
      <c r="KP9" s="419"/>
      <c r="KQ9" s="414"/>
      <c r="KR9" s="418"/>
      <c r="KS9" s="418"/>
      <c r="KT9" s="414"/>
      <c r="KU9" s="418"/>
      <c r="KV9" s="418"/>
      <c r="KW9" s="414"/>
      <c r="KX9" s="414"/>
      <c r="KY9" s="414"/>
      <c r="KZ9" s="418"/>
      <c r="LA9" s="414"/>
      <c r="LB9" s="419"/>
      <c r="LC9" s="419"/>
      <c r="LD9" s="421">
        <f>LD8/E8</f>
        <v>1.0307827612380245</v>
      </c>
      <c r="LE9" s="421">
        <f>LE8/J8</f>
        <v>1.0307784067178831</v>
      </c>
      <c r="LF9" s="422">
        <f>LF8/K8</f>
        <v>1.0313392670376929</v>
      </c>
      <c r="LG9" s="423">
        <f>LG8/L8</f>
        <v>1.0300826891000101</v>
      </c>
      <c r="LH9" s="424"/>
      <c r="LI9" s="425">
        <f>LI8/M8</f>
        <v>1.03</v>
      </c>
      <c r="LJ9" s="424"/>
      <c r="LK9" s="425">
        <f>LK8/N8</f>
        <v>1.0389999999999999</v>
      </c>
      <c r="LL9" s="424"/>
      <c r="LM9" s="425">
        <f>LM8/O8</f>
        <v>1.0349999999999999</v>
      </c>
      <c r="LN9" s="424"/>
      <c r="LO9" s="425">
        <f>LO8/P8</f>
        <v>1.0349999999999999</v>
      </c>
      <c r="LP9" s="424"/>
      <c r="LQ9" s="425">
        <f>LQ8/Q8</f>
        <v>1.0349999999999995</v>
      </c>
      <c r="LR9" s="424"/>
      <c r="LS9" s="426">
        <f t="shared" ref="LS9:MB9" si="2">LS8/R8</f>
        <v>1.04</v>
      </c>
      <c r="LT9" s="427">
        <f t="shared" si="2"/>
        <v>1.02861</v>
      </c>
      <c r="LU9" s="428">
        <f t="shared" si="2"/>
        <v>1.0286100000000002</v>
      </c>
      <c r="LV9" s="429">
        <f t="shared" si="2"/>
        <v>1.0286099999999998</v>
      </c>
      <c r="LW9" s="427">
        <f t="shared" si="2"/>
        <v>1.0330450244702758</v>
      </c>
      <c r="LX9" s="428">
        <f t="shared" si="2"/>
        <v>1.0286099999999996</v>
      </c>
      <c r="LY9" s="428">
        <f t="shared" si="2"/>
        <v>1.0349999999999997</v>
      </c>
      <c r="LZ9" s="430">
        <f t="shared" si="2"/>
        <v>1.0350000000000001</v>
      </c>
      <c r="MA9" s="431">
        <f t="shared" si="2"/>
        <v>1</v>
      </c>
      <c r="MB9" s="426">
        <f t="shared" si="2"/>
        <v>1.0349999999999999</v>
      </c>
    </row>
    <row r="10" spans="1:340" s="96" customFormat="1" ht="16.5" customHeight="1" thickTop="1">
      <c r="A10" s="433">
        <v>1</v>
      </c>
      <c r="B10" s="434"/>
      <c r="C10" s="435"/>
      <c r="D10" s="436"/>
      <c r="E10" s="437"/>
      <c r="F10" s="438"/>
      <c r="G10" s="593"/>
      <c r="H10" s="593"/>
      <c r="I10" s="593"/>
      <c r="J10" s="437"/>
      <c r="K10" s="437"/>
      <c r="L10" s="439"/>
      <c r="M10" s="440"/>
      <c r="N10" s="441"/>
      <c r="O10" s="441"/>
      <c r="P10" s="442"/>
      <c r="Q10" s="437"/>
      <c r="R10" s="438"/>
      <c r="S10" s="443"/>
      <c r="T10" s="444"/>
      <c r="U10" s="445"/>
      <c r="V10" s="443"/>
      <c r="W10" s="446"/>
      <c r="X10" s="447"/>
      <c r="Y10" s="445"/>
      <c r="Z10" s="439"/>
      <c r="AA10" s="448"/>
      <c r="AC10" s="449"/>
      <c r="AD10" s="449"/>
      <c r="AE10" s="449"/>
      <c r="AF10" s="449"/>
      <c r="AG10" s="449"/>
      <c r="AH10" s="449"/>
      <c r="AI10" s="449"/>
      <c r="AJ10" s="449"/>
      <c r="AK10" s="449"/>
      <c r="AL10" s="449"/>
      <c r="AM10" s="449"/>
      <c r="AN10" s="450"/>
      <c r="AO10" s="449"/>
      <c r="AP10" s="449"/>
      <c r="AQ10" s="449"/>
      <c r="AR10" s="450"/>
      <c r="AS10" s="449"/>
      <c r="AT10" s="449"/>
      <c r="AU10" s="450"/>
      <c r="AV10" s="449"/>
      <c r="AW10" s="449"/>
      <c r="AX10" s="449"/>
      <c r="AY10" s="449"/>
      <c r="AZ10" s="449"/>
      <c r="BA10" s="449"/>
      <c r="BB10" s="449"/>
      <c r="BC10" s="449"/>
      <c r="BD10" s="449"/>
      <c r="BE10" s="449"/>
      <c r="BF10" s="449"/>
      <c r="BG10" s="449"/>
      <c r="BH10" s="449"/>
      <c r="BI10" s="449"/>
      <c r="BJ10" s="449"/>
      <c r="BK10" s="449"/>
      <c r="BL10" s="449"/>
      <c r="BM10" s="449"/>
      <c r="BN10" s="449"/>
      <c r="BO10" s="449"/>
      <c r="BP10" s="449"/>
      <c r="BQ10" s="449"/>
      <c r="BR10" s="449"/>
      <c r="BS10" s="449"/>
      <c r="BT10" s="449"/>
      <c r="BU10" s="449"/>
      <c r="BV10" s="449"/>
      <c r="BW10" s="449"/>
      <c r="BX10" s="449"/>
      <c r="BY10" s="449"/>
      <c r="BZ10" s="449"/>
      <c r="CA10" s="449"/>
      <c r="CB10" s="449"/>
      <c r="CC10" s="449"/>
      <c r="CD10" s="449"/>
      <c r="CE10" s="449"/>
      <c r="CF10" s="449"/>
      <c r="CG10" s="449"/>
      <c r="CH10" s="449"/>
      <c r="CI10" s="449"/>
      <c r="CJ10" s="449"/>
      <c r="CK10" s="449"/>
      <c r="CL10" s="449"/>
      <c r="CM10" s="449"/>
      <c r="CN10" s="449"/>
      <c r="CO10" s="449"/>
      <c r="CP10" s="449"/>
      <c r="CQ10" s="449"/>
      <c r="CR10" s="449"/>
      <c r="CS10" s="449"/>
      <c r="CT10" s="449"/>
      <c r="CU10" s="449"/>
      <c r="CV10" s="449"/>
      <c r="CW10" s="449"/>
      <c r="CX10" s="449"/>
      <c r="CY10" s="449"/>
      <c r="CZ10" s="451"/>
      <c r="DA10" s="449"/>
      <c r="DB10" s="449"/>
      <c r="DC10" s="451"/>
      <c r="DD10" s="449"/>
      <c r="DE10" s="449"/>
      <c r="DF10" s="449"/>
      <c r="DG10" s="449"/>
      <c r="DH10" s="449"/>
      <c r="DI10" s="449"/>
      <c r="DJ10" s="449"/>
      <c r="DK10" s="449"/>
      <c r="DL10" s="449"/>
      <c r="DM10" s="449"/>
      <c r="DN10" s="449"/>
      <c r="DO10" s="449"/>
      <c r="DP10" s="449"/>
      <c r="DQ10" s="449"/>
      <c r="DR10" s="449"/>
      <c r="DS10" s="449"/>
      <c r="DT10" s="449"/>
      <c r="DU10" s="449"/>
      <c r="DV10" s="449"/>
      <c r="DW10" s="449"/>
      <c r="DX10" s="449"/>
      <c r="DY10" s="449"/>
      <c r="DZ10" s="449"/>
      <c r="EA10" s="449"/>
      <c r="EB10" s="449"/>
      <c r="EC10" s="449"/>
      <c r="ED10" s="449"/>
      <c r="EE10" s="449"/>
      <c r="EF10" s="449"/>
      <c r="EG10" s="449"/>
      <c r="EH10" s="449"/>
      <c r="EI10" s="449"/>
      <c r="EJ10" s="449"/>
      <c r="EK10" s="449"/>
      <c r="EL10" s="449"/>
      <c r="EM10" s="449"/>
      <c r="EN10" s="449"/>
      <c r="EO10" s="449"/>
      <c r="EP10" s="449"/>
      <c r="EQ10" s="449"/>
      <c r="ER10" s="449"/>
      <c r="ES10" s="449"/>
      <c r="ET10" s="449"/>
      <c r="EU10" s="449"/>
      <c r="EV10" s="449"/>
      <c r="EW10" s="449"/>
      <c r="EX10" s="449"/>
      <c r="EY10" s="449"/>
      <c r="EZ10" s="449"/>
      <c r="FA10" s="449"/>
      <c r="FB10" s="449"/>
      <c r="FC10" s="449"/>
      <c r="FD10" s="449"/>
      <c r="FE10" s="449"/>
      <c r="FF10" s="449"/>
      <c r="FG10" s="449"/>
      <c r="FH10" s="449"/>
      <c r="FI10" s="449"/>
      <c r="FJ10" s="449"/>
      <c r="FK10" s="449"/>
      <c r="FL10" s="449"/>
      <c r="FM10" s="449"/>
      <c r="FN10" s="449"/>
      <c r="FO10" s="449"/>
      <c r="FP10" s="449"/>
      <c r="FQ10" s="449"/>
      <c r="FR10" s="449"/>
      <c r="FS10" s="452"/>
      <c r="FT10" s="449"/>
      <c r="FU10" s="449"/>
      <c r="FV10" s="449"/>
      <c r="FW10" s="449"/>
      <c r="FX10" s="449"/>
      <c r="FY10" s="449"/>
      <c r="FZ10" s="449"/>
      <c r="GA10" s="449"/>
      <c r="GB10" s="449"/>
      <c r="GC10" s="449"/>
      <c r="GD10" s="449"/>
      <c r="GE10" s="449"/>
      <c r="GF10" s="449"/>
      <c r="GG10" s="449"/>
      <c r="GH10" s="449"/>
      <c r="GI10" s="449"/>
      <c r="GJ10" s="451"/>
      <c r="GK10" s="449"/>
      <c r="GL10" s="451"/>
      <c r="GM10" s="449"/>
      <c r="GN10" s="449"/>
      <c r="GO10" s="451"/>
      <c r="GP10" s="451"/>
      <c r="GQ10" s="449"/>
      <c r="GR10" s="451"/>
      <c r="GS10" s="451"/>
      <c r="GT10" s="449"/>
      <c r="GU10" s="449"/>
      <c r="GV10" s="449"/>
      <c r="GW10" s="449"/>
      <c r="GX10" s="449"/>
      <c r="GY10" s="449"/>
      <c r="GZ10" s="449"/>
      <c r="HA10" s="449"/>
      <c r="HB10" s="449"/>
      <c r="HC10" s="449"/>
      <c r="HD10" s="449"/>
      <c r="HE10" s="449"/>
      <c r="HF10" s="449"/>
      <c r="HG10" s="449"/>
      <c r="HH10" s="449"/>
      <c r="HI10" s="449"/>
      <c r="HJ10" s="449"/>
      <c r="HK10" s="449"/>
      <c r="HL10" s="435"/>
      <c r="HM10" s="435"/>
      <c r="HN10" s="435"/>
      <c r="HO10" s="435"/>
      <c r="HP10" s="435"/>
      <c r="HQ10" s="435"/>
      <c r="HR10" s="435"/>
      <c r="HS10" s="435"/>
      <c r="HT10" s="435"/>
      <c r="HU10" s="435"/>
      <c r="HV10" s="435"/>
      <c r="HW10" s="435"/>
      <c r="HX10" s="435"/>
      <c r="HY10" s="435"/>
      <c r="HZ10" s="435"/>
      <c r="IA10" s="435"/>
      <c r="IB10" s="435"/>
      <c r="IC10" s="435"/>
      <c r="ID10" s="435"/>
      <c r="IE10" s="435"/>
      <c r="IF10" s="435"/>
      <c r="IG10" s="435"/>
      <c r="IH10" s="435"/>
      <c r="II10" s="435"/>
      <c r="IJ10" s="435"/>
      <c r="IK10" s="435"/>
      <c r="IL10" s="435"/>
      <c r="IM10" s="435"/>
      <c r="IN10" s="435"/>
      <c r="IO10" s="435"/>
      <c r="IP10" s="435"/>
      <c r="IQ10" s="435"/>
      <c r="IR10" s="435"/>
      <c r="IS10" s="435"/>
      <c r="IT10" s="435"/>
      <c r="IU10" s="435"/>
      <c r="IV10" s="435"/>
      <c r="IW10" s="435"/>
      <c r="IX10" s="435"/>
      <c r="IY10" s="435"/>
      <c r="IZ10" s="435"/>
      <c r="JA10" s="435"/>
      <c r="JB10" s="435"/>
      <c r="JC10" s="435"/>
      <c r="JD10" s="435"/>
      <c r="JE10" s="435"/>
      <c r="JF10" s="435"/>
      <c r="JG10" s="435"/>
      <c r="JH10" s="435"/>
      <c r="JI10" s="435"/>
      <c r="JJ10" s="435"/>
      <c r="JK10" s="435"/>
      <c r="JL10" s="435"/>
      <c r="JM10" s="435"/>
      <c r="JN10" s="449"/>
      <c r="JO10" s="449"/>
      <c r="JP10" s="449"/>
      <c r="JQ10" s="449"/>
      <c r="JR10" s="449"/>
      <c r="JS10" s="452"/>
      <c r="JT10" s="453"/>
      <c r="JU10" s="449"/>
      <c r="JV10" s="449"/>
      <c r="JW10" s="449"/>
      <c r="JX10" s="449"/>
      <c r="JY10" s="449"/>
      <c r="JZ10" s="454"/>
      <c r="KA10" s="449"/>
      <c r="KB10" s="455"/>
      <c r="KC10" s="449"/>
      <c r="KD10" s="449"/>
      <c r="KE10" s="449"/>
      <c r="KF10" s="449"/>
      <c r="KG10" s="454"/>
      <c r="KH10" s="449"/>
      <c r="KI10" s="449"/>
      <c r="KJ10" s="454"/>
      <c r="KK10" s="449"/>
      <c r="KL10" s="449"/>
      <c r="KM10" s="454"/>
      <c r="KN10" s="449"/>
      <c r="KO10" s="449"/>
      <c r="KP10" s="454"/>
      <c r="KQ10" s="449"/>
      <c r="KR10" s="435"/>
      <c r="KS10" s="435"/>
      <c r="KT10" s="449"/>
      <c r="KU10" s="435"/>
      <c r="KV10" s="435"/>
      <c r="KW10" s="449"/>
      <c r="KX10" s="449"/>
      <c r="KY10" s="449"/>
      <c r="KZ10" s="435"/>
      <c r="LA10" s="449"/>
      <c r="LB10" s="456"/>
      <c r="LC10" s="457"/>
      <c r="LD10" s="437"/>
      <c r="LE10" s="437"/>
      <c r="LF10" s="458"/>
      <c r="LG10" s="442"/>
      <c r="LH10" s="424"/>
      <c r="LI10" s="459"/>
      <c r="LJ10" s="424"/>
      <c r="LK10" s="459"/>
      <c r="LL10" s="424"/>
      <c r="LM10" s="459"/>
      <c r="LN10" s="424"/>
      <c r="LO10" s="459"/>
      <c r="LP10" s="424"/>
      <c r="LQ10" s="459"/>
      <c r="LR10" s="424"/>
      <c r="LS10" s="459"/>
      <c r="LT10" s="460"/>
      <c r="LU10" s="461"/>
      <c r="LV10" s="462"/>
      <c r="LW10" s="460"/>
      <c r="LX10" s="461"/>
      <c r="LY10" s="463"/>
      <c r="LZ10" s="464"/>
      <c r="MA10" s="437"/>
      <c r="MB10" s="438"/>
    </row>
    <row r="11" spans="1:340" ht="16.5" customHeight="1">
      <c r="A11" s="465">
        <v>1</v>
      </c>
      <c r="B11" s="466">
        <v>1</v>
      </c>
      <c r="C11" s="467" t="s">
        <v>314</v>
      </c>
      <c r="D11" s="468">
        <v>4629043694</v>
      </c>
      <c r="E11" s="469">
        <f t="shared" ref="E11:E53" si="3">IF(F11="да",J11*1.2,J11)</f>
        <v>938.34942648975368</v>
      </c>
      <c r="F11" s="470" t="s">
        <v>281</v>
      </c>
      <c r="G11" s="595">
        <v>0</v>
      </c>
      <c r="H11" s="597">
        <f>E11-G11</f>
        <v>938.34942648975368</v>
      </c>
      <c r="I11" s="597" t="s">
        <v>861</v>
      </c>
      <c r="J11" s="471">
        <f t="shared" ref="J11:J53" si="4">K11+S11+V11+Z11+AA11</f>
        <v>781.95785540812813</v>
      </c>
      <c r="K11" s="472">
        <f t="shared" ref="K11:K53" si="5">L11+Q11+R11</f>
        <v>38.6</v>
      </c>
      <c r="L11" s="473">
        <f t="shared" ref="L11:L53" si="6">M11+N11+O11+P11</f>
        <v>0</v>
      </c>
      <c r="M11" s="474">
        <v>0</v>
      </c>
      <c r="N11" s="475">
        <v>0</v>
      </c>
      <c r="O11" s="475">
        <v>0</v>
      </c>
      <c r="P11" s="476">
        <v>0</v>
      </c>
      <c r="Q11" s="477">
        <v>38.6</v>
      </c>
      <c r="R11" s="478">
        <f t="shared" ref="R11:R53" si="7">CY11+DB11+DE11</f>
        <v>0</v>
      </c>
      <c r="S11" s="479">
        <f t="shared" ref="S11:S53" si="8">T11+U11</f>
        <v>127.61999999999998</v>
      </c>
      <c r="T11" s="479">
        <v>0</v>
      </c>
      <c r="U11" s="480">
        <v>127.61999999999998</v>
      </c>
      <c r="V11" s="481">
        <f t="shared" ref="V11:V53" si="9">W11+X11+Y11</f>
        <v>557.7378554081281</v>
      </c>
      <c r="W11" s="482">
        <v>0</v>
      </c>
      <c r="X11" s="479">
        <v>353.96785540812806</v>
      </c>
      <c r="Y11" s="483">
        <v>203.77000000000004</v>
      </c>
      <c r="Z11" s="484">
        <v>58.000000000000021</v>
      </c>
      <c r="AA11" s="485">
        <v>0</v>
      </c>
      <c r="AB11" s="486"/>
      <c r="AC11" s="487">
        <v>0</v>
      </c>
      <c r="AD11" s="487">
        <v>0</v>
      </c>
      <c r="AE11" s="487">
        <v>0</v>
      </c>
      <c r="AF11" s="487">
        <v>0</v>
      </c>
      <c r="AG11" s="487">
        <v>0</v>
      </c>
      <c r="AH11" s="487">
        <v>38.6</v>
      </c>
      <c r="AI11" s="487">
        <v>38.6</v>
      </c>
      <c r="AJ11" s="487">
        <v>0</v>
      </c>
      <c r="AK11" s="487">
        <v>0</v>
      </c>
      <c r="AL11" s="487">
        <v>0</v>
      </c>
      <c r="AM11" s="487">
        <v>0</v>
      </c>
      <c r="AN11" s="487">
        <v>0</v>
      </c>
      <c r="AO11" s="487">
        <v>0</v>
      </c>
      <c r="AP11" s="487">
        <v>0</v>
      </c>
      <c r="AQ11" s="487">
        <v>0</v>
      </c>
      <c r="AR11" s="487">
        <v>0</v>
      </c>
      <c r="AS11" s="487">
        <v>0</v>
      </c>
      <c r="AT11" s="487">
        <v>0</v>
      </c>
      <c r="AU11" s="487">
        <v>0</v>
      </c>
      <c r="AV11" s="487">
        <v>0</v>
      </c>
      <c r="AW11" s="487">
        <v>0</v>
      </c>
      <c r="AX11" s="487">
        <v>0</v>
      </c>
      <c r="AY11" s="487">
        <v>0</v>
      </c>
      <c r="AZ11" s="487">
        <v>38.6</v>
      </c>
      <c r="BA11" s="487">
        <v>0</v>
      </c>
      <c r="BB11" s="487">
        <v>0</v>
      </c>
      <c r="BC11" s="487">
        <v>0</v>
      </c>
      <c r="BD11" s="487">
        <v>0</v>
      </c>
      <c r="BE11" s="487">
        <v>0</v>
      </c>
      <c r="BF11" s="487">
        <v>0</v>
      </c>
      <c r="BG11" s="487">
        <v>0</v>
      </c>
      <c r="BH11" s="487">
        <v>0</v>
      </c>
      <c r="BI11" s="487">
        <v>0</v>
      </c>
      <c r="BJ11" s="487">
        <v>0</v>
      </c>
      <c r="BK11" s="487">
        <v>0</v>
      </c>
      <c r="BL11" s="487">
        <v>0</v>
      </c>
      <c r="BM11" s="487">
        <v>0</v>
      </c>
      <c r="BN11" s="487">
        <v>0</v>
      </c>
      <c r="BO11" s="487">
        <v>0</v>
      </c>
      <c r="BP11" s="487">
        <v>0</v>
      </c>
      <c r="BQ11" s="487">
        <v>0</v>
      </c>
      <c r="BR11" s="487">
        <v>0</v>
      </c>
      <c r="BS11" s="487">
        <v>0</v>
      </c>
      <c r="BT11" s="487">
        <v>0</v>
      </c>
      <c r="BU11" s="487">
        <v>0</v>
      </c>
      <c r="BV11" s="487">
        <v>0</v>
      </c>
      <c r="BW11" s="487">
        <v>0</v>
      </c>
      <c r="BX11" s="487">
        <v>0</v>
      </c>
      <c r="BY11" s="487">
        <v>0</v>
      </c>
      <c r="BZ11" s="487">
        <v>0</v>
      </c>
      <c r="CA11" s="487">
        <v>0</v>
      </c>
      <c r="CB11" s="487">
        <v>0</v>
      </c>
      <c r="CC11" s="487">
        <v>0</v>
      </c>
      <c r="CD11" s="487">
        <v>0</v>
      </c>
      <c r="CE11" s="487">
        <v>0</v>
      </c>
      <c r="CF11" s="487">
        <v>0</v>
      </c>
      <c r="CG11" s="487">
        <v>0</v>
      </c>
      <c r="CH11" s="487">
        <v>0</v>
      </c>
      <c r="CI11" s="487">
        <v>0</v>
      </c>
      <c r="CJ11" s="487">
        <v>0</v>
      </c>
      <c r="CK11" s="487">
        <v>0</v>
      </c>
      <c r="CL11" s="487">
        <v>0</v>
      </c>
      <c r="CM11" s="487">
        <v>0</v>
      </c>
      <c r="CN11" s="487">
        <v>0</v>
      </c>
      <c r="CO11" s="487">
        <v>0</v>
      </c>
      <c r="CP11" s="487">
        <v>0</v>
      </c>
      <c r="CQ11" s="487">
        <v>0</v>
      </c>
      <c r="CR11" s="487">
        <v>0</v>
      </c>
      <c r="CS11" s="487">
        <v>0</v>
      </c>
      <c r="CT11" s="487">
        <v>0</v>
      </c>
      <c r="CU11" s="487">
        <v>0</v>
      </c>
      <c r="CV11" s="487">
        <v>0</v>
      </c>
      <c r="CW11" s="487">
        <v>0</v>
      </c>
      <c r="CX11" s="487">
        <v>0</v>
      </c>
      <c r="CY11" s="487">
        <v>0</v>
      </c>
      <c r="CZ11" s="467"/>
      <c r="DA11" s="487">
        <v>0</v>
      </c>
      <c r="DB11" s="487">
        <v>0</v>
      </c>
      <c r="DC11" s="467"/>
      <c r="DD11" s="487">
        <v>0</v>
      </c>
      <c r="DE11" s="487">
        <v>0</v>
      </c>
      <c r="DF11" s="487">
        <v>0</v>
      </c>
      <c r="DG11" s="487">
        <v>0</v>
      </c>
      <c r="DH11" s="487">
        <v>0</v>
      </c>
      <c r="DI11" s="487">
        <v>0</v>
      </c>
      <c r="DJ11" s="487">
        <v>0</v>
      </c>
      <c r="DK11" s="487">
        <v>0</v>
      </c>
      <c r="DL11" s="487">
        <v>0</v>
      </c>
      <c r="DM11" s="487">
        <v>0</v>
      </c>
      <c r="DN11" s="487">
        <v>0</v>
      </c>
      <c r="DO11" s="487">
        <v>0</v>
      </c>
      <c r="DP11" s="487">
        <v>127.61999999999998</v>
      </c>
      <c r="DQ11" s="487">
        <v>0</v>
      </c>
      <c r="DR11" s="487">
        <v>0</v>
      </c>
      <c r="DS11" s="487">
        <v>0</v>
      </c>
      <c r="DT11" s="487">
        <v>127.61999999999998</v>
      </c>
      <c r="DU11" s="487">
        <v>0</v>
      </c>
      <c r="DV11" s="487">
        <v>0</v>
      </c>
      <c r="DW11" s="487">
        <v>0</v>
      </c>
      <c r="DX11" s="487">
        <v>0</v>
      </c>
      <c r="DY11" s="487">
        <v>0</v>
      </c>
      <c r="DZ11" s="487">
        <v>0</v>
      </c>
      <c r="EA11" s="487">
        <v>0</v>
      </c>
      <c r="EB11" s="487">
        <v>0</v>
      </c>
      <c r="EC11" s="487">
        <v>0</v>
      </c>
      <c r="ED11" s="487">
        <v>0</v>
      </c>
      <c r="EE11" s="487">
        <v>0</v>
      </c>
      <c r="EF11" s="487">
        <v>0</v>
      </c>
      <c r="EG11" s="487">
        <v>0</v>
      </c>
      <c r="EH11" s="487">
        <v>0</v>
      </c>
      <c r="EI11" s="487">
        <v>0</v>
      </c>
      <c r="EJ11" s="487">
        <v>0</v>
      </c>
      <c r="EK11" s="487">
        <v>0</v>
      </c>
      <c r="EL11" s="487">
        <v>0</v>
      </c>
      <c r="EM11" s="487">
        <v>0</v>
      </c>
      <c r="EN11" s="487">
        <v>0</v>
      </c>
      <c r="EO11" s="487">
        <v>0</v>
      </c>
      <c r="EP11" s="487">
        <v>0</v>
      </c>
      <c r="EQ11" s="487">
        <v>0</v>
      </c>
      <c r="ER11" s="487">
        <v>0</v>
      </c>
      <c r="ES11" s="487">
        <v>0</v>
      </c>
      <c r="ET11" s="487">
        <v>0</v>
      </c>
      <c r="EU11" s="487">
        <v>0</v>
      </c>
      <c r="EV11" s="487">
        <v>0</v>
      </c>
      <c r="EW11" s="487">
        <v>0</v>
      </c>
      <c r="EX11" s="487">
        <v>0</v>
      </c>
      <c r="EY11" s="487">
        <v>0</v>
      </c>
      <c r="EZ11" s="487">
        <v>0</v>
      </c>
      <c r="FA11" s="487">
        <v>0</v>
      </c>
      <c r="FB11" s="487">
        <v>203.76999999999998</v>
      </c>
      <c r="FC11" s="487">
        <v>0</v>
      </c>
      <c r="FD11" s="487">
        <v>0</v>
      </c>
      <c r="FE11" s="487">
        <v>0</v>
      </c>
      <c r="FF11" s="487">
        <v>203.76999999999998</v>
      </c>
      <c r="FG11" s="487">
        <v>203.76999999999998</v>
      </c>
      <c r="FH11" s="487">
        <v>0</v>
      </c>
      <c r="FI11" s="487">
        <v>0</v>
      </c>
      <c r="FJ11" s="487">
        <v>0</v>
      </c>
      <c r="FK11" s="487">
        <v>0</v>
      </c>
      <c r="FL11" s="487">
        <v>0</v>
      </c>
      <c r="FM11" s="487">
        <v>353.96785540812806</v>
      </c>
      <c r="FN11" s="487">
        <v>353.96785540812806</v>
      </c>
      <c r="FO11" s="487">
        <v>0</v>
      </c>
      <c r="FP11" s="487">
        <v>0</v>
      </c>
      <c r="FQ11" s="487">
        <v>0</v>
      </c>
      <c r="FR11" s="487">
        <v>0</v>
      </c>
      <c r="FS11" s="488">
        <v>723.95785540812813</v>
      </c>
      <c r="FT11" s="487">
        <v>0</v>
      </c>
      <c r="FU11" s="487">
        <v>0</v>
      </c>
      <c r="FV11" s="487">
        <v>0</v>
      </c>
      <c r="FW11" s="487">
        <v>0</v>
      </c>
      <c r="FX11" s="487">
        <v>0</v>
      </c>
      <c r="FY11" s="487">
        <v>0</v>
      </c>
      <c r="FZ11" s="487">
        <v>0</v>
      </c>
      <c r="GA11" s="487">
        <v>0</v>
      </c>
      <c r="GB11" s="487">
        <v>0</v>
      </c>
      <c r="GC11" s="487">
        <v>0</v>
      </c>
      <c r="GD11" s="487">
        <v>0</v>
      </c>
      <c r="GE11" s="487">
        <v>0</v>
      </c>
      <c r="GF11" s="487">
        <v>0</v>
      </c>
      <c r="GG11" s="487">
        <v>0</v>
      </c>
      <c r="GH11" s="487">
        <v>0</v>
      </c>
      <c r="GI11" s="487">
        <v>0</v>
      </c>
      <c r="GJ11" s="467"/>
      <c r="GK11" s="487">
        <v>0</v>
      </c>
      <c r="GL11" s="467"/>
      <c r="GM11" s="487">
        <v>0</v>
      </c>
      <c r="GN11" s="487">
        <v>0</v>
      </c>
      <c r="GO11" s="467"/>
      <c r="GP11" s="467"/>
      <c r="GQ11" s="487">
        <v>0</v>
      </c>
      <c r="GR11" s="467"/>
      <c r="GS11" s="467"/>
      <c r="GT11" s="487">
        <v>0</v>
      </c>
      <c r="GU11" s="487">
        <v>0</v>
      </c>
      <c r="GV11" s="487">
        <v>0</v>
      </c>
      <c r="GW11" s="487">
        <v>0</v>
      </c>
      <c r="GX11" s="487">
        <v>0</v>
      </c>
      <c r="GY11" s="487">
        <v>0</v>
      </c>
      <c r="GZ11" s="487">
        <v>0</v>
      </c>
      <c r="HA11" s="487">
        <v>0</v>
      </c>
      <c r="HB11" s="487">
        <v>0</v>
      </c>
      <c r="HC11" s="487">
        <v>0</v>
      </c>
      <c r="HD11" s="487">
        <v>0</v>
      </c>
      <c r="HE11" s="487">
        <v>0</v>
      </c>
      <c r="HF11" s="487">
        <v>0</v>
      </c>
      <c r="HG11" s="487">
        <v>0</v>
      </c>
      <c r="HH11" s="487">
        <v>0</v>
      </c>
      <c r="HI11" s="487">
        <v>0</v>
      </c>
      <c r="HJ11" s="487">
        <v>0</v>
      </c>
      <c r="HK11" s="487">
        <v>0</v>
      </c>
      <c r="HL11" s="467"/>
      <c r="HM11" s="467"/>
      <c r="HN11" s="467"/>
      <c r="HO11" s="467"/>
      <c r="HP11" s="467"/>
      <c r="HQ11" s="467"/>
      <c r="HR11" s="467"/>
      <c r="HS11" s="467"/>
      <c r="HT11" s="467"/>
      <c r="HU11" s="467"/>
      <c r="HV11" s="467"/>
      <c r="HW11" s="467"/>
      <c r="HX11" s="467"/>
      <c r="HY11" s="467"/>
      <c r="HZ11" s="467"/>
      <c r="IA11" s="467"/>
      <c r="IB11" s="467"/>
      <c r="IC11" s="467"/>
      <c r="ID11" s="467"/>
      <c r="IE11" s="467"/>
      <c r="IF11" s="467"/>
      <c r="IG11" s="467"/>
      <c r="IH11" s="467"/>
      <c r="II11" s="467"/>
      <c r="IJ11" s="467"/>
      <c r="IK11" s="467"/>
      <c r="IL11" s="467"/>
      <c r="IM11" s="467"/>
      <c r="IN11" s="467"/>
      <c r="IO11" s="467"/>
      <c r="IP11" s="467"/>
      <c r="IQ11" s="467"/>
      <c r="IR11" s="467"/>
      <c r="IS11" s="467"/>
      <c r="IT11" s="467"/>
      <c r="IU11" s="467"/>
      <c r="IV11" s="467"/>
      <c r="IW11" s="467"/>
      <c r="IX11" s="467"/>
      <c r="IY11" s="467"/>
      <c r="IZ11" s="467"/>
      <c r="JA11" s="467"/>
      <c r="JB11" s="467"/>
      <c r="JC11" s="467"/>
      <c r="JD11" s="467"/>
      <c r="JE11" s="467"/>
      <c r="JF11" s="467"/>
      <c r="JG11" s="467"/>
      <c r="JH11" s="467"/>
      <c r="JI11" s="467"/>
      <c r="JJ11" s="467"/>
      <c r="JK11" s="467"/>
      <c r="JL11" s="467"/>
      <c r="JM11" s="467"/>
      <c r="JN11" s="487">
        <v>127.61999999999998</v>
      </c>
      <c r="JO11" s="487">
        <v>557.7378554081281</v>
      </c>
      <c r="JP11" s="487">
        <v>38.6</v>
      </c>
      <c r="JQ11" s="487">
        <v>0</v>
      </c>
      <c r="JR11" s="487">
        <v>0</v>
      </c>
      <c r="JS11" s="488">
        <v>781.95785540812813</v>
      </c>
      <c r="JT11" s="489">
        <f t="shared" ref="JT11:JT53" si="10">JS11-JN11-JO11-JP11-JQ11-JR11</f>
        <v>58.000000000000021</v>
      </c>
      <c r="JU11" s="487">
        <v>938.34942648975368</v>
      </c>
      <c r="JV11" s="487">
        <v>781.95785540812813</v>
      </c>
      <c r="JW11" s="487">
        <v>938.34942648975368</v>
      </c>
      <c r="JX11" s="487">
        <v>5797</v>
      </c>
      <c r="JY11" s="487">
        <v>5797</v>
      </c>
      <c r="JZ11" s="467"/>
      <c r="KA11" s="487">
        <v>0</v>
      </c>
      <c r="KB11" s="490">
        <v>0</v>
      </c>
      <c r="KC11" s="487">
        <v>-1.7933918719563735E-3</v>
      </c>
      <c r="KD11" s="487">
        <v>781.95964880000008</v>
      </c>
      <c r="KE11" s="487">
        <v>5797</v>
      </c>
      <c r="KF11" s="487">
        <v>781.95964880000008</v>
      </c>
      <c r="KG11" s="491">
        <v>134.89040000000003</v>
      </c>
      <c r="KH11" s="487">
        <v>5797</v>
      </c>
      <c r="KI11" s="487">
        <v>0</v>
      </c>
      <c r="KJ11" s="491">
        <v>0</v>
      </c>
      <c r="KK11" s="487">
        <v>0</v>
      </c>
      <c r="KL11" s="487">
        <v>0</v>
      </c>
      <c r="KM11" s="491">
        <v>0</v>
      </c>
      <c r="KN11" s="487">
        <v>0</v>
      </c>
      <c r="KO11" s="487">
        <v>0</v>
      </c>
      <c r="KP11" s="491">
        <v>0</v>
      </c>
      <c r="KQ11" s="487">
        <v>0</v>
      </c>
      <c r="KR11" s="467"/>
      <c r="KS11" s="467"/>
      <c r="KT11" s="487"/>
      <c r="KU11" s="487"/>
      <c r="KV11" s="467"/>
      <c r="KW11" s="487">
        <v>9793.14</v>
      </c>
      <c r="KX11" s="487">
        <v>0.61</v>
      </c>
      <c r="KY11" s="487"/>
      <c r="KZ11" s="467"/>
      <c r="LA11" s="487"/>
      <c r="LB11" s="492"/>
      <c r="LC11" s="493"/>
      <c r="LD11" s="494">
        <f t="shared" ref="LD11:LD53" si="11">IF(F11="да",LE11*1.2,LE11)</f>
        <v>967.77706625689495</v>
      </c>
      <c r="LE11" s="471">
        <f t="shared" ref="LE11:LE53" si="12">LF11+LT11+LW11+MA11+MB11</f>
        <v>806.48088854741252</v>
      </c>
      <c r="LF11" s="495">
        <f t="shared" ref="LF11:LF53" si="13">LG11+LQ11+LS11</f>
        <v>39.951000000000001</v>
      </c>
      <c r="LG11" s="476">
        <f t="shared" ref="LG11:LG53" si="14">LI11+LK11+LM11+LO11</f>
        <v>0</v>
      </c>
      <c r="LH11" s="496">
        <v>1.03</v>
      </c>
      <c r="LI11" s="497">
        <f t="shared" ref="LI11:LI53" si="15">LH11*M11</f>
        <v>0</v>
      </c>
      <c r="LJ11" s="498">
        <v>1.0389999999999999</v>
      </c>
      <c r="LK11" s="497">
        <f t="shared" ref="LK11:LK53" si="16">LJ11*N11</f>
        <v>0</v>
      </c>
      <c r="LL11" s="498">
        <v>1.0349999999999999</v>
      </c>
      <c r="LM11" s="497">
        <f t="shared" ref="LM11:LM53" si="17">LL11*O11</f>
        <v>0</v>
      </c>
      <c r="LN11" s="498">
        <v>1.0349999999999999</v>
      </c>
      <c r="LO11" s="497">
        <f t="shared" ref="LO11:LO53" si="18">LN11*P11</f>
        <v>0</v>
      </c>
      <c r="LP11" s="498">
        <v>1.0349999999999999</v>
      </c>
      <c r="LQ11" s="497">
        <f t="shared" ref="LQ11:LQ53" si="19">LP11*Q11</f>
        <v>39.951000000000001</v>
      </c>
      <c r="LR11" s="498">
        <v>1.04</v>
      </c>
      <c r="LS11" s="497">
        <f t="shared" ref="LS11:LS53" si="20">LR11*R11</f>
        <v>0</v>
      </c>
      <c r="LT11" s="499">
        <f t="shared" ref="LT11:LT53" si="21">LU11+LV11</f>
        <v>131.27120819999996</v>
      </c>
      <c r="LU11" s="500">
        <f t="shared" ref="LU11:LU53" si="22">T11*0.99*1.039</f>
        <v>0</v>
      </c>
      <c r="LV11" s="501">
        <f t="shared" ref="LV11:LV53" si="23">U11*0.99*1.039</f>
        <v>131.27120819999996</v>
      </c>
      <c r="LW11" s="499">
        <f t="shared" ref="LW11:LW53" si="24">LX11+LY11+LZ11</f>
        <v>577.25868034741256</v>
      </c>
      <c r="LX11" s="500">
        <f t="shared" ref="LX11:LX53" si="25">W11*0.99*1.039</f>
        <v>0</v>
      </c>
      <c r="LY11" s="500">
        <f t="shared" ref="LY11:LY53" si="26">X11*1.035</f>
        <v>366.35673034741251</v>
      </c>
      <c r="LZ11" s="502">
        <f t="shared" ref="LZ11:LZ53" si="27">Y11*1.035</f>
        <v>210.90195000000003</v>
      </c>
      <c r="MA11" s="503">
        <f t="shared" ref="MA11:MA53" si="28">Z11</f>
        <v>58.000000000000021</v>
      </c>
      <c r="MB11" s="504">
        <f t="shared" ref="MB11:MB53" si="29">AA11*1.035</f>
        <v>0</v>
      </c>
    </row>
    <row r="12" spans="1:340" ht="16.5" customHeight="1">
      <c r="A12" s="505">
        <v>1</v>
      </c>
      <c r="B12" s="506">
        <v>2</v>
      </c>
      <c r="C12" s="507" t="s">
        <v>288</v>
      </c>
      <c r="D12" s="508">
        <v>7721632827</v>
      </c>
      <c r="E12" s="469">
        <f t="shared" si="3"/>
        <v>120906.03673199998</v>
      </c>
      <c r="F12" s="470" t="s">
        <v>281</v>
      </c>
      <c r="G12" s="595">
        <v>15650.781241919998</v>
      </c>
      <c r="H12" s="597">
        <f t="shared" ref="H12:H53" si="30">E12-G12</f>
        <v>105255.25549007999</v>
      </c>
      <c r="I12" s="597" t="s">
        <v>857</v>
      </c>
      <c r="J12" s="509">
        <f t="shared" si="4"/>
        <v>100755.03060999999</v>
      </c>
      <c r="K12" s="510">
        <f t="shared" si="5"/>
        <v>38495.65</v>
      </c>
      <c r="L12" s="511">
        <f t="shared" si="6"/>
        <v>38495.65</v>
      </c>
      <c r="M12" s="512">
        <v>0</v>
      </c>
      <c r="N12" s="513">
        <v>0</v>
      </c>
      <c r="O12" s="513">
        <v>0</v>
      </c>
      <c r="P12" s="514">
        <v>38495.65</v>
      </c>
      <c r="Q12" s="515">
        <v>0</v>
      </c>
      <c r="R12" s="516">
        <f t="shared" si="7"/>
        <v>0</v>
      </c>
      <c r="S12" s="517">
        <f t="shared" si="8"/>
        <v>28285.350000000002</v>
      </c>
      <c r="T12" s="518">
        <v>17928.330000000002</v>
      </c>
      <c r="U12" s="519">
        <v>10357.02</v>
      </c>
      <c r="V12" s="520">
        <f t="shared" si="9"/>
        <v>33761.860610000003</v>
      </c>
      <c r="W12" s="521">
        <v>5683.2806099999998</v>
      </c>
      <c r="X12" s="518">
        <v>27480.83</v>
      </c>
      <c r="Y12" s="522">
        <v>597.75</v>
      </c>
      <c r="Z12" s="523">
        <v>-981.22000000000912</v>
      </c>
      <c r="AA12" s="524">
        <v>1193.3900000000001</v>
      </c>
      <c r="AB12" s="486"/>
      <c r="AC12" s="525">
        <v>38495.65</v>
      </c>
      <c r="AD12" s="525">
        <v>0</v>
      </c>
      <c r="AE12" s="525">
        <v>0</v>
      </c>
      <c r="AF12" s="525">
        <v>0</v>
      </c>
      <c r="AG12" s="525">
        <v>38495.65</v>
      </c>
      <c r="AH12" s="525">
        <v>0</v>
      </c>
      <c r="AI12" s="525">
        <v>0</v>
      </c>
      <c r="AJ12" s="525">
        <v>0</v>
      </c>
      <c r="AK12" s="525">
        <v>0</v>
      </c>
      <c r="AL12" s="525">
        <v>0</v>
      </c>
      <c r="AM12" s="525">
        <v>0</v>
      </c>
      <c r="AN12" s="525">
        <v>0</v>
      </c>
      <c r="AO12" s="525">
        <v>0</v>
      </c>
      <c r="AP12" s="525">
        <v>0</v>
      </c>
      <c r="AQ12" s="525">
        <v>0</v>
      </c>
      <c r="AR12" s="525">
        <v>0</v>
      </c>
      <c r="AS12" s="525">
        <v>0</v>
      </c>
      <c r="AT12" s="525">
        <v>0</v>
      </c>
      <c r="AU12" s="525">
        <v>0</v>
      </c>
      <c r="AV12" s="525">
        <v>0</v>
      </c>
      <c r="AW12" s="525">
        <v>0</v>
      </c>
      <c r="AX12" s="525">
        <v>0</v>
      </c>
      <c r="AY12" s="525">
        <v>0</v>
      </c>
      <c r="AZ12" s="525">
        <v>0</v>
      </c>
      <c r="BA12" s="525">
        <v>0</v>
      </c>
      <c r="BB12" s="525">
        <v>0</v>
      </c>
      <c r="BC12" s="525">
        <v>0</v>
      </c>
      <c r="BD12" s="525">
        <v>0</v>
      </c>
      <c r="BE12" s="525">
        <v>0</v>
      </c>
      <c r="BF12" s="525">
        <v>0</v>
      </c>
      <c r="BG12" s="525">
        <v>0</v>
      </c>
      <c r="BH12" s="525">
        <v>0</v>
      </c>
      <c r="BI12" s="525">
        <v>0</v>
      </c>
      <c r="BJ12" s="525">
        <v>0</v>
      </c>
      <c r="BK12" s="525">
        <v>0</v>
      </c>
      <c r="BL12" s="525">
        <v>0</v>
      </c>
      <c r="BM12" s="525">
        <v>0</v>
      </c>
      <c r="BN12" s="525">
        <v>0</v>
      </c>
      <c r="BO12" s="525">
        <v>0</v>
      </c>
      <c r="BP12" s="525">
        <v>0</v>
      </c>
      <c r="BQ12" s="525">
        <v>0</v>
      </c>
      <c r="BR12" s="525">
        <v>0</v>
      </c>
      <c r="BS12" s="525">
        <v>0</v>
      </c>
      <c r="BT12" s="525">
        <v>0</v>
      </c>
      <c r="BU12" s="525">
        <v>0</v>
      </c>
      <c r="BV12" s="525">
        <v>0</v>
      </c>
      <c r="BW12" s="525">
        <v>0</v>
      </c>
      <c r="BX12" s="525">
        <v>0</v>
      </c>
      <c r="BY12" s="525">
        <v>0</v>
      </c>
      <c r="BZ12" s="525">
        <v>0</v>
      </c>
      <c r="CA12" s="525">
        <v>0</v>
      </c>
      <c r="CB12" s="525">
        <v>0</v>
      </c>
      <c r="CC12" s="525">
        <v>0</v>
      </c>
      <c r="CD12" s="525">
        <v>0</v>
      </c>
      <c r="CE12" s="525">
        <v>0</v>
      </c>
      <c r="CF12" s="525">
        <v>0</v>
      </c>
      <c r="CG12" s="525">
        <v>0</v>
      </c>
      <c r="CH12" s="525">
        <v>0</v>
      </c>
      <c r="CI12" s="525">
        <v>0</v>
      </c>
      <c r="CJ12" s="525">
        <v>0</v>
      </c>
      <c r="CK12" s="525">
        <v>0</v>
      </c>
      <c r="CL12" s="525">
        <v>0</v>
      </c>
      <c r="CM12" s="525">
        <v>17928.330000000002</v>
      </c>
      <c r="CN12" s="525">
        <v>17928.330000000002</v>
      </c>
      <c r="CO12" s="525">
        <v>0</v>
      </c>
      <c r="CP12" s="525">
        <v>0</v>
      </c>
      <c r="CQ12" s="525">
        <v>0</v>
      </c>
      <c r="CR12" s="525">
        <v>0</v>
      </c>
      <c r="CS12" s="525">
        <v>5683.2806099999998</v>
      </c>
      <c r="CT12" s="525">
        <v>5683.2806099999998</v>
      </c>
      <c r="CU12" s="525">
        <v>0</v>
      </c>
      <c r="CV12" s="525">
        <v>0</v>
      </c>
      <c r="CW12" s="525">
        <v>0</v>
      </c>
      <c r="CX12" s="525">
        <v>0</v>
      </c>
      <c r="CY12" s="525">
        <v>0</v>
      </c>
      <c r="CZ12" s="526"/>
      <c r="DA12" s="525">
        <v>0</v>
      </c>
      <c r="DB12" s="525">
        <v>0</v>
      </c>
      <c r="DC12" s="526"/>
      <c r="DD12" s="525">
        <v>0</v>
      </c>
      <c r="DE12" s="525">
        <v>0</v>
      </c>
      <c r="DF12" s="525">
        <v>0</v>
      </c>
      <c r="DG12" s="525">
        <v>5791.34</v>
      </c>
      <c r="DH12" s="525">
        <v>1617.97</v>
      </c>
      <c r="DI12" s="525">
        <v>0</v>
      </c>
      <c r="DJ12" s="525">
        <v>4173.37</v>
      </c>
      <c r="DK12" s="525">
        <v>0</v>
      </c>
      <c r="DL12" s="525">
        <v>0</v>
      </c>
      <c r="DM12" s="525">
        <v>0</v>
      </c>
      <c r="DN12" s="525">
        <v>0</v>
      </c>
      <c r="DO12" s="525">
        <v>0</v>
      </c>
      <c r="DP12" s="525">
        <v>1912.96</v>
      </c>
      <c r="DQ12" s="525">
        <v>0</v>
      </c>
      <c r="DR12" s="525">
        <v>0</v>
      </c>
      <c r="DS12" s="525">
        <v>0</v>
      </c>
      <c r="DT12" s="525">
        <v>1912.96</v>
      </c>
      <c r="DU12" s="525">
        <v>2259.04</v>
      </c>
      <c r="DV12" s="525">
        <v>2.7299999999999995</v>
      </c>
      <c r="DW12" s="525">
        <v>414.89</v>
      </c>
      <c r="DX12" s="525">
        <v>0</v>
      </c>
      <c r="DY12" s="525">
        <v>0</v>
      </c>
      <c r="DZ12" s="525">
        <v>267.70999999999998</v>
      </c>
      <c r="EA12" s="525">
        <v>0</v>
      </c>
      <c r="EB12" s="525">
        <v>0</v>
      </c>
      <c r="EC12" s="525">
        <v>0</v>
      </c>
      <c r="ED12" s="525">
        <v>0</v>
      </c>
      <c r="EE12" s="525">
        <v>0</v>
      </c>
      <c r="EF12" s="525">
        <v>0</v>
      </c>
      <c r="EG12" s="525">
        <v>1573.71</v>
      </c>
      <c r="EH12" s="525">
        <v>0</v>
      </c>
      <c r="EI12" s="525">
        <v>0</v>
      </c>
      <c r="EJ12" s="525">
        <v>0</v>
      </c>
      <c r="EK12" s="525">
        <v>0</v>
      </c>
      <c r="EL12" s="525">
        <v>144.87</v>
      </c>
      <c r="EM12" s="525">
        <v>248.81</v>
      </c>
      <c r="EN12" s="525">
        <v>0</v>
      </c>
      <c r="EO12" s="525">
        <v>0</v>
      </c>
      <c r="EP12" s="525">
        <v>0</v>
      </c>
      <c r="EQ12" s="525">
        <v>0</v>
      </c>
      <c r="ER12" s="525">
        <v>0</v>
      </c>
      <c r="ES12" s="525">
        <v>0</v>
      </c>
      <c r="ET12" s="525">
        <v>0</v>
      </c>
      <c r="EU12" s="525">
        <v>0</v>
      </c>
      <c r="EV12" s="525">
        <v>0</v>
      </c>
      <c r="EW12" s="525">
        <v>0</v>
      </c>
      <c r="EX12" s="525">
        <v>0</v>
      </c>
      <c r="EY12" s="525">
        <v>0</v>
      </c>
      <c r="EZ12" s="525">
        <v>0</v>
      </c>
      <c r="FA12" s="525">
        <v>0</v>
      </c>
      <c r="FB12" s="525">
        <v>597.75</v>
      </c>
      <c r="FC12" s="525">
        <v>20.010000000000002</v>
      </c>
      <c r="FD12" s="525">
        <v>577.74</v>
      </c>
      <c r="FE12" s="525">
        <v>0</v>
      </c>
      <c r="FF12" s="525">
        <v>0</v>
      </c>
      <c r="FG12" s="525">
        <v>0</v>
      </c>
      <c r="FH12" s="525">
        <v>0</v>
      </c>
      <c r="FI12" s="525">
        <v>0</v>
      </c>
      <c r="FJ12" s="525">
        <v>0</v>
      </c>
      <c r="FK12" s="525">
        <v>0</v>
      </c>
      <c r="FL12" s="525">
        <v>0</v>
      </c>
      <c r="FM12" s="525">
        <v>27480.83</v>
      </c>
      <c r="FN12" s="525">
        <v>27480.83</v>
      </c>
      <c r="FO12" s="525">
        <v>0</v>
      </c>
      <c r="FP12" s="525">
        <v>0</v>
      </c>
      <c r="FQ12" s="525">
        <v>0</v>
      </c>
      <c r="FR12" s="525">
        <v>0</v>
      </c>
      <c r="FS12" s="527">
        <v>100542.86061</v>
      </c>
      <c r="FT12" s="525">
        <v>0</v>
      </c>
      <c r="FU12" s="525">
        <v>0</v>
      </c>
      <c r="FV12" s="525">
        <v>0</v>
      </c>
      <c r="FW12" s="525">
        <v>0</v>
      </c>
      <c r="FX12" s="525">
        <v>0</v>
      </c>
      <c r="FY12" s="525">
        <v>0</v>
      </c>
      <c r="FZ12" s="525">
        <v>0</v>
      </c>
      <c r="GA12" s="525">
        <v>0</v>
      </c>
      <c r="GB12" s="525">
        <v>0</v>
      </c>
      <c r="GC12" s="525">
        <v>0</v>
      </c>
      <c r="GD12" s="525">
        <v>0</v>
      </c>
      <c r="GE12" s="525">
        <v>0</v>
      </c>
      <c r="GF12" s="525">
        <v>0</v>
      </c>
      <c r="GG12" s="525">
        <v>0</v>
      </c>
      <c r="GH12" s="525">
        <v>1193.3900000000001</v>
      </c>
      <c r="GI12" s="525">
        <v>0</v>
      </c>
      <c r="GJ12" s="526"/>
      <c r="GK12" s="525">
        <v>1193.3900000000001</v>
      </c>
      <c r="GL12" s="526"/>
      <c r="GM12" s="525">
        <v>0</v>
      </c>
      <c r="GN12" s="525">
        <v>0</v>
      </c>
      <c r="GO12" s="526"/>
      <c r="GP12" s="526"/>
      <c r="GQ12" s="525">
        <v>0</v>
      </c>
      <c r="GR12" s="526"/>
      <c r="GS12" s="526"/>
      <c r="GT12" s="525">
        <v>0</v>
      </c>
      <c r="GU12" s="525">
        <v>0</v>
      </c>
      <c r="GV12" s="525">
        <v>0</v>
      </c>
      <c r="GW12" s="525">
        <v>0</v>
      </c>
      <c r="GX12" s="525">
        <v>0</v>
      </c>
      <c r="GY12" s="525">
        <v>0</v>
      </c>
      <c r="GZ12" s="525">
        <v>0</v>
      </c>
      <c r="HA12" s="525">
        <v>0</v>
      </c>
      <c r="HB12" s="525">
        <v>0</v>
      </c>
      <c r="HC12" s="525">
        <v>0</v>
      </c>
      <c r="HD12" s="525">
        <v>0</v>
      </c>
      <c r="HE12" s="525">
        <v>0</v>
      </c>
      <c r="HF12" s="525">
        <v>0</v>
      </c>
      <c r="HG12" s="525">
        <v>0</v>
      </c>
      <c r="HH12" s="525">
        <v>0</v>
      </c>
      <c r="HI12" s="525">
        <v>0</v>
      </c>
      <c r="HJ12" s="525">
        <v>0</v>
      </c>
      <c r="HK12" s="525">
        <v>0</v>
      </c>
      <c r="HL12" s="526"/>
      <c r="HM12" s="526"/>
      <c r="HN12" s="526"/>
      <c r="HO12" s="526"/>
      <c r="HP12" s="526"/>
      <c r="HQ12" s="526"/>
      <c r="HR12" s="526"/>
      <c r="HS12" s="526"/>
      <c r="HT12" s="526"/>
      <c r="HU12" s="526"/>
      <c r="HV12" s="526"/>
      <c r="HW12" s="526"/>
      <c r="HX12" s="526"/>
      <c r="HY12" s="526"/>
      <c r="HZ12" s="526"/>
      <c r="IA12" s="526"/>
      <c r="IB12" s="526"/>
      <c r="IC12" s="526"/>
      <c r="ID12" s="526"/>
      <c r="IE12" s="526"/>
      <c r="IF12" s="526"/>
      <c r="IG12" s="526"/>
      <c r="IH12" s="526"/>
      <c r="II12" s="526"/>
      <c r="IJ12" s="526"/>
      <c r="IK12" s="526"/>
      <c r="IL12" s="526"/>
      <c r="IM12" s="526"/>
      <c r="IN12" s="526"/>
      <c r="IO12" s="526"/>
      <c r="IP12" s="526"/>
      <c r="IQ12" s="526"/>
      <c r="IR12" s="526"/>
      <c r="IS12" s="526"/>
      <c r="IT12" s="526"/>
      <c r="IU12" s="526"/>
      <c r="IV12" s="526"/>
      <c r="IW12" s="526"/>
      <c r="IX12" s="526"/>
      <c r="IY12" s="526"/>
      <c r="IZ12" s="526"/>
      <c r="JA12" s="526"/>
      <c r="JB12" s="526"/>
      <c r="JC12" s="526"/>
      <c r="JD12" s="526"/>
      <c r="JE12" s="526"/>
      <c r="JF12" s="526"/>
      <c r="JG12" s="526"/>
      <c r="JH12" s="526"/>
      <c r="JI12" s="526"/>
      <c r="JJ12" s="526"/>
      <c r="JK12" s="526"/>
      <c r="JL12" s="526"/>
      <c r="JM12" s="526"/>
      <c r="JN12" s="525">
        <v>28285.350000000002</v>
      </c>
      <c r="JO12" s="525">
        <v>33761.860610000003</v>
      </c>
      <c r="JP12" s="525">
        <v>38495.65</v>
      </c>
      <c r="JQ12" s="525">
        <v>0</v>
      </c>
      <c r="JR12" s="525">
        <v>1193.3900000000001</v>
      </c>
      <c r="JS12" s="527">
        <v>100755.03061</v>
      </c>
      <c r="JT12" s="528">
        <f t="shared" si="10"/>
        <v>-981.22000000000912</v>
      </c>
      <c r="JU12" s="525">
        <v>120906.03673199999</v>
      </c>
      <c r="JV12" s="525">
        <v>100755.03061</v>
      </c>
      <c r="JW12" s="525">
        <v>120906.03673199999</v>
      </c>
      <c r="JX12" s="525">
        <v>423656</v>
      </c>
      <c r="JY12" s="525">
        <v>423656</v>
      </c>
      <c r="JZ12" s="526"/>
      <c r="KA12" s="525">
        <v>55057.880000000005</v>
      </c>
      <c r="KB12" s="529">
        <v>1.1869465348008066</v>
      </c>
      <c r="KC12" s="525">
        <v>-4.5099999842932448E-3</v>
      </c>
      <c r="KD12" s="525">
        <v>100755.03511999999</v>
      </c>
      <c r="KE12" s="525">
        <v>423656</v>
      </c>
      <c r="KF12" s="525">
        <v>87712.673622000002</v>
      </c>
      <c r="KG12" s="530">
        <v>237.96288928983145</v>
      </c>
      <c r="KH12" s="525">
        <v>368598.12</v>
      </c>
      <c r="KI12" s="525">
        <v>0</v>
      </c>
      <c r="KJ12" s="530">
        <v>0</v>
      </c>
      <c r="KK12" s="525">
        <v>0</v>
      </c>
      <c r="KL12" s="525">
        <v>123.43103099999999</v>
      </c>
      <c r="KM12" s="530">
        <v>237.68733102253032</v>
      </c>
      <c r="KN12" s="525">
        <v>519.29999999999995</v>
      </c>
      <c r="KO12" s="525">
        <v>12918.930467000002</v>
      </c>
      <c r="KP12" s="530">
        <v>236.8769129485953</v>
      </c>
      <c r="KQ12" s="525">
        <v>54538.58</v>
      </c>
      <c r="KR12" s="526"/>
      <c r="KS12" s="526"/>
      <c r="KT12" s="531">
        <v>315844.8</v>
      </c>
      <c r="KU12" s="531">
        <v>58.82</v>
      </c>
      <c r="KV12" s="526"/>
      <c r="KW12" s="531"/>
      <c r="KX12" s="531"/>
      <c r="KY12" s="531"/>
      <c r="KZ12" s="526"/>
      <c r="LA12" s="531"/>
      <c r="LB12" s="532"/>
      <c r="LC12" s="533"/>
      <c r="LD12" s="494">
        <f t="shared" si="11"/>
        <v>124918.48779810248</v>
      </c>
      <c r="LE12" s="509">
        <f t="shared" si="12"/>
        <v>104098.73983175207</v>
      </c>
      <c r="LF12" s="534">
        <f t="shared" si="13"/>
        <v>39842.997749999995</v>
      </c>
      <c r="LG12" s="535">
        <f t="shared" si="14"/>
        <v>39842.997749999995</v>
      </c>
      <c r="LH12" s="536">
        <f t="shared" ref="LH12:LH53" si="31">LH11</f>
        <v>1.03</v>
      </c>
      <c r="LI12" s="537">
        <f t="shared" si="15"/>
        <v>0</v>
      </c>
      <c r="LJ12" s="538">
        <f t="shared" ref="LJ12:LJ53" si="32">LJ11</f>
        <v>1.0389999999999999</v>
      </c>
      <c r="LK12" s="537">
        <f t="shared" si="16"/>
        <v>0</v>
      </c>
      <c r="LL12" s="538">
        <f t="shared" ref="LL12:LL53" si="33">LL11</f>
        <v>1.0349999999999999</v>
      </c>
      <c r="LM12" s="537">
        <f t="shared" si="17"/>
        <v>0</v>
      </c>
      <c r="LN12" s="538">
        <f t="shared" ref="LN12:LN53" si="34">LN11</f>
        <v>1.0349999999999999</v>
      </c>
      <c r="LO12" s="537">
        <f t="shared" si="18"/>
        <v>39842.997749999995</v>
      </c>
      <c r="LP12" s="538">
        <f t="shared" ref="LP12:LP53" si="35">LP11</f>
        <v>1.0349999999999999</v>
      </c>
      <c r="LQ12" s="537">
        <f t="shared" si="19"/>
        <v>0</v>
      </c>
      <c r="LR12" s="538">
        <f t="shared" ref="LR12:LR53" si="36">LR11</f>
        <v>1.04</v>
      </c>
      <c r="LS12" s="537">
        <f t="shared" si="20"/>
        <v>0</v>
      </c>
      <c r="LT12" s="539">
        <f t="shared" si="21"/>
        <v>29094.593863500002</v>
      </c>
      <c r="LU12" s="540">
        <f t="shared" si="22"/>
        <v>18441.259521300002</v>
      </c>
      <c r="LV12" s="541">
        <f t="shared" si="23"/>
        <v>10653.3343422</v>
      </c>
      <c r="LW12" s="542">
        <f t="shared" si="24"/>
        <v>34907.209568252096</v>
      </c>
      <c r="LX12" s="540">
        <f t="shared" si="25"/>
        <v>5845.8792682520989</v>
      </c>
      <c r="LY12" s="540">
        <f t="shared" si="26"/>
        <v>28442.659049999998</v>
      </c>
      <c r="LZ12" s="543">
        <f t="shared" si="27"/>
        <v>618.67124999999999</v>
      </c>
      <c r="MA12" s="544">
        <f t="shared" si="28"/>
        <v>-981.22000000000912</v>
      </c>
      <c r="MB12" s="545">
        <f t="shared" si="29"/>
        <v>1235.1586500000001</v>
      </c>
    </row>
    <row r="13" spans="1:340" ht="16.5" customHeight="1">
      <c r="A13" s="465">
        <v>1</v>
      </c>
      <c r="B13" s="466">
        <v>3</v>
      </c>
      <c r="C13" s="467" t="s">
        <v>142</v>
      </c>
      <c r="D13" s="468">
        <v>4632024035</v>
      </c>
      <c r="E13" s="469">
        <f t="shared" si="3"/>
        <v>604153.83413657767</v>
      </c>
      <c r="F13" s="470" t="s">
        <v>281</v>
      </c>
      <c r="G13" s="595">
        <v>604153.83413657686</v>
      </c>
      <c r="H13" s="597">
        <f t="shared" si="30"/>
        <v>0</v>
      </c>
      <c r="I13" s="597"/>
      <c r="J13" s="471">
        <f t="shared" si="4"/>
        <v>503461.52844714804</v>
      </c>
      <c r="K13" s="472">
        <f t="shared" si="5"/>
        <v>279721.09166290093</v>
      </c>
      <c r="L13" s="473">
        <f t="shared" si="6"/>
        <v>211034.30162324008</v>
      </c>
      <c r="M13" s="474">
        <v>202769.40716963715</v>
      </c>
      <c r="N13" s="475">
        <v>1871.54139800078</v>
      </c>
      <c r="O13" s="475">
        <v>6393.3530556021515</v>
      </c>
      <c r="P13" s="476">
        <v>0</v>
      </c>
      <c r="Q13" s="477">
        <v>62220.503053820154</v>
      </c>
      <c r="R13" s="478">
        <f t="shared" si="7"/>
        <v>6466.2869858407057</v>
      </c>
      <c r="S13" s="479">
        <f t="shared" si="8"/>
        <v>130767.66434634423</v>
      </c>
      <c r="T13" s="479">
        <v>115451.43924269661</v>
      </c>
      <c r="U13" s="480">
        <v>15316.225103647623</v>
      </c>
      <c r="V13" s="481">
        <f t="shared" si="9"/>
        <v>78595.424731628591</v>
      </c>
      <c r="W13" s="482">
        <v>34866.334651294375</v>
      </c>
      <c r="X13" s="479">
        <v>29650.231678374996</v>
      </c>
      <c r="Y13" s="483">
        <v>14078.85840195922</v>
      </c>
      <c r="Z13" s="484">
        <v>11855.688275074246</v>
      </c>
      <c r="AA13" s="485">
        <v>2521.6594312000002</v>
      </c>
      <c r="AB13" s="486"/>
      <c r="AC13" s="487">
        <v>211034.30162324008</v>
      </c>
      <c r="AD13" s="487">
        <v>202769.40716963715</v>
      </c>
      <c r="AE13" s="487">
        <v>1871.54139800078</v>
      </c>
      <c r="AF13" s="487">
        <v>6393.3530556021515</v>
      </c>
      <c r="AG13" s="487">
        <v>0</v>
      </c>
      <c r="AH13" s="487">
        <v>62220.503053820154</v>
      </c>
      <c r="AI13" s="487">
        <v>62220.503053820154</v>
      </c>
      <c r="AJ13" s="487">
        <v>0</v>
      </c>
      <c r="AK13" s="487">
        <v>0</v>
      </c>
      <c r="AL13" s="487">
        <v>0</v>
      </c>
      <c r="AM13" s="487">
        <v>0</v>
      </c>
      <c r="AN13" s="487">
        <v>0</v>
      </c>
      <c r="AO13" s="487">
        <v>0</v>
      </c>
      <c r="AP13" s="487">
        <v>0</v>
      </c>
      <c r="AQ13" s="487">
        <v>0</v>
      </c>
      <c r="AR13" s="487">
        <v>0</v>
      </c>
      <c r="AS13" s="487">
        <v>0</v>
      </c>
      <c r="AT13" s="487">
        <v>0</v>
      </c>
      <c r="AU13" s="487">
        <v>0</v>
      </c>
      <c r="AV13" s="487">
        <v>0</v>
      </c>
      <c r="AW13" s="487">
        <v>0</v>
      </c>
      <c r="AX13" s="487">
        <v>0</v>
      </c>
      <c r="AY13" s="487">
        <v>0</v>
      </c>
      <c r="AZ13" s="487">
        <v>0</v>
      </c>
      <c r="BA13" s="487">
        <v>62220.503053820154</v>
      </c>
      <c r="BB13" s="487">
        <v>7910.5007313643591</v>
      </c>
      <c r="BC13" s="487">
        <v>0</v>
      </c>
      <c r="BD13" s="487">
        <v>0</v>
      </c>
      <c r="BE13" s="487">
        <v>0</v>
      </c>
      <c r="BF13" s="487">
        <v>0</v>
      </c>
      <c r="BG13" s="487">
        <v>0</v>
      </c>
      <c r="BH13" s="487">
        <v>0</v>
      </c>
      <c r="BI13" s="487">
        <v>0</v>
      </c>
      <c r="BJ13" s="487">
        <v>62220.503053820154</v>
      </c>
      <c r="BK13" s="487">
        <v>7.8655580938286205</v>
      </c>
      <c r="BL13" s="487">
        <v>7910.5007313643591</v>
      </c>
      <c r="BM13" s="487">
        <v>0</v>
      </c>
      <c r="BN13" s="487">
        <v>0</v>
      </c>
      <c r="BO13" s="487">
        <v>0</v>
      </c>
      <c r="BP13" s="487">
        <v>0</v>
      </c>
      <c r="BQ13" s="487">
        <v>0</v>
      </c>
      <c r="BR13" s="487">
        <v>0</v>
      </c>
      <c r="BS13" s="487">
        <v>0</v>
      </c>
      <c r="BT13" s="487">
        <v>0</v>
      </c>
      <c r="BU13" s="487">
        <v>0</v>
      </c>
      <c r="BV13" s="487">
        <v>0</v>
      </c>
      <c r="BW13" s="487">
        <v>0</v>
      </c>
      <c r="BX13" s="487">
        <v>0</v>
      </c>
      <c r="BY13" s="487">
        <v>0</v>
      </c>
      <c r="BZ13" s="487">
        <v>0</v>
      </c>
      <c r="CA13" s="487">
        <v>0</v>
      </c>
      <c r="CB13" s="487">
        <v>0</v>
      </c>
      <c r="CC13" s="487">
        <v>0</v>
      </c>
      <c r="CD13" s="487">
        <v>0</v>
      </c>
      <c r="CE13" s="487">
        <v>0</v>
      </c>
      <c r="CF13" s="487">
        <v>0</v>
      </c>
      <c r="CG13" s="487">
        <v>0</v>
      </c>
      <c r="CH13" s="487">
        <v>0</v>
      </c>
      <c r="CI13" s="487">
        <v>0</v>
      </c>
      <c r="CJ13" s="487">
        <v>0</v>
      </c>
      <c r="CK13" s="487">
        <v>0</v>
      </c>
      <c r="CL13" s="487">
        <v>0</v>
      </c>
      <c r="CM13" s="487">
        <v>115451.43924269661</v>
      </c>
      <c r="CN13" s="487">
        <v>94670.180179011193</v>
      </c>
      <c r="CO13" s="487">
        <v>0</v>
      </c>
      <c r="CP13" s="487">
        <v>0</v>
      </c>
      <c r="CQ13" s="487">
        <v>20781.259063685382</v>
      </c>
      <c r="CR13" s="487">
        <v>0</v>
      </c>
      <c r="CS13" s="487">
        <v>34866.334651294375</v>
      </c>
      <c r="CT13" s="487">
        <v>28590.394414061386</v>
      </c>
      <c r="CU13" s="487">
        <v>0</v>
      </c>
      <c r="CV13" s="487">
        <v>0</v>
      </c>
      <c r="CW13" s="487">
        <v>6275.940237232986</v>
      </c>
      <c r="CX13" s="487">
        <v>0</v>
      </c>
      <c r="CY13" s="487">
        <v>6466.2869858407057</v>
      </c>
      <c r="CZ13" s="467"/>
      <c r="DA13" s="487">
        <v>176.48040934656061</v>
      </c>
      <c r="DB13" s="487">
        <v>0</v>
      </c>
      <c r="DC13" s="467"/>
      <c r="DD13" s="487">
        <v>0</v>
      </c>
      <c r="DE13" s="487">
        <v>0</v>
      </c>
      <c r="DF13" s="487">
        <v>0</v>
      </c>
      <c r="DG13" s="487">
        <v>7003.85528711402</v>
      </c>
      <c r="DH13" s="487">
        <v>3515.0909547942401</v>
      </c>
      <c r="DI13" s="487">
        <v>0</v>
      </c>
      <c r="DJ13" s="487">
        <v>3488.7643323197794</v>
      </c>
      <c r="DK13" s="487">
        <v>0</v>
      </c>
      <c r="DL13" s="487">
        <v>0</v>
      </c>
      <c r="DM13" s="487">
        <v>0</v>
      </c>
      <c r="DN13" s="487">
        <v>0</v>
      </c>
      <c r="DO13" s="487">
        <v>0</v>
      </c>
      <c r="DP13" s="487">
        <v>0</v>
      </c>
      <c r="DQ13" s="487">
        <v>0</v>
      </c>
      <c r="DR13" s="487">
        <v>0</v>
      </c>
      <c r="DS13" s="487">
        <v>0</v>
      </c>
      <c r="DT13" s="487">
        <v>0</v>
      </c>
      <c r="DU13" s="487">
        <v>3443.9387179717091</v>
      </c>
      <c r="DV13" s="487">
        <v>198.559911141215</v>
      </c>
      <c r="DW13" s="487">
        <v>0</v>
      </c>
      <c r="DX13" s="487">
        <v>591.36544909003601</v>
      </c>
      <c r="DY13" s="487">
        <v>0</v>
      </c>
      <c r="DZ13" s="487">
        <v>0</v>
      </c>
      <c r="EA13" s="487">
        <v>218.203538714008</v>
      </c>
      <c r="EB13" s="487">
        <v>0</v>
      </c>
      <c r="EC13" s="487">
        <v>0</v>
      </c>
      <c r="ED13" s="487">
        <v>2435.8098190264495</v>
      </c>
      <c r="EE13" s="487">
        <v>0</v>
      </c>
      <c r="EF13" s="487">
        <v>0</v>
      </c>
      <c r="EG13" s="487">
        <v>0</v>
      </c>
      <c r="EH13" s="487">
        <v>1633.68038</v>
      </c>
      <c r="EI13" s="487">
        <v>1633.68038</v>
      </c>
      <c r="EJ13" s="487">
        <v>0</v>
      </c>
      <c r="EK13" s="487">
        <v>0</v>
      </c>
      <c r="EL13" s="487">
        <v>0</v>
      </c>
      <c r="EM13" s="487">
        <v>86.0072342376384</v>
      </c>
      <c r="EN13" s="487">
        <v>0</v>
      </c>
      <c r="EO13" s="487">
        <v>0</v>
      </c>
      <c r="EP13" s="487">
        <v>4782.4238643242397</v>
      </c>
      <c r="EQ13" s="487">
        <v>0</v>
      </c>
      <c r="ER13" s="487">
        <v>4782.4238643242397</v>
      </c>
      <c r="ES13" s="487">
        <v>1552.5130141592233</v>
      </c>
      <c r="ET13" s="487">
        <v>1633.68038</v>
      </c>
      <c r="EU13" s="487">
        <v>1633.68038</v>
      </c>
      <c r="EV13" s="487">
        <v>0</v>
      </c>
      <c r="EW13" s="487">
        <v>0</v>
      </c>
      <c r="EX13" s="487">
        <v>0</v>
      </c>
      <c r="EY13" s="487">
        <v>0</v>
      </c>
      <c r="EZ13" s="487">
        <v>0</v>
      </c>
      <c r="FA13" s="487">
        <v>0</v>
      </c>
      <c r="FB13" s="487">
        <v>9473.7569999999978</v>
      </c>
      <c r="FC13" s="487">
        <v>202.59999999999997</v>
      </c>
      <c r="FD13" s="487">
        <v>645</v>
      </c>
      <c r="FE13" s="487">
        <v>0</v>
      </c>
      <c r="FF13" s="487">
        <v>8626.1569999999992</v>
      </c>
      <c r="FG13" s="487">
        <v>8377.7569999999978</v>
      </c>
      <c r="FH13" s="487">
        <v>0</v>
      </c>
      <c r="FI13" s="487">
        <v>248.4</v>
      </c>
      <c r="FJ13" s="487">
        <v>0</v>
      </c>
      <c r="FK13" s="487">
        <v>0</v>
      </c>
      <c r="FL13" s="487">
        <v>0</v>
      </c>
      <c r="FM13" s="487">
        <v>29650.231678374996</v>
      </c>
      <c r="FN13" s="487">
        <v>29650.231678374996</v>
      </c>
      <c r="FO13" s="487">
        <v>0</v>
      </c>
      <c r="FP13" s="487">
        <v>788.49315000000013</v>
      </c>
      <c r="FQ13" s="487">
        <v>0</v>
      </c>
      <c r="FR13" s="487">
        <v>630.41485780000005</v>
      </c>
      <c r="FS13" s="488">
        <v>489084.1807408738</v>
      </c>
      <c r="FT13" s="487">
        <v>0</v>
      </c>
      <c r="FU13" s="487">
        <v>0</v>
      </c>
      <c r="FV13" s="487">
        <v>0</v>
      </c>
      <c r="FW13" s="487">
        <v>0</v>
      </c>
      <c r="FX13" s="487">
        <v>0</v>
      </c>
      <c r="FY13" s="487">
        <v>0</v>
      </c>
      <c r="FZ13" s="487">
        <v>0</v>
      </c>
      <c r="GA13" s="487">
        <v>0</v>
      </c>
      <c r="GB13" s="487">
        <v>0</v>
      </c>
      <c r="GC13" s="487">
        <v>0</v>
      </c>
      <c r="GD13" s="487">
        <v>0</v>
      </c>
      <c r="GE13" s="487">
        <v>0</v>
      </c>
      <c r="GF13" s="487">
        <v>0</v>
      </c>
      <c r="GG13" s="487">
        <v>0</v>
      </c>
      <c r="GH13" s="487">
        <v>2521.6594312000002</v>
      </c>
      <c r="GI13" s="487">
        <v>2521.6594312000002</v>
      </c>
      <c r="GJ13" s="467"/>
      <c r="GK13" s="487">
        <v>0</v>
      </c>
      <c r="GL13" s="467"/>
      <c r="GM13" s="487">
        <v>0</v>
      </c>
      <c r="GN13" s="487">
        <v>0</v>
      </c>
      <c r="GO13" s="467"/>
      <c r="GP13" s="467"/>
      <c r="GQ13" s="487">
        <v>0</v>
      </c>
      <c r="GR13" s="467"/>
      <c r="GS13" s="467"/>
      <c r="GT13" s="487">
        <v>0</v>
      </c>
      <c r="GU13" s="487">
        <v>0</v>
      </c>
      <c r="GV13" s="487">
        <v>0</v>
      </c>
      <c r="GW13" s="487">
        <v>0</v>
      </c>
      <c r="GX13" s="487">
        <v>0</v>
      </c>
      <c r="GY13" s="487">
        <v>0</v>
      </c>
      <c r="GZ13" s="487">
        <v>0</v>
      </c>
      <c r="HA13" s="487">
        <v>0</v>
      </c>
      <c r="HB13" s="487">
        <v>0</v>
      </c>
      <c r="HC13" s="487">
        <v>0</v>
      </c>
      <c r="HD13" s="487">
        <v>0</v>
      </c>
      <c r="HE13" s="487">
        <v>0</v>
      </c>
      <c r="HF13" s="487">
        <v>0</v>
      </c>
      <c r="HG13" s="487">
        <v>0</v>
      </c>
      <c r="HH13" s="487">
        <v>0</v>
      </c>
      <c r="HI13" s="487">
        <v>0</v>
      </c>
      <c r="HJ13" s="487">
        <v>0</v>
      </c>
      <c r="HK13" s="487">
        <v>0</v>
      </c>
      <c r="HL13" s="467"/>
      <c r="HM13" s="467"/>
      <c r="HN13" s="467"/>
      <c r="HO13" s="467"/>
      <c r="HP13" s="467"/>
      <c r="HQ13" s="467"/>
      <c r="HR13" s="467"/>
      <c r="HS13" s="467"/>
      <c r="HT13" s="467"/>
      <c r="HU13" s="467"/>
      <c r="HV13" s="467"/>
      <c r="HW13" s="467"/>
      <c r="HX13" s="467"/>
      <c r="HY13" s="467"/>
      <c r="HZ13" s="467"/>
      <c r="IA13" s="467"/>
      <c r="IB13" s="467"/>
      <c r="IC13" s="467"/>
      <c r="ID13" s="467"/>
      <c r="IE13" s="467"/>
      <c r="IF13" s="467"/>
      <c r="IG13" s="467"/>
      <c r="IH13" s="467"/>
      <c r="II13" s="467"/>
      <c r="IJ13" s="467"/>
      <c r="IK13" s="467"/>
      <c r="IL13" s="467"/>
      <c r="IM13" s="467"/>
      <c r="IN13" s="467"/>
      <c r="IO13" s="467"/>
      <c r="IP13" s="467"/>
      <c r="IQ13" s="467"/>
      <c r="IR13" s="467"/>
      <c r="IS13" s="467"/>
      <c r="IT13" s="467"/>
      <c r="IU13" s="467"/>
      <c r="IV13" s="467"/>
      <c r="IW13" s="467"/>
      <c r="IX13" s="467"/>
      <c r="IY13" s="467"/>
      <c r="IZ13" s="467"/>
      <c r="JA13" s="467"/>
      <c r="JB13" s="467"/>
      <c r="JC13" s="467"/>
      <c r="JD13" s="467"/>
      <c r="JE13" s="467"/>
      <c r="JF13" s="467"/>
      <c r="JG13" s="467"/>
      <c r="JH13" s="467"/>
      <c r="JI13" s="467"/>
      <c r="JJ13" s="467"/>
      <c r="JK13" s="467"/>
      <c r="JL13" s="467"/>
      <c r="JM13" s="467"/>
      <c r="JN13" s="487">
        <v>130767.66434634423</v>
      </c>
      <c r="JO13" s="487">
        <v>78595.424731628591</v>
      </c>
      <c r="JP13" s="487">
        <v>279721.09166290099</v>
      </c>
      <c r="JQ13" s="487">
        <v>0</v>
      </c>
      <c r="JR13" s="487">
        <v>2521.6594312000002</v>
      </c>
      <c r="JS13" s="488">
        <v>503461.5284471481</v>
      </c>
      <c r="JT13" s="489">
        <f t="shared" si="10"/>
        <v>11855.688275074246</v>
      </c>
      <c r="JU13" s="487">
        <v>604153.83413657767</v>
      </c>
      <c r="JV13" s="487">
        <v>503461.5284471481</v>
      </c>
      <c r="JW13" s="487">
        <v>604153.83413657767</v>
      </c>
      <c r="JX13" s="487">
        <v>192500.71899999998</v>
      </c>
      <c r="JY13" s="487">
        <v>192500.71899999998</v>
      </c>
      <c r="JZ13" s="467"/>
      <c r="KA13" s="487">
        <v>192500.71899999998</v>
      </c>
      <c r="KB13" s="490">
        <v>0.51558801746156335</v>
      </c>
      <c r="KC13" s="487">
        <v>0.34982034801578266</v>
      </c>
      <c r="KD13" s="487">
        <v>503461.17862680001</v>
      </c>
      <c r="KE13" s="487">
        <v>192500.71899999998</v>
      </c>
      <c r="KF13" s="487">
        <v>0</v>
      </c>
      <c r="KG13" s="491">
        <v>0</v>
      </c>
      <c r="KH13" s="487">
        <v>0</v>
      </c>
      <c r="KI13" s="487">
        <v>258699.61406711998</v>
      </c>
      <c r="KJ13" s="491">
        <v>2645.3775870772529</v>
      </c>
      <c r="KK13" s="487">
        <v>97793.07699999999</v>
      </c>
      <c r="KL13" s="487">
        <v>244761.56455968003</v>
      </c>
      <c r="KM13" s="491">
        <v>2584.3908621405649</v>
      </c>
      <c r="KN13" s="487">
        <v>94707.642000000022</v>
      </c>
      <c r="KO13" s="487">
        <v>0</v>
      </c>
      <c r="KP13" s="491">
        <v>0</v>
      </c>
      <c r="KQ13" s="487">
        <v>0</v>
      </c>
      <c r="KR13" s="467"/>
      <c r="KS13" s="467"/>
      <c r="KT13" s="487">
        <v>631384</v>
      </c>
      <c r="KU13" s="487">
        <v>53</v>
      </c>
      <c r="KV13" s="467"/>
      <c r="KW13" s="487">
        <v>74796</v>
      </c>
      <c r="KX13" s="487">
        <v>224.49</v>
      </c>
      <c r="KY13" s="487">
        <v>40</v>
      </c>
      <c r="KZ13" s="467"/>
      <c r="LA13" s="487">
        <v>2500</v>
      </c>
      <c r="LB13" s="492">
        <v>12200</v>
      </c>
      <c r="LC13" s="493">
        <v>1.0960000000000001</v>
      </c>
      <c r="LD13" s="494">
        <f t="shared" si="11"/>
        <v>622362.36259709834</v>
      </c>
      <c r="LE13" s="471">
        <f t="shared" si="12"/>
        <v>518635.30216424866</v>
      </c>
      <c r="LF13" s="495">
        <f t="shared" si="13"/>
        <v>288537.30043577548</v>
      </c>
      <c r="LG13" s="476">
        <f t="shared" si="14"/>
        <v>217414.1413097973</v>
      </c>
      <c r="LH13" s="496">
        <f t="shared" si="31"/>
        <v>1.03</v>
      </c>
      <c r="LI13" s="497">
        <f t="shared" si="15"/>
        <v>208852.48938472627</v>
      </c>
      <c r="LJ13" s="496">
        <f t="shared" si="32"/>
        <v>1.0389999999999999</v>
      </c>
      <c r="LK13" s="497">
        <f t="shared" si="16"/>
        <v>1944.5315125228103</v>
      </c>
      <c r="LL13" s="496">
        <f t="shared" si="33"/>
        <v>1.0349999999999999</v>
      </c>
      <c r="LM13" s="497">
        <f t="shared" si="17"/>
        <v>6617.1204125482263</v>
      </c>
      <c r="LN13" s="496">
        <f t="shared" si="34"/>
        <v>1.0349999999999999</v>
      </c>
      <c r="LO13" s="497">
        <f t="shared" si="18"/>
        <v>0</v>
      </c>
      <c r="LP13" s="496">
        <f t="shared" si="35"/>
        <v>1.0349999999999999</v>
      </c>
      <c r="LQ13" s="497">
        <f t="shared" si="19"/>
        <v>64398.220660703853</v>
      </c>
      <c r="LR13" s="496">
        <f t="shared" si="36"/>
        <v>1.04</v>
      </c>
      <c r="LS13" s="497">
        <f t="shared" si="20"/>
        <v>6724.9384652743338</v>
      </c>
      <c r="LT13" s="499">
        <f t="shared" si="21"/>
        <v>134508.92722329314</v>
      </c>
      <c r="LU13" s="500">
        <f t="shared" si="22"/>
        <v>118754.50491943015</v>
      </c>
      <c r="LV13" s="501">
        <f t="shared" si="23"/>
        <v>15754.422303862981</v>
      </c>
      <c r="LW13" s="499">
        <f t="shared" si="24"/>
        <v>81123.468718813805</v>
      </c>
      <c r="LX13" s="500">
        <f t="shared" si="25"/>
        <v>35863.860485667909</v>
      </c>
      <c r="LY13" s="500">
        <f t="shared" si="26"/>
        <v>30687.989787118117</v>
      </c>
      <c r="LZ13" s="502">
        <f t="shared" si="27"/>
        <v>14571.618446027791</v>
      </c>
      <c r="MA13" s="503">
        <f t="shared" si="28"/>
        <v>11855.688275074246</v>
      </c>
      <c r="MB13" s="504">
        <f t="shared" si="29"/>
        <v>2609.9175112920002</v>
      </c>
    </row>
    <row r="14" spans="1:340" ht="16.5" customHeight="1">
      <c r="A14" s="505">
        <v>1</v>
      </c>
      <c r="B14" s="506">
        <v>4</v>
      </c>
      <c r="C14" s="507" t="s">
        <v>232</v>
      </c>
      <c r="D14" s="508">
        <v>4603004186</v>
      </c>
      <c r="E14" s="469">
        <f t="shared" si="3"/>
        <v>15737.742589217998</v>
      </c>
      <c r="F14" s="470" t="s">
        <v>287</v>
      </c>
      <c r="G14" s="595">
        <v>15737.760104438665</v>
      </c>
      <c r="H14" s="595">
        <f t="shared" si="30"/>
        <v>-1.7515220666609821E-2</v>
      </c>
      <c r="I14" s="595"/>
      <c r="J14" s="509">
        <f t="shared" si="4"/>
        <v>15737.742589217998</v>
      </c>
      <c r="K14" s="510">
        <f t="shared" si="5"/>
        <v>10543.979662551339</v>
      </c>
      <c r="L14" s="511">
        <f t="shared" si="6"/>
        <v>8644.3421800790784</v>
      </c>
      <c r="M14" s="512">
        <v>8644.3421800790784</v>
      </c>
      <c r="N14" s="513">
        <v>0</v>
      </c>
      <c r="O14" s="513">
        <v>0</v>
      </c>
      <c r="P14" s="514">
        <v>0</v>
      </c>
      <c r="Q14" s="515">
        <v>1835.0052584722605</v>
      </c>
      <c r="R14" s="516">
        <f t="shared" si="7"/>
        <v>64.632224000000008</v>
      </c>
      <c r="S14" s="517">
        <f t="shared" si="8"/>
        <v>3756.6930000000002</v>
      </c>
      <c r="T14" s="518">
        <v>3313.88</v>
      </c>
      <c r="U14" s="519">
        <v>442.8130000000001</v>
      </c>
      <c r="V14" s="520">
        <f t="shared" si="9"/>
        <v>1184.069926666657</v>
      </c>
      <c r="W14" s="521">
        <v>1000.79176</v>
      </c>
      <c r="X14" s="518">
        <v>10.083166666657116</v>
      </c>
      <c r="Y14" s="522">
        <v>173.19499999999994</v>
      </c>
      <c r="Z14" s="523">
        <v>1.8189894035458565E-12</v>
      </c>
      <c r="AA14" s="524">
        <v>253</v>
      </c>
      <c r="AB14" s="486"/>
      <c r="AC14" s="525">
        <v>8644.3421800790784</v>
      </c>
      <c r="AD14" s="525">
        <v>8644.3421800790784</v>
      </c>
      <c r="AE14" s="525">
        <v>0</v>
      </c>
      <c r="AF14" s="525">
        <v>0</v>
      </c>
      <c r="AG14" s="525">
        <v>0</v>
      </c>
      <c r="AH14" s="525">
        <v>1835.0052584722605</v>
      </c>
      <c r="AI14" s="525">
        <v>1835.0052584722605</v>
      </c>
      <c r="AJ14" s="525">
        <v>0</v>
      </c>
      <c r="AK14" s="525">
        <v>0</v>
      </c>
      <c r="AL14" s="525">
        <v>0</v>
      </c>
      <c r="AM14" s="525">
        <v>0</v>
      </c>
      <c r="AN14" s="525">
        <v>0</v>
      </c>
      <c r="AO14" s="525">
        <v>0</v>
      </c>
      <c r="AP14" s="525">
        <v>0</v>
      </c>
      <c r="AQ14" s="525">
        <v>0</v>
      </c>
      <c r="AR14" s="525">
        <v>0</v>
      </c>
      <c r="AS14" s="525">
        <v>0</v>
      </c>
      <c r="AT14" s="525">
        <v>0</v>
      </c>
      <c r="AU14" s="525">
        <v>0</v>
      </c>
      <c r="AV14" s="525">
        <v>0</v>
      </c>
      <c r="AW14" s="525">
        <v>0</v>
      </c>
      <c r="AX14" s="525">
        <v>0</v>
      </c>
      <c r="AY14" s="525">
        <v>0</v>
      </c>
      <c r="AZ14" s="525">
        <v>0</v>
      </c>
      <c r="BA14" s="525">
        <v>1835.0052584722605</v>
      </c>
      <c r="BB14" s="525">
        <v>219.18100100001917</v>
      </c>
      <c r="BC14" s="525">
        <v>0</v>
      </c>
      <c r="BD14" s="525">
        <v>0</v>
      </c>
      <c r="BE14" s="525">
        <v>0</v>
      </c>
      <c r="BF14" s="525">
        <v>0</v>
      </c>
      <c r="BG14" s="525">
        <v>0</v>
      </c>
      <c r="BH14" s="525">
        <v>0</v>
      </c>
      <c r="BI14" s="525">
        <v>0</v>
      </c>
      <c r="BJ14" s="525">
        <v>1835.0052584722605</v>
      </c>
      <c r="BK14" s="525">
        <v>8.3720999999999997</v>
      </c>
      <c r="BL14" s="525">
        <v>219.18100100001917</v>
      </c>
      <c r="BM14" s="525">
        <v>0</v>
      </c>
      <c r="BN14" s="525">
        <v>0</v>
      </c>
      <c r="BO14" s="525">
        <v>0</v>
      </c>
      <c r="BP14" s="525">
        <v>0</v>
      </c>
      <c r="BQ14" s="525">
        <v>0</v>
      </c>
      <c r="BR14" s="525">
        <v>0</v>
      </c>
      <c r="BS14" s="525">
        <v>0</v>
      </c>
      <c r="BT14" s="525">
        <v>0</v>
      </c>
      <c r="BU14" s="525">
        <v>0</v>
      </c>
      <c r="BV14" s="525">
        <v>0</v>
      </c>
      <c r="BW14" s="525">
        <v>0</v>
      </c>
      <c r="BX14" s="525">
        <v>0</v>
      </c>
      <c r="BY14" s="525">
        <v>0</v>
      </c>
      <c r="BZ14" s="525">
        <v>0</v>
      </c>
      <c r="CA14" s="525">
        <v>0</v>
      </c>
      <c r="CB14" s="525">
        <v>0</v>
      </c>
      <c r="CC14" s="525">
        <v>0</v>
      </c>
      <c r="CD14" s="525">
        <v>0</v>
      </c>
      <c r="CE14" s="525">
        <v>0</v>
      </c>
      <c r="CF14" s="525">
        <v>0</v>
      </c>
      <c r="CG14" s="525">
        <v>0</v>
      </c>
      <c r="CH14" s="525">
        <v>0</v>
      </c>
      <c r="CI14" s="525">
        <v>0</v>
      </c>
      <c r="CJ14" s="525">
        <v>0</v>
      </c>
      <c r="CK14" s="525">
        <v>0</v>
      </c>
      <c r="CL14" s="525">
        <v>0</v>
      </c>
      <c r="CM14" s="525">
        <v>3313.88</v>
      </c>
      <c r="CN14" s="525">
        <v>2021.98</v>
      </c>
      <c r="CO14" s="525">
        <v>0</v>
      </c>
      <c r="CP14" s="525">
        <v>522</v>
      </c>
      <c r="CQ14" s="525">
        <v>769.89999999999986</v>
      </c>
      <c r="CR14" s="525">
        <v>0</v>
      </c>
      <c r="CS14" s="525">
        <v>1000.79176</v>
      </c>
      <c r="CT14" s="525">
        <v>610.63796000000002</v>
      </c>
      <c r="CU14" s="525">
        <v>0</v>
      </c>
      <c r="CV14" s="525">
        <v>157.64400000000001</v>
      </c>
      <c r="CW14" s="525">
        <v>232.50979999999998</v>
      </c>
      <c r="CX14" s="525">
        <v>0</v>
      </c>
      <c r="CY14" s="525">
        <v>64.632224000000008</v>
      </c>
      <c r="CZ14" s="526"/>
      <c r="DA14" s="525">
        <v>0.95569999999999999</v>
      </c>
      <c r="DB14" s="525">
        <v>0</v>
      </c>
      <c r="DC14" s="526"/>
      <c r="DD14" s="525">
        <v>0</v>
      </c>
      <c r="DE14" s="525">
        <v>0</v>
      </c>
      <c r="DF14" s="525">
        <v>0</v>
      </c>
      <c r="DG14" s="525">
        <v>89.458000000000013</v>
      </c>
      <c r="DH14" s="525">
        <v>28.87</v>
      </c>
      <c r="DI14" s="525">
        <v>0</v>
      </c>
      <c r="DJ14" s="525">
        <v>60.588000000000008</v>
      </c>
      <c r="DK14" s="525">
        <v>0</v>
      </c>
      <c r="DL14" s="525">
        <v>0</v>
      </c>
      <c r="DM14" s="525">
        <v>0</v>
      </c>
      <c r="DN14" s="525">
        <v>0</v>
      </c>
      <c r="DO14" s="525">
        <v>0</v>
      </c>
      <c r="DP14" s="525">
        <v>163.41900000000001</v>
      </c>
      <c r="DQ14" s="525">
        <v>0</v>
      </c>
      <c r="DR14" s="525">
        <v>0</v>
      </c>
      <c r="DS14" s="525">
        <v>0</v>
      </c>
      <c r="DT14" s="525">
        <v>163.41900000000001</v>
      </c>
      <c r="DU14" s="525">
        <v>21.126000000000005</v>
      </c>
      <c r="DV14" s="525">
        <v>3.7940000000000005</v>
      </c>
      <c r="DW14" s="525">
        <v>0</v>
      </c>
      <c r="DX14" s="525">
        <v>0</v>
      </c>
      <c r="DY14" s="525">
        <v>17.332000000000001</v>
      </c>
      <c r="DZ14" s="525">
        <v>0</v>
      </c>
      <c r="EA14" s="525">
        <v>0</v>
      </c>
      <c r="EB14" s="525">
        <v>0</v>
      </c>
      <c r="EC14" s="525">
        <v>0</v>
      </c>
      <c r="ED14" s="525">
        <v>0</v>
      </c>
      <c r="EE14" s="525">
        <v>0</v>
      </c>
      <c r="EF14" s="525">
        <v>0</v>
      </c>
      <c r="EG14" s="525">
        <v>0</v>
      </c>
      <c r="EH14" s="525">
        <v>0</v>
      </c>
      <c r="EI14" s="525">
        <v>0</v>
      </c>
      <c r="EJ14" s="525">
        <v>0</v>
      </c>
      <c r="EK14" s="525">
        <v>0</v>
      </c>
      <c r="EL14" s="525">
        <v>0</v>
      </c>
      <c r="EM14" s="525">
        <v>27.36</v>
      </c>
      <c r="EN14" s="525">
        <v>0</v>
      </c>
      <c r="EO14" s="525">
        <v>0</v>
      </c>
      <c r="EP14" s="525">
        <v>141.44999999999999</v>
      </c>
      <c r="EQ14" s="525">
        <v>141.44999999999999</v>
      </c>
      <c r="ER14" s="525">
        <v>0</v>
      </c>
      <c r="ES14" s="525">
        <v>0</v>
      </c>
      <c r="ET14" s="525">
        <v>0</v>
      </c>
      <c r="EU14" s="525">
        <v>0</v>
      </c>
      <c r="EV14" s="525">
        <v>0</v>
      </c>
      <c r="EW14" s="525">
        <v>0</v>
      </c>
      <c r="EX14" s="525">
        <v>0</v>
      </c>
      <c r="EY14" s="525">
        <v>0</v>
      </c>
      <c r="EZ14" s="525">
        <v>0</v>
      </c>
      <c r="FA14" s="525">
        <v>0</v>
      </c>
      <c r="FB14" s="525">
        <v>166.435</v>
      </c>
      <c r="FC14" s="525">
        <v>0</v>
      </c>
      <c r="FD14" s="525">
        <v>11.59</v>
      </c>
      <c r="FE14" s="525">
        <v>0</v>
      </c>
      <c r="FF14" s="525">
        <v>154.84499999999997</v>
      </c>
      <c r="FG14" s="525">
        <v>0</v>
      </c>
      <c r="FH14" s="525">
        <v>0</v>
      </c>
      <c r="FI14" s="525">
        <v>0</v>
      </c>
      <c r="FJ14" s="525">
        <v>0</v>
      </c>
      <c r="FK14" s="525">
        <v>154.84499999999997</v>
      </c>
      <c r="FL14" s="525">
        <v>0</v>
      </c>
      <c r="FM14" s="525">
        <v>10.083166666657116</v>
      </c>
      <c r="FN14" s="525">
        <v>10.083166666657116</v>
      </c>
      <c r="FO14" s="525">
        <v>0</v>
      </c>
      <c r="FP14" s="525">
        <v>0</v>
      </c>
      <c r="FQ14" s="525">
        <v>6.76</v>
      </c>
      <c r="FR14" s="525">
        <v>0</v>
      </c>
      <c r="FS14" s="527">
        <v>15484.742589217996</v>
      </c>
      <c r="FT14" s="525">
        <v>0</v>
      </c>
      <c r="FU14" s="525">
        <v>0</v>
      </c>
      <c r="FV14" s="525">
        <v>0</v>
      </c>
      <c r="FW14" s="525">
        <v>0</v>
      </c>
      <c r="FX14" s="525">
        <v>0</v>
      </c>
      <c r="FY14" s="525">
        <v>0</v>
      </c>
      <c r="FZ14" s="525">
        <v>0</v>
      </c>
      <c r="GA14" s="525">
        <v>0</v>
      </c>
      <c r="GB14" s="525">
        <v>0</v>
      </c>
      <c r="GC14" s="525">
        <v>0</v>
      </c>
      <c r="GD14" s="525">
        <v>0</v>
      </c>
      <c r="GE14" s="525">
        <v>0</v>
      </c>
      <c r="GF14" s="525">
        <v>0</v>
      </c>
      <c r="GG14" s="525">
        <v>0</v>
      </c>
      <c r="GH14" s="525">
        <v>253</v>
      </c>
      <c r="GI14" s="525">
        <v>0</v>
      </c>
      <c r="GJ14" s="526"/>
      <c r="GK14" s="525">
        <v>253</v>
      </c>
      <c r="GL14" s="526"/>
      <c r="GM14" s="525">
        <v>0</v>
      </c>
      <c r="GN14" s="525">
        <v>0</v>
      </c>
      <c r="GO14" s="526"/>
      <c r="GP14" s="526"/>
      <c r="GQ14" s="525">
        <v>0</v>
      </c>
      <c r="GR14" s="526"/>
      <c r="GS14" s="526"/>
      <c r="GT14" s="525">
        <v>0</v>
      </c>
      <c r="GU14" s="525">
        <v>0</v>
      </c>
      <c r="GV14" s="525">
        <v>0</v>
      </c>
      <c r="GW14" s="525">
        <v>0</v>
      </c>
      <c r="GX14" s="525">
        <v>0</v>
      </c>
      <c r="GY14" s="525">
        <v>0</v>
      </c>
      <c r="GZ14" s="525">
        <v>0</v>
      </c>
      <c r="HA14" s="525">
        <v>0</v>
      </c>
      <c r="HB14" s="525">
        <v>0</v>
      </c>
      <c r="HC14" s="525">
        <v>0</v>
      </c>
      <c r="HD14" s="525">
        <v>0</v>
      </c>
      <c r="HE14" s="525">
        <v>0</v>
      </c>
      <c r="HF14" s="525">
        <v>0</v>
      </c>
      <c r="HG14" s="525">
        <v>0</v>
      </c>
      <c r="HH14" s="525">
        <v>0</v>
      </c>
      <c r="HI14" s="525">
        <v>0</v>
      </c>
      <c r="HJ14" s="525">
        <v>0</v>
      </c>
      <c r="HK14" s="525">
        <v>0</v>
      </c>
      <c r="HL14" s="526"/>
      <c r="HM14" s="526"/>
      <c r="HN14" s="526"/>
      <c r="HO14" s="526"/>
      <c r="HP14" s="526"/>
      <c r="HQ14" s="526"/>
      <c r="HR14" s="526"/>
      <c r="HS14" s="526"/>
      <c r="HT14" s="526"/>
      <c r="HU14" s="526"/>
      <c r="HV14" s="526"/>
      <c r="HW14" s="526"/>
      <c r="HX14" s="526"/>
      <c r="HY14" s="526"/>
      <c r="HZ14" s="526"/>
      <c r="IA14" s="526"/>
      <c r="IB14" s="526"/>
      <c r="IC14" s="526"/>
      <c r="ID14" s="526"/>
      <c r="IE14" s="526"/>
      <c r="IF14" s="526"/>
      <c r="IG14" s="526"/>
      <c r="IH14" s="526"/>
      <c r="II14" s="526"/>
      <c r="IJ14" s="526"/>
      <c r="IK14" s="526"/>
      <c r="IL14" s="526"/>
      <c r="IM14" s="526"/>
      <c r="IN14" s="526"/>
      <c r="IO14" s="526"/>
      <c r="IP14" s="526"/>
      <c r="IQ14" s="526"/>
      <c r="IR14" s="526"/>
      <c r="IS14" s="526"/>
      <c r="IT14" s="526"/>
      <c r="IU14" s="526"/>
      <c r="IV14" s="526"/>
      <c r="IW14" s="526"/>
      <c r="IX14" s="526"/>
      <c r="IY14" s="526"/>
      <c r="IZ14" s="526"/>
      <c r="JA14" s="526"/>
      <c r="JB14" s="526"/>
      <c r="JC14" s="526"/>
      <c r="JD14" s="526"/>
      <c r="JE14" s="526"/>
      <c r="JF14" s="526"/>
      <c r="JG14" s="526"/>
      <c r="JH14" s="526"/>
      <c r="JI14" s="526"/>
      <c r="JJ14" s="526"/>
      <c r="JK14" s="526"/>
      <c r="JL14" s="526"/>
      <c r="JM14" s="526"/>
      <c r="JN14" s="525">
        <v>3756.6930000000002</v>
      </c>
      <c r="JO14" s="525">
        <v>1184.069926666657</v>
      </c>
      <c r="JP14" s="525">
        <v>10543.979662551339</v>
      </c>
      <c r="JQ14" s="525">
        <v>0</v>
      </c>
      <c r="JR14" s="525">
        <v>253</v>
      </c>
      <c r="JS14" s="527">
        <v>15737.742589217996</v>
      </c>
      <c r="JT14" s="528">
        <f t="shared" si="10"/>
        <v>1.8189894035458565E-12</v>
      </c>
      <c r="JU14" s="525">
        <v>15737.742589217996</v>
      </c>
      <c r="JV14" s="525">
        <v>15737.742589217996</v>
      </c>
      <c r="JW14" s="525">
        <v>15737.742589217996</v>
      </c>
      <c r="JX14" s="525">
        <v>6942.9999999996999</v>
      </c>
      <c r="JY14" s="525">
        <v>6942.9999999996999</v>
      </c>
      <c r="JZ14" s="526"/>
      <c r="KA14" s="525">
        <v>6942.9999999996999</v>
      </c>
      <c r="KB14" s="529">
        <v>1.6338663593682436</v>
      </c>
      <c r="KC14" s="525">
        <v>-1.2280781305889832E-2</v>
      </c>
      <c r="KD14" s="525">
        <v>15737.754869999302</v>
      </c>
      <c r="KE14" s="525">
        <v>6942.9999999996999</v>
      </c>
      <c r="KF14" s="525">
        <v>0</v>
      </c>
      <c r="KG14" s="530">
        <v>0</v>
      </c>
      <c r="KH14" s="525">
        <v>0</v>
      </c>
      <c r="KI14" s="525">
        <v>9368.7567499997676</v>
      </c>
      <c r="KJ14" s="530">
        <v>2265.7211003627554</v>
      </c>
      <c r="KK14" s="525">
        <v>4134.9999999999</v>
      </c>
      <c r="KL14" s="525">
        <v>4991.9171299997688</v>
      </c>
      <c r="KM14" s="530">
        <v>2269.0532409090893</v>
      </c>
      <c r="KN14" s="525">
        <v>2199.9999999999</v>
      </c>
      <c r="KO14" s="525">
        <v>1377.0809899997689</v>
      </c>
      <c r="KP14" s="530">
        <v>2264.9358388157821</v>
      </c>
      <c r="KQ14" s="525">
        <v>607.99999999989996</v>
      </c>
      <c r="KR14" s="526"/>
      <c r="KS14" s="526"/>
      <c r="KT14" s="531">
        <v>7283.68</v>
      </c>
      <c r="KU14" s="531">
        <v>65</v>
      </c>
      <c r="KV14" s="526"/>
      <c r="KW14" s="531">
        <v>1970.92</v>
      </c>
      <c r="KX14" s="531">
        <v>3.89</v>
      </c>
      <c r="KY14" s="531">
        <v>0.2</v>
      </c>
      <c r="KZ14" s="526"/>
      <c r="LA14" s="531">
        <v>1707.2</v>
      </c>
      <c r="LB14" s="532">
        <v>527</v>
      </c>
      <c r="LC14" s="533">
        <v>0.30599999999999999</v>
      </c>
      <c r="LD14" s="494">
        <f t="shared" si="11"/>
        <v>16215.264702443832</v>
      </c>
      <c r="LE14" s="509">
        <f t="shared" si="12"/>
        <v>16215.264702443832</v>
      </c>
      <c r="LF14" s="534">
        <f t="shared" si="13"/>
        <v>10870.120400960241</v>
      </c>
      <c r="LG14" s="535">
        <f t="shared" si="14"/>
        <v>8903.6724454814503</v>
      </c>
      <c r="LH14" s="536">
        <f t="shared" si="31"/>
        <v>1.03</v>
      </c>
      <c r="LI14" s="537">
        <f t="shared" si="15"/>
        <v>8903.6724454814503</v>
      </c>
      <c r="LJ14" s="536">
        <f t="shared" si="32"/>
        <v>1.0389999999999999</v>
      </c>
      <c r="LK14" s="537">
        <f t="shared" si="16"/>
        <v>0</v>
      </c>
      <c r="LL14" s="536">
        <f t="shared" si="33"/>
        <v>1.0349999999999999</v>
      </c>
      <c r="LM14" s="537">
        <f t="shared" si="17"/>
        <v>0</v>
      </c>
      <c r="LN14" s="536">
        <f t="shared" si="34"/>
        <v>1.0349999999999999</v>
      </c>
      <c r="LO14" s="537">
        <f t="shared" si="18"/>
        <v>0</v>
      </c>
      <c r="LP14" s="536">
        <f t="shared" si="35"/>
        <v>1.0349999999999999</v>
      </c>
      <c r="LQ14" s="537">
        <f t="shared" si="19"/>
        <v>1899.2304425187895</v>
      </c>
      <c r="LR14" s="536">
        <f t="shared" si="36"/>
        <v>1.04</v>
      </c>
      <c r="LS14" s="537">
        <f t="shared" si="20"/>
        <v>67.217512960000008</v>
      </c>
      <c r="LT14" s="539">
        <f t="shared" si="21"/>
        <v>3864.1719867299998</v>
      </c>
      <c r="LU14" s="540">
        <f t="shared" si="22"/>
        <v>3408.6901067999997</v>
      </c>
      <c r="LV14" s="541">
        <f t="shared" si="23"/>
        <v>455.48187993000005</v>
      </c>
      <c r="LW14" s="542">
        <f t="shared" si="24"/>
        <v>1219.1173147535899</v>
      </c>
      <c r="LX14" s="540">
        <f t="shared" si="25"/>
        <v>1029.4244122535999</v>
      </c>
      <c r="LY14" s="540">
        <f t="shared" si="26"/>
        <v>10.436077499990114</v>
      </c>
      <c r="LZ14" s="543">
        <f t="shared" si="27"/>
        <v>179.25682499999991</v>
      </c>
      <c r="MA14" s="544">
        <f t="shared" si="28"/>
        <v>1.8189894035458565E-12</v>
      </c>
      <c r="MB14" s="545">
        <f t="shared" si="29"/>
        <v>261.85499999999996</v>
      </c>
    </row>
    <row r="15" spans="1:340" ht="16.5" customHeight="1">
      <c r="A15" s="465">
        <v>1</v>
      </c>
      <c r="B15" s="466">
        <v>5</v>
      </c>
      <c r="C15" s="467" t="s">
        <v>289</v>
      </c>
      <c r="D15" s="468">
        <v>4621009099</v>
      </c>
      <c r="E15" s="469">
        <f t="shared" si="3"/>
        <v>159.61113459210546</v>
      </c>
      <c r="F15" s="470" t="s">
        <v>287</v>
      </c>
      <c r="G15" s="595">
        <v>159.62118720000001</v>
      </c>
      <c r="H15" s="595">
        <f t="shared" si="30"/>
        <v>-1.0052607894550647E-2</v>
      </c>
      <c r="I15" s="595"/>
      <c r="J15" s="471">
        <f t="shared" si="4"/>
        <v>159.61113459210546</v>
      </c>
      <c r="K15" s="472">
        <f t="shared" si="5"/>
        <v>61.698134592105468</v>
      </c>
      <c r="L15" s="473">
        <f t="shared" si="6"/>
        <v>61.698134592105468</v>
      </c>
      <c r="M15" s="474">
        <v>61.698134592105468</v>
      </c>
      <c r="N15" s="475">
        <v>0</v>
      </c>
      <c r="O15" s="475">
        <v>0</v>
      </c>
      <c r="P15" s="476">
        <v>0</v>
      </c>
      <c r="Q15" s="477">
        <v>0</v>
      </c>
      <c r="R15" s="478">
        <f t="shared" si="7"/>
        <v>0</v>
      </c>
      <c r="S15" s="479">
        <f t="shared" si="8"/>
        <v>58.54</v>
      </c>
      <c r="T15" s="479">
        <v>58.54</v>
      </c>
      <c r="U15" s="480">
        <v>0</v>
      </c>
      <c r="V15" s="481">
        <f t="shared" si="9"/>
        <v>37.828000000000003</v>
      </c>
      <c r="W15" s="482">
        <v>17.678000000000001</v>
      </c>
      <c r="X15" s="479">
        <v>18.399999999999999</v>
      </c>
      <c r="Y15" s="483">
        <v>1.7500000000000036</v>
      </c>
      <c r="Z15" s="484">
        <v>1.5449999999999946</v>
      </c>
      <c r="AA15" s="485">
        <v>0</v>
      </c>
      <c r="AB15" s="486"/>
      <c r="AC15" s="487">
        <v>61.698134592105468</v>
      </c>
      <c r="AD15" s="487">
        <v>61.698134592105468</v>
      </c>
      <c r="AE15" s="487">
        <v>0</v>
      </c>
      <c r="AF15" s="487">
        <v>0</v>
      </c>
      <c r="AG15" s="487">
        <v>0</v>
      </c>
      <c r="AH15" s="487">
        <v>0</v>
      </c>
      <c r="AI15" s="487">
        <v>0</v>
      </c>
      <c r="AJ15" s="487">
        <v>0</v>
      </c>
      <c r="AK15" s="487">
        <v>0</v>
      </c>
      <c r="AL15" s="487">
        <v>0</v>
      </c>
      <c r="AM15" s="487">
        <v>0</v>
      </c>
      <c r="AN15" s="487">
        <v>0</v>
      </c>
      <c r="AO15" s="487">
        <v>0</v>
      </c>
      <c r="AP15" s="487">
        <v>0</v>
      </c>
      <c r="AQ15" s="487">
        <v>0</v>
      </c>
      <c r="AR15" s="487">
        <v>0</v>
      </c>
      <c r="AS15" s="487">
        <v>0</v>
      </c>
      <c r="AT15" s="487">
        <v>0</v>
      </c>
      <c r="AU15" s="487">
        <v>0</v>
      </c>
      <c r="AV15" s="487">
        <v>0</v>
      </c>
      <c r="AW15" s="487">
        <v>0</v>
      </c>
      <c r="AX15" s="487">
        <v>0</v>
      </c>
      <c r="AY15" s="487">
        <v>0</v>
      </c>
      <c r="AZ15" s="487">
        <v>0</v>
      </c>
      <c r="BA15" s="487">
        <v>0</v>
      </c>
      <c r="BB15" s="487">
        <v>0</v>
      </c>
      <c r="BC15" s="487">
        <v>0</v>
      </c>
      <c r="BD15" s="487">
        <v>0</v>
      </c>
      <c r="BE15" s="487">
        <v>0</v>
      </c>
      <c r="BF15" s="487">
        <v>0</v>
      </c>
      <c r="BG15" s="487">
        <v>0</v>
      </c>
      <c r="BH15" s="487">
        <v>0</v>
      </c>
      <c r="BI15" s="487">
        <v>0</v>
      </c>
      <c r="BJ15" s="487">
        <v>0</v>
      </c>
      <c r="BK15" s="487">
        <v>0</v>
      </c>
      <c r="BL15" s="487">
        <v>0</v>
      </c>
      <c r="BM15" s="487">
        <v>0</v>
      </c>
      <c r="BN15" s="487">
        <v>0</v>
      </c>
      <c r="BO15" s="487">
        <v>0</v>
      </c>
      <c r="BP15" s="487">
        <v>0</v>
      </c>
      <c r="BQ15" s="487">
        <v>0</v>
      </c>
      <c r="BR15" s="487">
        <v>0</v>
      </c>
      <c r="BS15" s="487">
        <v>0</v>
      </c>
      <c r="BT15" s="487">
        <v>0</v>
      </c>
      <c r="BU15" s="487">
        <v>0</v>
      </c>
      <c r="BV15" s="487">
        <v>0</v>
      </c>
      <c r="BW15" s="487">
        <v>0</v>
      </c>
      <c r="BX15" s="487">
        <v>0</v>
      </c>
      <c r="BY15" s="487">
        <v>0</v>
      </c>
      <c r="BZ15" s="487">
        <v>0</v>
      </c>
      <c r="CA15" s="487">
        <v>0</v>
      </c>
      <c r="CB15" s="487">
        <v>0</v>
      </c>
      <c r="CC15" s="487">
        <v>0</v>
      </c>
      <c r="CD15" s="487">
        <v>0</v>
      </c>
      <c r="CE15" s="487">
        <v>0</v>
      </c>
      <c r="CF15" s="487">
        <v>0</v>
      </c>
      <c r="CG15" s="487">
        <v>0</v>
      </c>
      <c r="CH15" s="487">
        <v>0</v>
      </c>
      <c r="CI15" s="487">
        <v>0</v>
      </c>
      <c r="CJ15" s="487">
        <v>0</v>
      </c>
      <c r="CK15" s="487">
        <v>0</v>
      </c>
      <c r="CL15" s="487">
        <v>0</v>
      </c>
      <c r="CM15" s="487">
        <v>58.54</v>
      </c>
      <c r="CN15" s="487">
        <v>58.54</v>
      </c>
      <c r="CO15" s="487">
        <v>0</v>
      </c>
      <c r="CP15" s="487">
        <v>0</v>
      </c>
      <c r="CQ15" s="487">
        <v>0</v>
      </c>
      <c r="CR15" s="487">
        <v>0</v>
      </c>
      <c r="CS15" s="487">
        <v>17.678000000000001</v>
      </c>
      <c r="CT15" s="487">
        <v>17.678000000000001</v>
      </c>
      <c r="CU15" s="487">
        <v>0</v>
      </c>
      <c r="CV15" s="487">
        <v>0</v>
      </c>
      <c r="CW15" s="487">
        <v>0</v>
      </c>
      <c r="CX15" s="487">
        <v>0</v>
      </c>
      <c r="CY15" s="487">
        <v>0</v>
      </c>
      <c r="CZ15" s="467"/>
      <c r="DA15" s="487">
        <v>0</v>
      </c>
      <c r="DB15" s="487">
        <v>0</v>
      </c>
      <c r="DC15" s="467"/>
      <c r="DD15" s="487">
        <v>0</v>
      </c>
      <c r="DE15" s="487">
        <v>0</v>
      </c>
      <c r="DF15" s="487">
        <v>0</v>
      </c>
      <c r="DG15" s="487">
        <v>0</v>
      </c>
      <c r="DH15" s="487">
        <v>0</v>
      </c>
      <c r="DI15" s="487">
        <v>0</v>
      </c>
      <c r="DJ15" s="487">
        <v>0</v>
      </c>
      <c r="DK15" s="487">
        <v>0</v>
      </c>
      <c r="DL15" s="487">
        <v>0</v>
      </c>
      <c r="DM15" s="487">
        <v>0</v>
      </c>
      <c r="DN15" s="487">
        <v>0</v>
      </c>
      <c r="DO15" s="487">
        <v>0</v>
      </c>
      <c r="DP15" s="487">
        <v>0</v>
      </c>
      <c r="DQ15" s="487">
        <v>0</v>
      </c>
      <c r="DR15" s="487">
        <v>0</v>
      </c>
      <c r="DS15" s="487">
        <v>0</v>
      </c>
      <c r="DT15" s="487">
        <v>0</v>
      </c>
      <c r="DU15" s="487">
        <v>0</v>
      </c>
      <c r="DV15" s="487">
        <v>0</v>
      </c>
      <c r="DW15" s="487">
        <v>0</v>
      </c>
      <c r="DX15" s="487">
        <v>0</v>
      </c>
      <c r="DY15" s="487">
        <v>0</v>
      </c>
      <c r="DZ15" s="487">
        <v>0</v>
      </c>
      <c r="EA15" s="487">
        <v>0</v>
      </c>
      <c r="EB15" s="487">
        <v>0</v>
      </c>
      <c r="EC15" s="487">
        <v>0</v>
      </c>
      <c r="ED15" s="487">
        <v>0</v>
      </c>
      <c r="EE15" s="487">
        <v>0</v>
      </c>
      <c r="EF15" s="487">
        <v>0</v>
      </c>
      <c r="EG15" s="487">
        <v>0</v>
      </c>
      <c r="EH15" s="487">
        <v>0</v>
      </c>
      <c r="EI15" s="487">
        <v>0</v>
      </c>
      <c r="EJ15" s="487">
        <v>0</v>
      </c>
      <c r="EK15" s="487">
        <v>0</v>
      </c>
      <c r="EL15" s="487">
        <v>0</v>
      </c>
      <c r="EM15" s="487">
        <v>0</v>
      </c>
      <c r="EN15" s="487">
        <v>0</v>
      </c>
      <c r="EO15" s="487">
        <v>0</v>
      </c>
      <c r="EP15" s="487">
        <v>0</v>
      </c>
      <c r="EQ15" s="487">
        <v>0</v>
      </c>
      <c r="ER15" s="487">
        <v>0</v>
      </c>
      <c r="ES15" s="487">
        <v>0</v>
      </c>
      <c r="ET15" s="487">
        <v>0</v>
      </c>
      <c r="EU15" s="487">
        <v>0</v>
      </c>
      <c r="EV15" s="487">
        <v>0</v>
      </c>
      <c r="EW15" s="487">
        <v>0</v>
      </c>
      <c r="EX15" s="487">
        <v>0</v>
      </c>
      <c r="EY15" s="487">
        <v>0</v>
      </c>
      <c r="EZ15" s="487">
        <v>0</v>
      </c>
      <c r="FA15" s="487">
        <v>0</v>
      </c>
      <c r="FB15" s="487">
        <v>1.7499999999999998</v>
      </c>
      <c r="FC15" s="487">
        <v>0</v>
      </c>
      <c r="FD15" s="487">
        <v>0.17</v>
      </c>
      <c r="FE15" s="487">
        <v>0</v>
      </c>
      <c r="FF15" s="487">
        <v>1.58</v>
      </c>
      <c r="FG15" s="487">
        <v>0</v>
      </c>
      <c r="FH15" s="487">
        <v>0</v>
      </c>
      <c r="FI15" s="487">
        <v>0</v>
      </c>
      <c r="FJ15" s="487">
        <v>0</v>
      </c>
      <c r="FK15" s="487">
        <v>1.58</v>
      </c>
      <c r="FL15" s="487">
        <v>0</v>
      </c>
      <c r="FM15" s="487">
        <v>18.399999999999999</v>
      </c>
      <c r="FN15" s="487">
        <v>18.399999999999999</v>
      </c>
      <c r="FO15" s="487">
        <v>0</v>
      </c>
      <c r="FP15" s="487">
        <v>0</v>
      </c>
      <c r="FQ15" s="487">
        <v>0</v>
      </c>
      <c r="FR15" s="487">
        <v>0</v>
      </c>
      <c r="FS15" s="488">
        <v>158.06613459210547</v>
      </c>
      <c r="FT15" s="487">
        <v>0</v>
      </c>
      <c r="FU15" s="487">
        <v>0</v>
      </c>
      <c r="FV15" s="487">
        <v>0</v>
      </c>
      <c r="FW15" s="487">
        <v>0</v>
      </c>
      <c r="FX15" s="487">
        <v>0</v>
      </c>
      <c r="FY15" s="487">
        <v>0</v>
      </c>
      <c r="FZ15" s="487">
        <v>0</v>
      </c>
      <c r="GA15" s="487">
        <v>0</v>
      </c>
      <c r="GB15" s="487">
        <v>0</v>
      </c>
      <c r="GC15" s="487">
        <v>0</v>
      </c>
      <c r="GD15" s="487">
        <v>0</v>
      </c>
      <c r="GE15" s="487">
        <v>0</v>
      </c>
      <c r="GF15" s="487">
        <v>0</v>
      </c>
      <c r="GG15" s="487">
        <v>0</v>
      </c>
      <c r="GH15" s="487">
        <v>0</v>
      </c>
      <c r="GI15" s="487">
        <v>0</v>
      </c>
      <c r="GJ15" s="467"/>
      <c r="GK15" s="487">
        <v>0</v>
      </c>
      <c r="GL15" s="467"/>
      <c r="GM15" s="487">
        <v>0</v>
      </c>
      <c r="GN15" s="487">
        <v>0</v>
      </c>
      <c r="GO15" s="467"/>
      <c r="GP15" s="467"/>
      <c r="GQ15" s="487">
        <v>0</v>
      </c>
      <c r="GR15" s="467"/>
      <c r="GS15" s="467"/>
      <c r="GT15" s="487">
        <v>0</v>
      </c>
      <c r="GU15" s="487">
        <v>0</v>
      </c>
      <c r="GV15" s="487">
        <v>0</v>
      </c>
      <c r="GW15" s="487">
        <v>0</v>
      </c>
      <c r="GX15" s="487">
        <v>0</v>
      </c>
      <c r="GY15" s="487">
        <v>0</v>
      </c>
      <c r="GZ15" s="487">
        <v>0</v>
      </c>
      <c r="HA15" s="487">
        <v>0</v>
      </c>
      <c r="HB15" s="487">
        <v>0</v>
      </c>
      <c r="HC15" s="487">
        <v>0</v>
      </c>
      <c r="HD15" s="487">
        <v>0</v>
      </c>
      <c r="HE15" s="487">
        <v>0</v>
      </c>
      <c r="HF15" s="487">
        <v>0</v>
      </c>
      <c r="HG15" s="487">
        <v>0</v>
      </c>
      <c r="HH15" s="487">
        <v>0</v>
      </c>
      <c r="HI15" s="487">
        <v>0</v>
      </c>
      <c r="HJ15" s="487">
        <v>0</v>
      </c>
      <c r="HK15" s="487">
        <v>0</v>
      </c>
      <c r="HL15" s="467"/>
      <c r="HM15" s="467"/>
      <c r="HN15" s="467"/>
      <c r="HO15" s="467"/>
      <c r="HP15" s="467"/>
      <c r="HQ15" s="467"/>
      <c r="HR15" s="467"/>
      <c r="HS15" s="467"/>
      <c r="HT15" s="467"/>
      <c r="HU15" s="467"/>
      <c r="HV15" s="467"/>
      <c r="HW15" s="467"/>
      <c r="HX15" s="467"/>
      <c r="HY15" s="467"/>
      <c r="HZ15" s="467"/>
      <c r="IA15" s="467"/>
      <c r="IB15" s="467"/>
      <c r="IC15" s="467"/>
      <c r="ID15" s="467"/>
      <c r="IE15" s="467"/>
      <c r="IF15" s="467"/>
      <c r="IG15" s="467"/>
      <c r="IH15" s="467"/>
      <c r="II15" s="467"/>
      <c r="IJ15" s="467"/>
      <c r="IK15" s="467"/>
      <c r="IL15" s="467"/>
      <c r="IM15" s="467"/>
      <c r="IN15" s="467"/>
      <c r="IO15" s="467"/>
      <c r="IP15" s="467"/>
      <c r="IQ15" s="467"/>
      <c r="IR15" s="467"/>
      <c r="IS15" s="467"/>
      <c r="IT15" s="467"/>
      <c r="IU15" s="467"/>
      <c r="IV15" s="467"/>
      <c r="IW15" s="467"/>
      <c r="IX15" s="467"/>
      <c r="IY15" s="467"/>
      <c r="IZ15" s="467"/>
      <c r="JA15" s="467"/>
      <c r="JB15" s="467"/>
      <c r="JC15" s="467"/>
      <c r="JD15" s="467"/>
      <c r="JE15" s="467"/>
      <c r="JF15" s="467"/>
      <c r="JG15" s="467"/>
      <c r="JH15" s="467"/>
      <c r="JI15" s="467"/>
      <c r="JJ15" s="467"/>
      <c r="JK15" s="467"/>
      <c r="JL15" s="467"/>
      <c r="JM15" s="467"/>
      <c r="JN15" s="487">
        <v>58.54</v>
      </c>
      <c r="JO15" s="487">
        <v>37.828000000000003</v>
      </c>
      <c r="JP15" s="487">
        <v>61.698134592105468</v>
      </c>
      <c r="JQ15" s="487">
        <v>0</v>
      </c>
      <c r="JR15" s="487">
        <v>0</v>
      </c>
      <c r="JS15" s="488">
        <v>159.61113459210546</v>
      </c>
      <c r="JT15" s="489">
        <f t="shared" si="10"/>
        <v>1.5449999999999946</v>
      </c>
      <c r="JU15" s="487">
        <v>159.61113459210546</v>
      </c>
      <c r="JV15" s="487">
        <v>159.61113459210546</v>
      </c>
      <c r="JW15" s="487">
        <v>159.61113459210546</v>
      </c>
      <c r="JX15" s="487">
        <v>57.115982000000002</v>
      </c>
      <c r="JY15" s="487">
        <v>57.115982000000002</v>
      </c>
      <c r="JZ15" s="467"/>
      <c r="KA15" s="487">
        <v>57.115982000000002</v>
      </c>
      <c r="KB15" s="490">
        <v>0</v>
      </c>
      <c r="KC15" s="487">
        <v>1.1756471854766914E-3</v>
      </c>
      <c r="KD15" s="487">
        <v>159.60995894491998</v>
      </c>
      <c r="KE15" s="487">
        <v>57.115982000000002</v>
      </c>
      <c r="KF15" s="487">
        <v>0</v>
      </c>
      <c r="KG15" s="491">
        <v>0</v>
      </c>
      <c r="KH15" s="487">
        <v>0</v>
      </c>
      <c r="KI15" s="487">
        <v>0</v>
      </c>
      <c r="KJ15" s="491">
        <v>0</v>
      </c>
      <c r="KK15" s="487">
        <v>0</v>
      </c>
      <c r="KL15" s="487">
        <v>159.60995894491998</v>
      </c>
      <c r="KM15" s="491">
        <v>2794.488571428571</v>
      </c>
      <c r="KN15" s="487">
        <v>57.115982000000002</v>
      </c>
      <c r="KO15" s="487">
        <v>0</v>
      </c>
      <c r="KP15" s="491">
        <v>0</v>
      </c>
      <c r="KQ15" s="487">
        <v>0</v>
      </c>
      <c r="KR15" s="467"/>
      <c r="KS15" s="467"/>
      <c r="KT15" s="487">
        <v>326.05</v>
      </c>
      <c r="KU15" s="487">
        <v>25</v>
      </c>
      <c r="KV15" s="467"/>
      <c r="KW15" s="487"/>
      <c r="KX15" s="487">
        <v>1.0000000000000001E-5</v>
      </c>
      <c r="KY15" s="487">
        <v>1.0000000000000001E-5</v>
      </c>
      <c r="KZ15" s="467"/>
      <c r="LA15" s="487">
        <v>57.116</v>
      </c>
      <c r="LB15" s="492">
        <v>32</v>
      </c>
      <c r="LC15" s="493">
        <v>0.02</v>
      </c>
      <c r="LD15" s="494">
        <f t="shared" si="11"/>
        <v>164.34792560986861</v>
      </c>
      <c r="LE15" s="471">
        <f t="shared" si="12"/>
        <v>164.34792560986861</v>
      </c>
      <c r="LF15" s="495">
        <f t="shared" si="13"/>
        <v>63.549078629868632</v>
      </c>
      <c r="LG15" s="476">
        <f t="shared" si="14"/>
        <v>63.549078629868632</v>
      </c>
      <c r="LH15" s="496">
        <f t="shared" si="31"/>
        <v>1.03</v>
      </c>
      <c r="LI15" s="497">
        <f t="shared" si="15"/>
        <v>63.549078629868632</v>
      </c>
      <c r="LJ15" s="496">
        <f t="shared" si="32"/>
        <v>1.0389999999999999</v>
      </c>
      <c r="LK15" s="497">
        <f t="shared" si="16"/>
        <v>0</v>
      </c>
      <c r="LL15" s="496">
        <f t="shared" si="33"/>
        <v>1.0349999999999999</v>
      </c>
      <c r="LM15" s="497">
        <f t="shared" si="17"/>
        <v>0</v>
      </c>
      <c r="LN15" s="496">
        <f t="shared" si="34"/>
        <v>1.0349999999999999</v>
      </c>
      <c r="LO15" s="497">
        <f t="shared" si="18"/>
        <v>0</v>
      </c>
      <c r="LP15" s="496">
        <f t="shared" si="35"/>
        <v>1.0349999999999999</v>
      </c>
      <c r="LQ15" s="497">
        <f t="shared" si="19"/>
        <v>0</v>
      </c>
      <c r="LR15" s="496">
        <f t="shared" si="36"/>
        <v>1.04</v>
      </c>
      <c r="LS15" s="497">
        <f t="shared" si="20"/>
        <v>0</v>
      </c>
      <c r="LT15" s="499">
        <f t="shared" si="21"/>
        <v>60.214829399999992</v>
      </c>
      <c r="LU15" s="500">
        <f t="shared" si="22"/>
        <v>60.214829399999992</v>
      </c>
      <c r="LV15" s="501">
        <f t="shared" si="23"/>
        <v>0</v>
      </c>
      <c r="LW15" s="499">
        <f t="shared" si="24"/>
        <v>39.039017579999992</v>
      </c>
      <c r="LX15" s="500">
        <f t="shared" si="25"/>
        <v>18.183767579999998</v>
      </c>
      <c r="LY15" s="500">
        <f t="shared" si="26"/>
        <v>19.043999999999997</v>
      </c>
      <c r="LZ15" s="502">
        <f t="shared" si="27"/>
        <v>1.8112500000000036</v>
      </c>
      <c r="MA15" s="503">
        <f t="shared" si="28"/>
        <v>1.5449999999999946</v>
      </c>
      <c r="MB15" s="504">
        <f t="shared" si="29"/>
        <v>0</v>
      </c>
    </row>
    <row r="16" spans="1:340" ht="16.5" customHeight="1">
      <c r="A16" s="505">
        <v>1</v>
      </c>
      <c r="B16" s="506">
        <v>6</v>
      </c>
      <c r="C16" s="507" t="s">
        <v>315</v>
      </c>
      <c r="D16" s="508">
        <v>4633037132</v>
      </c>
      <c r="E16" s="469">
        <f t="shared" si="3"/>
        <v>47484.024566739747</v>
      </c>
      <c r="F16" s="470" t="s">
        <v>287</v>
      </c>
      <c r="G16" s="595">
        <v>47484.014832249661</v>
      </c>
      <c r="H16" s="595">
        <f t="shared" si="30"/>
        <v>9.734490085975267E-3</v>
      </c>
      <c r="I16" s="595"/>
      <c r="J16" s="509">
        <f t="shared" si="4"/>
        <v>47484.024566739747</v>
      </c>
      <c r="K16" s="510">
        <f t="shared" si="5"/>
        <v>35670.324795671615</v>
      </c>
      <c r="L16" s="511">
        <f t="shared" si="6"/>
        <v>28755.87299603676</v>
      </c>
      <c r="M16" s="512">
        <v>28755.87299603676</v>
      </c>
      <c r="N16" s="513">
        <v>0</v>
      </c>
      <c r="O16" s="513">
        <v>0</v>
      </c>
      <c r="P16" s="514">
        <v>0</v>
      </c>
      <c r="Q16" s="515">
        <v>6598.951411768925</v>
      </c>
      <c r="R16" s="516">
        <f t="shared" si="7"/>
        <v>315.50038786592717</v>
      </c>
      <c r="S16" s="517">
        <f t="shared" si="8"/>
        <v>9099.4833802082467</v>
      </c>
      <c r="T16" s="518">
        <v>7241.9071731863814</v>
      </c>
      <c r="U16" s="519">
        <v>1857.5762070218652</v>
      </c>
      <c r="V16" s="520">
        <f t="shared" si="9"/>
        <v>3364.243602081905</v>
      </c>
      <c r="W16" s="521">
        <v>2187.0559663022868</v>
      </c>
      <c r="X16" s="518">
        <v>668.25948000000017</v>
      </c>
      <c r="Y16" s="522">
        <v>508.92815577961801</v>
      </c>
      <c r="Z16" s="523">
        <v>-900.79101122202633</v>
      </c>
      <c r="AA16" s="524">
        <v>250.7638</v>
      </c>
      <c r="AB16" s="486"/>
      <c r="AC16" s="525">
        <v>28755.87299603676</v>
      </c>
      <c r="AD16" s="525">
        <v>28755.87299603676</v>
      </c>
      <c r="AE16" s="525">
        <v>0</v>
      </c>
      <c r="AF16" s="525">
        <v>0</v>
      </c>
      <c r="AG16" s="525">
        <v>0</v>
      </c>
      <c r="AH16" s="525">
        <v>6598.951411768925</v>
      </c>
      <c r="AI16" s="525">
        <v>6598.951411768925</v>
      </c>
      <c r="AJ16" s="525">
        <v>0</v>
      </c>
      <c r="AK16" s="525">
        <v>0</v>
      </c>
      <c r="AL16" s="525">
        <v>0</v>
      </c>
      <c r="AM16" s="525">
        <v>0</v>
      </c>
      <c r="AN16" s="525">
        <v>0</v>
      </c>
      <c r="AO16" s="525">
        <v>0</v>
      </c>
      <c r="AP16" s="525">
        <v>0</v>
      </c>
      <c r="AQ16" s="525">
        <v>0</v>
      </c>
      <c r="AR16" s="525">
        <v>0</v>
      </c>
      <c r="AS16" s="525">
        <v>0</v>
      </c>
      <c r="AT16" s="525">
        <v>0</v>
      </c>
      <c r="AU16" s="525">
        <v>0</v>
      </c>
      <c r="AV16" s="525">
        <v>0</v>
      </c>
      <c r="AW16" s="525">
        <v>0</v>
      </c>
      <c r="AX16" s="525">
        <v>0</v>
      </c>
      <c r="AY16" s="525">
        <v>0</v>
      </c>
      <c r="AZ16" s="525">
        <v>0</v>
      </c>
      <c r="BA16" s="525">
        <v>6598.951411768925</v>
      </c>
      <c r="BB16" s="525">
        <v>741.93180104646103</v>
      </c>
      <c r="BC16" s="525">
        <v>0</v>
      </c>
      <c r="BD16" s="525">
        <v>6598.951411768925</v>
      </c>
      <c r="BE16" s="525">
        <v>8.894283008844484</v>
      </c>
      <c r="BF16" s="525">
        <v>741.93180104646103</v>
      </c>
      <c r="BG16" s="525">
        <v>0</v>
      </c>
      <c r="BH16" s="525">
        <v>0</v>
      </c>
      <c r="BI16" s="525">
        <v>0</v>
      </c>
      <c r="BJ16" s="525">
        <v>0</v>
      </c>
      <c r="BK16" s="525">
        <v>0</v>
      </c>
      <c r="BL16" s="525">
        <v>0</v>
      </c>
      <c r="BM16" s="525">
        <v>0</v>
      </c>
      <c r="BN16" s="525">
        <v>0</v>
      </c>
      <c r="BO16" s="525">
        <v>0</v>
      </c>
      <c r="BP16" s="525">
        <v>0</v>
      </c>
      <c r="BQ16" s="525">
        <v>0</v>
      </c>
      <c r="BR16" s="525">
        <v>0</v>
      </c>
      <c r="BS16" s="525">
        <v>0</v>
      </c>
      <c r="BT16" s="525">
        <v>0</v>
      </c>
      <c r="BU16" s="525">
        <v>0</v>
      </c>
      <c r="BV16" s="525">
        <v>0</v>
      </c>
      <c r="BW16" s="525">
        <v>0</v>
      </c>
      <c r="BX16" s="525">
        <v>0</v>
      </c>
      <c r="BY16" s="525">
        <v>0</v>
      </c>
      <c r="BZ16" s="525">
        <v>0</v>
      </c>
      <c r="CA16" s="525">
        <v>0</v>
      </c>
      <c r="CB16" s="525">
        <v>0</v>
      </c>
      <c r="CC16" s="525">
        <v>0</v>
      </c>
      <c r="CD16" s="525">
        <v>0</v>
      </c>
      <c r="CE16" s="525">
        <v>0</v>
      </c>
      <c r="CF16" s="525">
        <v>0</v>
      </c>
      <c r="CG16" s="525">
        <v>0</v>
      </c>
      <c r="CH16" s="525">
        <v>0</v>
      </c>
      <c r="CI16" s="525">
        <v>0</v>
      </c>
      <c r="CJ16" s="525">
        <v>0</v>
      </c>
      <c r="CK16" s="525">
        <v>0</v>
      </c>
      <c r="CL16" s="525">
        <v>0</v>
      </c>
      <c r="CM16" s="525">
        <v>7241.9071731863814</v>
      </c>
      <c r="CN16" s="525">
        <v>5405.09485336128</v>
      </c>
      <c r="CO16" s="525">
        <v>0</v>
      </c>
      <c r="CP16" s="525">
        <v>0</v>
      </c>
      <c r="CQ16" s="525">
        <v>1836.8123198251001</v>
      </c>
      <c r="CR16" s="525">
        <v>0</v>
      </c>
      <c r="CS16" s="525">
        <v>2187.0559663022868</v>
      </c>
      <c r="CT16" s="525">
        <v>1632.3386457151064</v>
      </c>
      <c r="CU16" s="525">
        <v>0</v>
      </c>
      <c r="CV16" s="525">
        <v>0</v>
      </c>
      <c r="CW16" s="525">
        <v>554.71732058718021</v>
      </c>
      <c r="CX16" s="525">
        <v>0</v>
      </c>
      <c r="CY16" s="525">
        <v>315.50038786592717</v>
      </c>
      <c r="CZ16" s="526"/>
      <c r="DA16" s="525">
        <v>9.3035495790035085</v>
      </c>
      <c r="DB16" s="525">
        <v>0</v>
      </c>
      <c r="DC16" s="526"/>
      <c r="DD16" s="525">
        <v>0</v>
      </c>
      <c r="DE16" s="525">
        <v>0</v>
      </c>
      <c r="DF16" s="525">
        <v>0</v>
      </c>
      <c r="DG16" s="525">
        <v>467.020385161055</v>
      </c>
      <c r="DH16" s="525">
        <v>205.84323415655999</v>
      </c>
      <c r="DI16" s="525">
        <v>0</v>
      </c>
      <c r="DJ16" s="525">
        <v>261.17715100449499</v>
      </c>
      <c r="DK16" s="525">
        <v>0</v>
      </c>
      <c r="DL16" s="525">
        <v>0</v>
      </c>
      <c r="DM16" s="525">
        <v>0</v>
      </c>
      <c r="DN16" s="525">
        <v>0</v>
      </c>
      <c r="DO16" s="525">
        <v>0</v>
      </c>
      <c r="DP16" s="525">
        <v>1187.41695848265</v>
      </c>
      <c r="DQ16" s="525">
        <v>0</v>
      </c>
      <c r="DR16" s="525">
        <v>0</v>
      </c>
      <c r="DS16" s="525">
        <v>0</v>
      </c>
      <c r="DT16" s="525">
        <v>1187.41695848265</v>
      </c>
      <c r="DU16" s="525">
        <v>203.13886337816001</v>
      </c>
      <c r="DV16" s="525">
        <v>0</v>
      </c>
      <c r="DW16" s="525">
        <v>0</v>
      </c>
      <c r="DX16" s="525">
        <v>0</v>
      </c>
      <c r="DY16" s="525">
        <v>0</v>
      </c>
      <c r="DZ16" s="525">
        <v>0</v>
      </c>
      <c r="EA16" s="525">
        <v>0</v>
      </c>
      <c r="EB16" s="525">
        <v>0</v>
      </c>
      <c r="EC16" s="525">
        <v>0</v>
      </c>
      <c r="ED16" s="525">
        <v>0</v>
      </c>
      <c r="EE16" s="525">
        <v>0</v>
      </c>
      <c r="EF16" s="525">
        <v>0</v>
      </c>
      <c r="EG16" s="525">
        <v>203.13886337816001</v>
      </c>
      <c r="EH16" s="525">
        <v>0</v>
      </c>
      <c r="EI16" s="525">
        <v>0</v>
      </c>
      <c r="EJ16" s="525">
        <v>0</v>
      </c>
      <c r="EK16" s="525">
        <v>0</v>
      </c>
      <c r="EL16" s="525">
        <v>0</v>
      </c>
      <c r="EM16" s="525">
        <v>0</v>
      </c>
      <c r="EN16" s="525">
        <v>0</v>
      </c>
      <c r="EO16" s="525">
        <v>0</v>
      </c>
      <c r="EP16" s="525">
        <v>0</v>
      </c>
      <c r="EQ16" s="525">
        <v>0</v>
      </c>
      <c r="ER16" s="525">
        <v>0</v>
      </c>
      <c r="ES16" s="525">
        <v>0</v>
      </c>
      <c r="ET16" s="525">
        <v>0</v>
      </c>
      <c r="EU16" s="525">
        <v>0</v>
      </c>
      <c r="EV16" s="525">
        <v>0</v>
      </c>
      <c r="EW16" s="525">
        <v>0</v>
      </c>
      <c r="EX16" s="525">
        <v>0</v>
      </c>
      <c r="EY16" s="525">
        <v>0</v>
      </c>
      <c r="EZ16" s="525">
        <v>0</v>
      </c>
      <c r="FA16" s="525">
        <v>0</v>
      </c>
      <c r="FB16" s="525">
        <v>508.92815577961807</v>
      </c>
      <c r="FC16" s="525">
        <v>0</v>
      </c>
      <c r="FD16" s="525">
        <v>25.079999999999995</v>
      </c>
      <c r="FE16" s="525">
        <v>0</v>
      </c>
      <c r="FF16" s="525">
        <v>483.84815577961797</v>
      </c>
      <c r="FG16" s="525">
        <v>0</v>
      </c>
      <c r="FH16" s="525">
        <v>0</v>
      </c>
      <c r="FI16" s="525">
        <v>0</v>
      </c>
      <c r="FJ16" s="525">
        <v>0</v>
      </c>
      <c r="FK16" s="525">
        <v>483.84815577961797</v>
      </c>
      <c r="FL16" s="525">
        <v>0</v>
      </c>
      <c r="FM16" s="525">
        <v>668.25948000000017</v>
      </c>
      <c r="FN16" s="525">
        <v>0</v>
      </c>
      <c r="FO16" s="525">
        <v>668.25948000000017</v>
      </c>
      <c r="FP16" s="525">
        <v>0</v>
      </c>
      <c r="FQ16" s="525">
        <v>0</v>
      </c>
      <c r="FR16" s="525">
        <v>0</v>
      </c>
      <c r="FS16" s="527">
        <v>48134.051777961766</v>
      </c>
      <c r="FT16" s="525">
        <v>0</v>
      </c>
      <c r="FU16" s="525">
        <v>0</v>
      </c>
      <c r="FV16" s="525">
        <v>0</v>
      </c>
      <c r="FW16" s="525">
        <v>0</v>
      </c>
      <c r="FX16" s="525">
        <v>0</v>
      </c>
      <c r="FY16" s="525">
        <v>0</v>
      </c>
      <c r="FZ16" s="525">
        <v>0</v>
      </c>
      <c r="GA16" s="525">
        <v>0</v>
      </c>
      <c r="GB16" s="525">
        <v>0</v>
      </c>
      <c r="GC16" s="525">
        <v>0</v>
      </c>
      <c r="GD16" s="525">
        <v>0</v>
      </c>
      <c r="GE16" s="525">
        <v>0</v>
      </c>
      <c r="GF16" s="525">
        <v>0</v>
      </c>
      <c r="GG16" s="525">
        <v>0</v>
      </c>
      <c r="GH16" s="525">
        <v>250.7638</v>
      </c>
      <c r="GI16" s="525">
        <v>0</v>
      </c>
      <c r="GJ16" s="526"/>
      <c r="GK16" s="525">
        <v>250.7638</v>
      </c>
      <c r="GL16" s="526"/>
      <c r="GM16" s="525">
        <v>0</v>
      </c>
      <c r="GN16" s="525">
        <v>250.7638</v>
      </c>
      <c r="GO16" s="526"/>
      <c r="GP16" s="526"/>
      <c r="GQ16" s="525">
        <v>0</v>
      </c>
      <c r="GR16" s="526"/>
      <c r="GS16" s="526"/>
      <c r="GT16" s="525">
        <v>0</v>
      </c>
      <c r="GU16" s="525">
        <v>0</v>
      </c>
      <c r="GV16" s="525">
        <v>0</v>
      </c>
      <c r="GW16" s="525">
        <v>0</v>
      </c>
      <c r="GX16" s="525">
        <v>0</v>
      </c>
      <c r="GY16" s="525">
        <v>0</v>
      </c>
      <c r="GZ16" s="525">
        <v>0</v>
      </c>
      <c r="HA16" s="525">
        <v>0</v>
      </c>
      <c r="HB16" s="525">
        <v>0</v>
      </c>
      <c r="HC16" s="525">
        <v>0</v>
      </c>
      <c r="HD16" s="525">
        <v>0</v>
      </c>
      <c r="HE16" s="525">
        <v>0</v>
      </c>
      <c r="HF16" s="525">
        <v>0</v>
      </c>
      <c r="HG16" s="525">
        <v>0</v>
      </c>
      <c r="HH16" s="525">
        <v>0</v>
      </c>
      <c r="HI16" s="525">
        <v>0</v>
      </c>
      <c r="HJ16" s="525">
        <v>0</v>
      </c>
      <c r="HK16" s="525">
        <v>0</v>
      </c>
      <c r="HL16" s="526"/>
      <c r="HM16" s="526"/>
      <c r="HN16" s="526"/>
      <c r="HO16" s="526"/>
      <c r="HP16" s="526"/>
      <c r="HQ16" s="526"/>
      <c r="HR16" s="526"/>
      <c r="HS16" s="526"/>
      <c r="HT16" s="526"/>
      <c r="HU16" s="526"/>
      <c r="HV16" s="526"/>
      <c r="HW16" s="526"/>
      <c r="HX16" s="526"/>
      <c r="HY16" s="526"/>
      <c r="HZ16" s="526"/>
      <c r="IA16" s="526"/>
      <c r="IB16" s="526"/>
      <c r="IC16" s="526"/>
      <c r="ID16" s="526"/>
      <c r="IE16" s="526"/>
      <c r="IF16" s="526"/>
      <c r="IG16" s="526"/>
      <c r="IH16" s="526"/>
      <c r="II16" s="526"/>
      <c r="IJ16" s="526"/>
      <c r="IK16" s="526"/>
      <c r="IL16" s="526"/>
      <c r="IM16" s="526"/>
      <c r="IN16" s="526"/>
      <c r="IO16" s="526"/>
      <c r="IP16" s="526"/>
      <c r="IQ16" s="526"/>
      <c r="IR16" s="526"/>
      <c r="IS16" s="526"/>
      <c r="IT16" s="526"/>
      <c r="IU16" s="526"/>
      <c r="IV16" s="526"/>
      <c r="IW16" s="526"/>
      <c r="IX16" s="526"/>
      <c r="IY16" s="526"/>
      <c r="IZ16" s="526"/>
      <c r="JA16" s="526"/>
      <c r="JB16" s="526"/>
      <c r="JC16" s="526"/>
      <c r="JD16" s="526"/>
      <c r="JE16" s="526"/>
      <c r="JF16" s="526"/>
      <c r="JG16" s="526"/>
      <c r="JH16" s="526"/>
      <c r="JI16" s="526"/>
      <c r="JJ16" s="526"/>
      <c r="JK16" s="526"/>
      <c r="JL16" s="526"/>
      <c r="JM16" s="526"/>
      <c r="JN16" s="525">
        <v>9099.4833802082467</v>
      </c>
      <c r="JO16" s="525">
        <v>3364.243602081905</v>
      </c>
      <c r="JP16" s="525">
        <v>35670.324795671615</v>
      </c>
      <c r="JQ16" s="525">
        <v>0</v>
      </c>
      <c r="JR16" s="525">
        <v>250.7638</v>
      </c>
      <c r="JS16" s="527">
        <v>47484.024566739747</v>
      </c>
      <c r="JT16" s="528">
        <f t="shared" si="10"/>
        <v>-900.79101122202633</v>
      </c>
      <c r="JU16" s="525">
        <v>47484.024566739747</v>
      </c>
      <c r="JV16" s="525">
        <v>47484.024566739747</v>
      </c>
      <c r="JW16" s="525">
        <v>47484.024566739747</v>
      </c>
      <c r="JX16" s="525">
        <v>20010.693883756052</v>
      </c>
      <c r="JY16" s="525">
        <v>20010.693883756052</v>
      </c>
      <c r="JZ16" s="526"/>
      <c r="KA16" s="525">
        <v>20010.693883756052</v>
      </c>
      <c r="KB16" s="529">
        <v>0.52096964775945276</v>
      </c>
      <c r="KC16" s="525">
        <v>9.734490085975267E-3</v>
      </c>
      <c r="KD16" s="525">
        <v>47484.014832249661</v>
      </c>
      <c r="KE16" s="525">
        <v>20010.693883756052</v>
      </c>
      <c r="KF16" s="525">
        <v>0</v>
      </c>
      <c r="KG16" s="530">
        <v>0</v>
      </c>
      <c r="KH16" s="525">
        <v>0</v>
      </c>
      <c r="KI16" s="525">
        <v>8766.3979502793864</v>
      </c>
      <c r="KJ16" s="530">
        <v>2371.4099003526107</v>
      </c>
      <c r="KK16" s="525">
        <v>3696.7029398738232</v>
      </c>
      <c r="KL16" s="525">
        <v>38717.616881970273</v>
      </c>
      <c r="KM16" s="530">
        <v>2373.2768404220201</v>
      </c>
      <c r="KN16" s="525">
        <v>16313.990943882232</v>
      </c>
      <c r="KO16" s="525">
        <v>0</v>
      </c>
      <c r="KP16" s="530">
        <v>0</v>
      </c>
      <c r="KQ16" s="525">
        <v>0</v>
      </c>
      <c r="KR16" s="526"/>
      <c r="KS16" s="526"/>
      <c r="KT16" s="531">
        <v>38413.599999999999</v>
      </c>
      <c r="KU16" s="531">
        <v>54.1</v>
      </c>
      <c r="KV16" s="526"/>
      <c r="KW16" s="531">
        <v>18196.526000000002</v>
      </c>
      <c r="KX16" s="531">
        <v>10.82</v>
      </c>
      <c r="KY16" s="531">
        <v>7.4560000000000004</v>
      </c>
      <c r="KZ16" s="526"/>
      <c r="LA16" s="531">
        <v>1119</v>
      </c>
      <c r="LB16" s="532">
        <v>3684</v>
      </c>
      <c r="LC16" s="533">
        <v>1.9E-2</v>
      </c>
      <c r="LD16" s="494">
        <f t="shared" si="11"/>
        <v>48963.170262503336</v>
      </c>
      <c r="LE16" s="509">
        <f t="shared" si="12"/>
        <v>48963.170262503336</v>
      </c>
      <c r="LF16" s="534">
        <f t="shared" si="13"/>
        <v>36776.584300479262</v>
      </c>
      <c r="LG16" s="535">
        <f t="shared" si="14"/>
        <v>29618.549185917862</v>
      </c>
      <c r="LH16" s="536">
        <f t="shared" si="31"/>
        <v>1.03</v>
      </c>
      <c r="LI16" s="537">
        <f t="shared" si="15"/>
        <v>29618.549185917862</v>
      </c>
      <c r="LJ16" s="536">
        <f t="shared" si="32"/>
        <v>1.0389999999999999</v>
      </c>
      <c r="LK16" s="537">
        <f t="shared" si="16"/>
        <v>0</v>
      </c>
      <c r="LL16" s="536">
        <f t="shared" si="33"/>
        <v>1.0349999999999999</v>
      </c>
      <c r="LM16" s="537">
        <f t="shared" si="17"/>
        <v>0</v>
      </c>
      <c r="LN16" s="536">
        <f t="shared" si="34"/>
        <v>1.0349999999999999</v>
      </c>
      <c r="LO16" s="537">
        <f t="shared" si="18"/>
        <v>0</v>
      </c>
      <c r="LP16" s="536">
        <f t="shared" si="35"/>
        <v>1.0349999999999999</v>
      </c>
      <c r="LQ16" s="537">
        <f t="shared" si="19"/>
        <v>6829.914711180837</v>
      </c>
      <c r="LR16" s="536">
        <f t="shared" si="36"/>
        <v>1.04</v>
      </c>
      <c r="LS16" s="537">
        <f t="shared" si="20"/>
        <v>328.12040338056426</v>
      </c>
      <c r="LT16" s="539">
        <f t="shared" si="21"/>
        <v>9359.8195997160037</v>
      </c>
      <c r="LU16" s="540">
        <f t="shared" si="22"/>
        <v>7449.0981374112425</v>
      </c>
      <c r="LV16" s="541">
        <f t="shared" si="23"/>
        <v>1910.7214623047607</v>
      </c>
      <c r="LW16" s="542">
        <f t="shared" si="24"/>
        <v>3468.0168405300997</v>
      </c>
      <c r="LX16" s="540">
        <f t="shared" si="25"/>
        <v>2249.6276374981949</v>
      </c>
      <c r="LY16" s="540">
        <f t="shared" si="26"/>
        <v>691.64856180000015</v>
      </c>
      <c r="LZ16" s="543">
        <f t="shared" si="27"/>
        <v>526.74064123190465</v>
      </c>
      <c r="MA16" s="544">
        <f t="shared" si="28"/>
        <v>-900.79101122202633</v>
      </c>
      <c r="MB16" s="545">
        <f t="shared" si="29"/>
        <v>259.54053299999998</v>
      </c>
    </row>
    <row r="17" spans="1:340" ht="16.5" customHeight="1">
      <c r="A17" s="465">
        <v>1</v>
      </c>
      <c r="B17" s="466">
        <v>7</v>
      </c>
      <c r="C17" s="467" t="s">
        <v>310</v>
      </c>
      <c r="D17" s="468">
        <v>4633039010</v>
      </c>
      <c r="E17" s="469">
        <f t="shared" si="3"/>
        <v>10586.476939998807</v>
      </c>
      <c r="F17" s="470" t="s">
        <v>287</v>
      </c>
      <c r="G17" s="595">
        <v>10586.479298999999</v>
      </c>
      <c r="H17" s="595">
        <f t="shared" si="30"/>
        <v>-2.3590011915075593E-3</v>
      </c>
      <c r="I17" s="595"/>
      <c r="J17" s="471">
        <f t="shared" si="4"/>
        <v>10586.476939998807</v>
      </c>
      <c r="K17" s="472">
        <f t="shared" si="5"/>
        <v>7557.5484399988081</v>
      </c>
      <c r="L17" s="473">
        <f t="shared" si="6"/>
        <v>6949.5505616122082</v>
      </c>
      <c r="M17" s="474">
        <v>6949.5505616122082</v>
      </c>
      <c r="N17" s="475">
        <v>0</v>
      </c>
      <c r="O17" s="475">
        <v>0</v>
      </c>
      <c r="P17" s="476">
        <v>0</v>
      </c>
      <c r="Q17" s="477">
        <v>574.81988498660007</v>
      </c>
      <c r="R17" s="478">
        <f t="shared" si="7"/>
        <v>33.177993400000005</v>
      </c>
      <c r="S17" s="479">
        <f t="shared" si="8"/>
        <v>1437.31</v>
      </c>
      <c r="T17" s="479">
        <v>1296.75</v>
      </c>
      <c r="U17" s="480">
        <v>140.55999999999995</v>
      </c>
      <c r="V17" s="481">
        <f t="shared" si="9"/>
        <v>1591.6185</v>
      </c>
      <c r="W17" s="482">
        <v>391.61849999999993</v>
      </c>
      <c r="X17" s="479">
        <v>0</v>
      </c>
      <c r="Y17" s="483">
        <v>1200</v>
      </c>
      <c r="Z17" s="484">
        <v>-9.0949470177292824E-13</v>
      </c>
      <c r="AA17" s="485">
        <v>0</v>
      </c>
      <c r="AB17" s="486"/>
      <c r="AC17" s="487">
        <v>6949.5505616122082</v>
      </c>
      <c r="AD17" s="487">
        <v>6949.5505616122082</v>
      </c>
      <c r="AE17" s="487">
        <v>0</v>
      </c>
      <c r="AF17" s="487">
        <v>0</v>
      </c>
      <c r="AG17" s="487">
        <v>0</v>
      </c>
      <c r="AH17" s="487">
        <v>574.81988498660007</v>
      </c>
      <c r="AI17" s="487">
        <v>574.81988498660007</v>
      </c>
      <c r="AJ17" s="487">
        <v>0</v>
      </c>
      <c r="AK17" s="487">
        <v>0</v>
      </c>
      <c r="AL17" s="487">
        <v>0</v>
      </c>
      <c r="AM17" s="487">
        <v>0</v>
      </c>
      <c r="AN17" s="487">
        <v>0</v>
      </c>
      <c r="AO17" s="487">
        <v>0</v>
      </c>
      <c r="AP17" s="487">
        <v>0</v>
      </c>
      <c r="AQ17" s="487">
        <v>0</v>
      </c>
      <c r="AR17" s="487">
        <v>0</v>
      </c>
      <c r="AS17" s="487">
        <v>0</v>
      </c>
      <c r="AT17" s="487">
        <v>0</v>
      </c>
      <c r="AU17" s="487">
        <v>0</v>
      </c>
      <c r="AV17" s="487">
        <v>0</v>
      </c>
      <c r="AW17" s="487">
        <v>0</v>
      </c>
      <c r="AX17" s="487">
        <v>0</v>
      </c>
      <c r="AY17" s="487">
        <v>0</v>
      </c>
      <c r="AZ17" s="487">
        <v>0</v>
      </c>
      <c r="BA17" s="487">
        <v>574.81988498660007</v>
      </c>
      <c r="BB17" s="487">
        <v>138.74799999999999</v>
      </c>
      <c r="BC17" s="487">
        <v>0</v>
      </c>
      <c r="BD17" s="487">
        <v>574.81988498660007</v>
      </c>
      <c r="BE17" s="487">
        <v>4.1429057354815937</v>
      </c>
      <c r="BF17" s="487">
        <v>138.74799999999999</v>
      </c>
      <c r="BG17" s="487">
        <v>0</v>
      </c>
      <c r="BH17" s="487">
        <v>0</v>
      </c>
      <c r="BI17" s="487">
        <v>0</v>
      </c>
      <c r="BJ17" s="487">
        <v>0</v>
      </c>
      <c r="BK17" s="487">
        <v>0</v>
      </c>
      <c r="BL17" s="487">
        <v>0</v>
      </c>
      <c r="BM17" s="487">
        <v>0</v>
      </c>
      <c r="BN17" s="487">
        <v>0</v>
      </c>
      <c r="BO17" s="487">
        <v>0</v>
      </c>
      <c r="BP17" s="487">
        <v>0</v>
      </c>
      <c r="BQ17" s="487">
        <v>0</v>
      </c>
      <c r="BR17" s="487">
        <v>0</v>
      </c>
      <c r="BS17" s="487">
        <v>0</v>
      </c>
      <c r="BT17" s="487">
        <v>0</v>
      </c>
      <c r="BU17" s="487">
        <v>0</v>
      </c>
      <c r="BV17" s="487">
        <v>0</v>
      </c>
      <c r="BW17" s="487">
        <v>0</v>
      </c>
      <c r="BX17" s="487">
        <v>0</v>
      </c>
      <c r="BY17" s="487">
        <v>0</v>
      </c>
      <c r="BZ17" s="487">
        <v>0</v>
      </c>
      <c r="CA17" s="487">
        <v>0</v>
      </c>
      <c r="CB17" s="487">
        <v>0</v>
      </c>
      <c r="CC17" s="487">
        <v>0</v>
      </c>
      <c r="CD17" s="487">
        <v>0</v>
      </c>
      <c r="CE17" s="487">
        <v>0</v>
      </c>
      <c r="CF17" s="487">
        <v>0</v>
      </c>
      <c r="CG17" s="487">
        <v>0</v>
      </c>
      <c r="CH17" s="487">
        <v>0</v>
      </c>
      <c r="CI17" s="487">
        <v>0</v>
      </c>
      <c r="CJ17" s="487">
        <v>0</v>
      </c>
      <c r="CK17" s="487">
        <v>0</v>
      </c>
      <c r="CL17" s="487">
        <v>0</v>
      </c>
      <c r="CM17" s="487">
        <v>1296.75</v>
      </c>
      <c r="CN17" s="487">
        <v>752.68000000000006</v>
      </c>
      <c r="CO17" s="487">
        <v>0</v>
      </c>
      <c r="CP17" s="487">
        <v>0</v>
      </c>
      <c r="CQ17" s="487">
        <v>544.07000000000005</v>
      </c>
      <c r="CR17" s="487">
        <v>0</v>
      </c>
      <c r="CS17" s="487">
        <v>391.61849999999993</v>
      </c>
      <c r="CT17" s="487">
        <v>227.30936</v>
      </c>
      <c r="CU17" s="487">
        <v>0</v>
      </c>
      <c r="CV17" s="487">
        <v>0</v>
      </c>
      <c r="CW17" s="487">
        <v>164.30914000000001</v>
      </c>
      <c r="CX17" s="487">
        <v>0</v>
      </c>
      <c r="CY17" s="487">
        <v>33.177993400000005</v>
      </c>
      <c r="CZ17" s="467"/>
      <c r="DA17" s="487">
        <v>1.4230200000000002</v>
      </c>
      <c r="DB17" s="487">
        <v>0</v>
      </c>
      <c r="DC17" s="467"/>
      <c r="DD17" s="487">
        <v>0</v>
      </c>
      <c r="DE17" s="487">
        <v>0</v>
      </c>
      <c r="DF17" s="487">
        <v>0</v>
      </c>
      <c r="DG17" s="487">
        <v>131.72999999999999</v>
      </c>
      <c r="DH17" s="487">
        <v>0</v>
      </c>
      <c r="DI17" s="487">
        <v>0</v>
      </c>
      <c r="DJ17" s="487">
        <v>131.72999999999999</v>
      </c>
      <c r="DK17" s="487">
        <v>0</v>
      </c>
      <c r="DL17" s="487">
        <v>0</v>
      </c>
      <c r="DM17" s="487">
        <v>0</v>
      </c>
      <c r="DN17" s="487">
        <v>0</v>
      </c>
      <c r="DO17" s="487">
        <v>0</v>
      </c>
      <c r="DP17" s="487">
        <v>0</v>
      </c>
      <c r="DQ17" s="487">
        <v>0</v>
      </c>
      <c r="DR17" s="487">
        <v>0</v>
      </c>
      <c r="DS17" s="487">
        <v>0</v>
      </c>
      <c r="DT17" s="487">
        <v>0</v>
      </c>
      <c r="DU17" s="487">
        <v>8.83</v>
      </c>
      <c r="DV17" s="487">
        <v>0</v>
      </c>
      <c r="DW17" s="487">
        <v>0</v>
      </c>
      <c r="DX17" s="487">
        <v>0</v>
      </c>
      <c r="DY17" s="487">
        <v>0</v>
      </c>
      <c r="DZ17" s="487">
        <v>0</v>
      </c>
      <c r="EA17" s="487">
        <v>0</v>
      </c>
      <c r="EB17" s="487">
        <v>0</v>
      </c>
      <c r="EC17" s="487">
        <v>0</v>
      </c>
      <c r="ED17" s="487">
        <v>0</v>
      </c>
      <c r="EE17" s="487">
        <v>0</v>
      </c>
      <c r="EF17" s="487">
        <v>0</v>
      </c>
      <c r="EG17" s="487">
        <v>8.83</v>
      </c>
      <c r="EH17" s="487">
        <v>1200</v>
      </c>
      <c r="EI17" s="487">
        <v>1200</v>
      </c>
      <c r="EJ17" s="487">
        <v>0</v>
      </c>
      <c r="EK17" s="487">
        <v>0</v>
      </c>
      <c r="EL17" s="487">
        <v>0</v>
      </c>
      <c r="EM17" s="487">
        <v>0</v>
      </c>
      <c r="EN17" s="487">
        <v>0</v>
      </c>
      <c r="EO17" s="487">
        <v>0</v>
      </c>
      <c r="EP17" s="487">
        <v>0</v>
      </c>
      <c r="EQ17" s="487">
        <v>0</v>
      </c>
      <c r="ER17" s="487">
        <v>0</v>
      </c>
      <c r="ES17" s="487">
        <v>0</v>
      </c>
      <c r="ET17" s="487">
        <v>1200</v>
      </c>
      <c r="EU17" s="487">
        <v>1200</v>
      </c>
      <c r="EV17" s="487">
        <v>0</v>
      </c>
      <c r="EW17" s="487">
        <v>0</v>
      </c>
      <c r="EX17" s="487">
        <v>0</v>
      </c>
      <c r="EY17" s="487">
        <v>0</v>
      </c>
      <c r="EZ17" s="487">
        <v>0</v>
      </c>
      <c r="FA17" s="487">
        <v>0</v>
      </c>
      <c r="FB17" s="487">
        <v>0</v>
      </c>
      <c r="FC17" s="487">
        <v>0</v>
      </c>
      <c r="FD17" s="487">
        <v>0</v>
      </c>
      <c r="FE17" s="487">
        <v>0</v>
      </c>
      <c r="FF17" s="487">
        <v>0</v>
      </c>
      <c r="FG17" s="487">
        <v>0</v>
      </c>
      <c r="FH17" s="487">
        <v>0</v>
      </c>
      <c r="FI17" s="487">
        <v>0</v>
      </c>
      <c r="FJ17" s="487">
        <v>0</v>
      </c>
      <c r="FK17" s="487">
        <v>0</v>
      </c>
      <c r="FL17" s="487">
        <v>0</v>
      </c>
      <c r="FM17" s="487">
        <v>0</v>
      </c>
      <c r="FN17" s="487">
        <v>0</v>
      </c>
      <c r="FO17" s="487">
        <v>0</v>
      </c>
      <c r="FP17" s="487">
        <v>0</v>
      </c>
      <c r="FQ17" s="487">
        <v>0</v>
      </c>
      <c r="FR17" s="487">
        <v>0</v>
      </c>
      <c r="FS17" s="488">
        <v>10586.476939998807</v>
      </c>
      <c r="FT17" s="487">
        <v>0</v>
      </c>
      <c r="FU17" s="487">
        <v>0</v>
      </c>
      <c r="FV17" s="487">
        <v>0</v>
      </c>
      <c r="FW17" s="487">
        <v>0</v>
      </c>
      <c r="FX17" s="487">
        <v>0</v>
      </c>
      <c r="FY17" s="487">
        <v>0</v>
      </c>
      <c r="FZ17" s="487">
        <v>0</v>
      </c>
      <c r="GA17" s="487">
        <v>0</v>
      </c>
      <c r="GB17" s="487">
        <v>0</v>
      </c>
      <c r="GC17" s="487">
        <v>0</v>
      </c>
      <c r="GD17" s="487">
        <v>0</v>
      </c>
      <c r="GE17" s="487">
        <v>0</v>
      </c>
      <c r="GF17" s="487">
        <v>0</v>
      </c>
      <c r="GG17" s="487">
        <v>0</v>
      </c>
      <c r="GH17" s="487">
        <v>0</v>
      </c>
      <c r="GI17" s="487">
        <v>0</v>
      </c>
      <c r="GJ17" s="467"/>
      <c r="GK17" s="487">
        <v>0</v>
      </c>
      <c r="GL17" s="467"/>
      <c r="GM17" s="487">
        <v>0</v>
      </c>
      <c r="GN17" s="487">
        <v>0</v>
      </c>
      <c r="GO17" s="467"/>
      <c r="GP17" s="467"/>
      <c r="GQ17" s="487">
        <v>0</v>
      </c>
      <c r="GR17" s="467"/>
      <c r="GS17" s="467"/>
      <c r="GT17" s="487">
        <v>0</v>
      </c>
      <c r="GU17" s="487">
        <v>0</v>
      </c>
      <c r="GV17" s="487">
        <v>0</v>
      </c>
      <c r="GW17" s="487">
        <v>0</v>
      </c>
      <c r="GX17" s="487">
        <v>0</v>
      </c>
      <c r="GY17" s="487">
        <v>0</v>
      </c>
      <c r="GZ17" s="487">
        <v>0</v>
      </c>
      <c r="HA17" s="487">
        <v>0</v>
      </c>
      <c r="HB17" s="487">
        <v>0</v>
      </c>
      <c r="HC17" s="487">
        <v>0</v>
      </c>
      <c r="HD17" s="487">
        <v>0</v>
      </c>
      <c r="HE17" s="487">
        <v>0</v>
      </c>
      <c r="HF17" s="487">
        <v>0</v>
      </c>
      <c r="HG17" s="487">
        <v>0</v>
      </c>
      <c r="HH17" s="487">
        <v>0</v>
      </c>
      <c r="HI17" s="487">
        <v>0</v>
      </c>
      <c r="HJ17" s="487">
        <v>0</v>
      </c>
      <c r="HK17" s="487">
        <v>0</v>
      </c>
      <c r="HL17" s="467"/>
      <c r="HM17" s="467"/>
      <c r="HN17" s="467"/>
      <c r="HO17" s="467"/>
      <c r="HP17" s="467"/>
      <c r="HQ17" s="467"/>
      <c r="HR17" s="467"/>
      <c r="HS17" s="467"/>
      <c r="HT17" s="467"/>
      <c r="HU17" s="467"/>
      <c r="HV17" s="467"/>
      <c r="HW17" s="467"/>
      <c r="HX17" s="467"/>
      <c r="HY17" s="467"/>
      <c r="HZ17" s="467"/>
      <c r="IA17" s="467"/>
      <c r="IB17" s="467"/>
      <c r="IC17" s="467"/>
      <c r="ID17" s="467"/>
      <c r="IE17" s="467"/>
      <c r="IF17" s="467"/>
      <c r="IG17" s="467"/>
      <c r="IH17" s="467"/>
      <c r="II17" s="467"/>
      <c r="IJ17" s="467"/>
      <c r="IK17" s="467"/>
      <c r="IL17" s="467"/>
      <c r="IM17" s="467"/>
      <c r="IN17" s="467"/>
      <c r="IO17" s="467"/>
      <c r="IP17" s="467"/>
      <c r="IQ17" s="467"/>
      <c r="IR17" s="467"/>
      <c r="IS17" s="467"/>
      <c r="IT17" s="467"/>
      <c r="IU17" s="467"/>
      <c r="IV17" s="467"/>
      <c r="IW17" s="467"/>
      <c r="IX17" s="467"/>
      <c r="IY17" s="467"/>
      <c r="IZ17" s="467"/>
      <c r="JA17" s="467"/>
      <c r="JB17" s="467"/>
      <c r="JC17" s="467"/>
      <c r="JD17" s="467"/>
      <c r="JE17" s="467"/>
      <c r="JF17" s="467"/>
      <c r="JG17" s="467"/>
      <c r="JH17" s="467"/>
      <c r="JI17" s="467"/>
      <c r="JJ17" s="467"/>
      <c r="JK17" s="467"/>
      <c r="JL17" s="467"/>
      <c r="JM17" s="467"/>
      <c r="JN17" s="487">
        <v>1437.31</v>
      </c>
      <c r="JO17" s="487">
        <v>1591.6185</v>
      </c>
      <c r="JP17" s="487">
        <v>7557.5484399988081</v>
      </c>
      <c r="JQ17" s="487">
        <v>0</v>
      </c>
      <c r="JR17" s="487">
        <v>0</v>
      </c>
      <c r="JS17" s="488">
        <v>10586.476939998807</v>
      </c>
      <c r="JT17" s="489">
        <f t="shared" si="10"/>
        <v>-9.0949470177292824E-13</v>
      </c>
      <c r="JU17" s="487">
        <v>10586.476939998807</v>
      </c>
      <c r="JV17" s="487">
        <v>10586.476939998807</v>
      </c>
      <c r="JW17" s="487">
        <v>10586.476939998807</v>
      </c>
      <c r="JX17" s="487">
        <v>7039.77</v>
      </c>
      <c r="JY17" s="487">
        <v>7039.77</v>
      </c>
      <c r="JZ17" s="467"/>
      <c r="KA17" s="487">
        <v>7039.77</v>
      </c>
      <c r="KB17" s="490">
        <v>0</v>
      </c>
      <c r="KC17" s="487">
        <v>-2.9484011938620824E-3</v>
      </c>
      <c r="KD17" s="487">
        <v>10586.479888400001</v>
      </c>
      <c r="KE17" s="487">
        <v>7039.77</v>
      </c>
      <c r="KF17" s="487">
        <v>0</v>
      </c>
      <c r="KG17" s="491">
        <v>0</v>
      </c>
      <c r="KH17" s="487">
        <v>0</v>
      </c>
      <c r="KI17" s="487">
        <v>0</v>
      </c>
      <c r="KJ17" s="491">
        <v>0</v>
      </c>
      <c r="KK17" s="487">
        <v>0</v>
      </c>
      <c r="KL17" s="487">
        <v>9576.7479098000003</v>
      </c>
      <c r="KM17" s="491">
        <v>1503.5179682427045</v>
      </c>
      <c r="KN17" s="487">
        <v>6369.56</v>
      </c>
      <c r="KO17" s="487">
        <v>1009.7319785999998</v>
      </c>
      <c r="KP17" s="491">
        <v>1506.5904397129254</v>
      </c>
      <c r="KQ17" s="487">
        <v>670.21</v>
      </c>
      <c r="KR17" s="467"/>
      <c r="KS17" s="467"/>
      <c r="KT17" s="487">
        <v>2400</v>
      </c>
      <c r="KU17" s="487"/>
      <c r="KV17" s="467"/>
      <c r="KW17" s="487"/>
      <c r="KX17" s="487">
        <v>9.9999999999999995E-8</v>
      </c>
      <c r="KY17" s="487"/>
      <c r="KZ17" s="467"/>
      <c r="LA17" s="487">
        <v>6369.56</v>
      </c>
      <c r="LB17" s="492">
        <v>715</v>
      </c>
      <c r="LC17" s="493">
        <v>0.74199999999999999</v>
      </c>
      <c r="LD17" s="494">
        <f t="shared" si="11"/>
        <v>10910.734916942703</v>
      </c>
      <c r="LE17" s="471">
        <f t="shared" si="12"/>
        <v>10910.734916942703</v>
      </c>
      <c r="LF17" s="495">
        <f t="shared" si="13"/>
        <v>7787.4807725577057</v>
      </c>
      <c r="LG17" s="476">
        <f t="shared" si="14"/>
        <v>7158.0370784605748</v>
      </c>
      <c r="LH17" s="496">
        <f t="shared" si="31"/>
        <v>1.03</v>
      </c>
      <c r="LI17" s="497">
        <f t="shared" si="15"/>
        <v>7158.0370784605748</v>
      </c>
      <c r="LJ17" s="496">
        <f t="shared" si="32"/>
        <v>1.0389999999999999</v>
      </c>
      <c r="LK17" s="497">
        <f t="shared" si="16"/>
        <v>0</v>
      </c>
      <c r="LL17" s="496">
        <f t="shared" si="33"/>
        <v>1.0349999999999999</v>
      </c>
      <c r="LM17" s="497">
        <f t="shared" si="17"/>
        <v>0</v>
      </c>
      <c r="LN17" s="496">
        <f t="shared" si="34"/>
        <v>1.0349999999999999</v>
      </c>
      <c r="LO17" s="497">
        <f t="shared" si="18"/>
        <v>0</v>
      </c>
      <c r="LP17" s="496">
        <f t="shared" si="35"/>
        <v>1.0349999999999999</v>
      </c>
      <c r="LQ17" s="497">
        <f t="shared" si="19"/>
        <v>594.93858096113104</v>
      </c>
      <c r="LR17" s="496">
        <f t="shared" si="36"/>
        <v>1.04</v>
      </c>
      <c r="LS17" s="497">
        <f t="shared" si="20"/>
        <v>34.505113136000006</v>
      </c>
      <c r="LT17" s="499">
        <f t="shared" si="21"/>
        <v>1478.4314390999998</v>
      </c>
      <c r="LU17" s="500">
        <f t="shared" si="22"/>
        <v>1333.8500174999999</v>
      </c>
      <c r="LV17" s="501">
        <f t="shared" si="23"/>
        <v>144.58142159999994</v>
      </c>
      <c r="LW17" s="499">
        <f t="shared" si="24"/>
        <v>1644.822705285</v>
      </c>
      <c r="LX17" s="500">
        <f t="shared" si="25"/>
        <v>402.82270528499993</v>
      </c>
      <c r="LY17" s="500">
        <f t="shared" si="26"/>
        <v>0</v>
      </c>
      <c r="LZ17" s="502">
        <f t="shared" si="27"/>
        <v>1242</v>
      </c>
      <c r="MA17" s="503">
        <f t="shared" si="28"/>
        <v>-9.0949470177292824E-13</v>
      </c>
      <c r="MB17" s="504">
        <f t="shared" si="29"/>
        <v>0</v>
      </c>
    </row>
    <row r="18" spans="1:340" ht="16.5" customHeight="1">
      <c r="A18" s="505">
        <v>1</v>
      </c>
      <c r="B18" s="506">
        <v>8</v>
      </c>
      <c r="C18" s="507" t="s">
        <v>291</v>
      </c>
      <c r="D18" s="508">
        <v>4633022993</v>
      </c>
      <c r="E18" s="469">
        <f t="shared" si="3"/>
        <v>77928.483464489356</v>
      </c>
      <c r="F18" s="470" t="s">
        <v>287</v>
      </c>
      <c r="G18" s="595">
        <v>77928.493844799988</v>
      </c>
      <c r="H18" s="595">
        <f t="shared" si="30"/>
        <v>-1.0380310632172041E-2</v>
      </c>
      <c r="I18" s="595"/>
      <c r="J18" s="509">
        <f t="shared" si="4"/>
        <v>77928.483464489356</v>
      </c>
      <c r="K18" s="510">
        <f t="shared" si="5"/>
        <v>56580.075357635753</v>
      </c>
      <c r="L18" s="511">
        <f t="shared" si="6"/>
        <v>53407.61366092824</v>
      </c>
      <c r="M18" s="512">
        <v>53407.61366092824</v>
      </c>
      <c r="N18" s="513">
        <v>0</v>
      </c>
      <c r="O18" s="513">
        <v>0</v>
      </c>
      <c r="P18" s="514">
        <v>0</v>
      </c>
      <c r="Q18" s="515">
        <v>3132.5927417119915</v>
      </c>
      <c r="R18" s="516">
        <f t="shared" si="7"/>
        <v>39.868954995523524</v>
      </c>
      <c r="S18" s="517">
        <f t="shared" si="8"/>
        <v>6830.2458748536019</v>
      </c>
      <c r="T18" s="518">
        <v>3399.2160000000008</v>
      </c>
      <c r="U18" s="519">
        <v>3431.0298748536011</v>
      </c>
      <c r="V18" s="520">
        <f t="shared" si="9"/>
        <v>14189.502231999999</v>
      </c>
      <c r="W18" s="521">
        <v>1026.563232</v>
      </c>
      <c r="X18" s="518">
        <v>6406.8</v>
      </c>
      <c r="Y18" s="522">
        <v>6756.1389999999983</v>
      </c>
      <c r="Z18" s="523">
        <v>328.66000000000349</v>
      </c>
      <c r="AA18" s="524">
        <v>0</v>
      </c>
      <c r="AB18" s="486"/>
      <c r="AC18" s="525">
        <v>53407.61366092824</v>
      </c>
      <c r="AD18" s="525">
        <v>53407.61366092824</v>
      </c>
      <c r="AE18" s="525">
        <v>0</v>
      </c>
      <c r="AF18" s="525">
        <v>0</v>
      </c>
      <c r="AG18" s="525">
        <v>0</v>
      </c>
      <c r="AH18" s="525">
        <v>3132.5927417119915</v>
      </c>
      <c r="AI18" s="525">
        <v>3132.5927417119915</v>
      </c>
      <c r="AJ18" s="525">
        <v>0</v>
      </c>
      <c r="AK18" s="525">
        <v>0</v>
      </c>
      <c r="AL18" s="525">
        <v>0</v>
      </c>
      <c r="AM18" s="525">
        <v>0</v>
      </c>
      <c r="AN18" s="525">
        <v>0</v>
      </c>
      <c r="AO18" s="525">
        <v>0</v>
      </c>
      <c r="AP18" s="525">
        <v>0</v>
      </c>
      <c r="AQ18" s="525">
        <v>0</v>
      </c>
      <c r="AR18" s="525">
        <v>0</v>
      </c>
      <c r="AS18" s="525">
        <v>0</v>
      </c>
      <c r="AT18" s="525">
        <v>0</v>
      </c>
      <c r="AU18" s="525">
        <v>0</v>
      </c>
      <c r="AV18" s="525">
        <v>0</v>
      </c>
      <c r="AW18" s="525">
        <v>0</v>
      </c>
      <c r="AX18" s="525">
        <v>0</v>
      </c>
      <c r="AY18" s="525">
        <v>0</v>
      </c>
      <c r="AZ18" s="525">
        <v>0</v>
      </c>
      <c r="BA18" s="525">
        <v>3132.5927417119915</v>
      </c>
      <c r="BB18" s="525">
        <v>766.6560062907962</v>
      </c>
      <c r="BC18" s="525">
        <v>0</v>
      </c>
      <c r="BD18" s="525">
        <v>3132.5927417119915</v>
      </c>
      <c r="BE18" s="525">
        <v>4.086047348494632</v>
      </c>
      <c r="BF18" s="525">
        <v>766.6560062907962</v>
      </c>
      <c r="BG18" s="525">
        <v>0</v>
      </c>
      <c r="BH18" s="525">
        <v>0</v>
      </c>
      <c r="BI18" s="525">
        <v>0</v>
      </c>
      <c r="BJ18" s="525">
        <v>0</v>
      </c>
      <c r="BK18" s="525">
        <v>0</v>
      </c>
      <c r="BL18" s="525">
        <v>0</v>
      </c>
      <c r="BM18" s="525">
        <v>0</v>
      </c>
      <c r="BN18" s="525">
        <v>0</v>
      </c>
      <c r="BO18" s="525">
        <v>0</v>
      </c>
      <c r="BP18" s="525">
        <v>0</v>
      </c>
      <c r="BQ18" s="525">
        <v>0</v>
      </c>
      <c r="BR18" s="525">
        <v>0</v>
      </c>
      <c r="BS18" s="525">
        <v>0</v>
      </c>
      <c r="BT18" s="525">
        <v>0</v>
      </c>
      <c r="BU18" s="525">
        <v>0</v>
      </c>
      <c r="BV18" s="525">
        <v>0</v>
      </c>
      <c r="BW18" s="525">
        <v>0</v>
      </c>
      <c r="BX18" s="525">
        <v>0</v>
      </c>
      <c r="BY18" s="525">
        <v>0</v>
      </c>
      <c r="BZ18" s="525">
        <v>0</v>
      </c>
      <c r="CA18" s="525">
        <v>0</v>
      </c>
      <c r="CB18" s="525">
        <v>0</v>
      </c>
      <c r="CC18" s="525">
        <v>0</v>
      </c>
      <c r="CD18" s="525">
        <v>0</v>
      </c>
      <c r="CE18" s="525">
        <v>0</v>
      </c>
      <c r="CF18" s="525">
        <v>0</v>
      </c>
      <c r="CG18" s="525">
        <v>0</v>
      </c>
      <c r="CH18" s="525">
        <v>0</v>
      </c>
      <c r="CI18" s="525">
        <v>0</v>
      </c>
      <c r="CJ18" s="525">
        <v>0</v>
      </c>
      <c r="CK18" s="525">
        <v>0</v>
      </c>
      <c r="CL18" s="525">
        <v>0</v>
      </c>
      <c r="CM18" s="525">
        <v>3399.2160000000008</v>
      </c>
      <c r="CN18" s="525">
        <v>2521.5830000000001</v>
      </c>
      <c r="CO18" s="525">
        <v>0</v>
      </c>
      <c r="CP18" s="525">
        <v>0</v>
      </c>
      <c r="CQ18" s="525">
        <v>877.63300000000004</v>
      </c>
      <c r="CR18" s="525">
        <v>0</v>
      </c>
      <c r="CS18" s="525">
        <v>1026.563232</v>
      </c>
      <c r="CT18" s="525">
        <v>761.51806599999998</v>
      </c>
      <c r="CU18" s="525">
        <v>0</v>
      </c>
      <c r="CV18" s="525">
        <v>0</v>
      </c>
      <c r="CW18" s="525">
        <v>265.04516599999999</v>
      </c>
      <c r="CX18" s="525">
        <v>0</v>
      </c>
      <c r="CY18" s="525">
        <v>39.868954995523524</v>
      </c>
      <c r="CZ18" s="526"/>
      <c r="DA18" s="525">
        <v>1.7144620702153872</v>
      </c>
      <c r="DB18" s="525">
        <v>0</v>
      </c>
      <c r="DC18" s="526"/>
      <c r="DD18" s="525">
        <v>0</v>
      </c>
      <c r="DE18" s="525">
        <v>0</v>
      </c>
      <c r="DF18" s="525">
        <v>0</v>
      </c>
      <c r="DG18" s="525">
        <v>1482.7847308536004</v>
      </c>
      <c r="DH18" s="525">
        <v>18.658682853600002</v>
      </c>
      <c r="DI18" s="525">
        <v>0</v>
      </c>
      <c r="DJ18" s="525">
        <v>1464.1260480000003</v>
      </c>
      <c r="DK18" s="525">
        <v>0</v>
      </c>
      <c r="DL18" s="525">
        <v>0</v>
      </c>
      <c r="DM18" s="525">
        <v>0</v>
      </c>
      <c r="DN18" s="525">
        <v>0</v>
      </c>
      <c r="DO18" s="525">
        <v>0</v>
      </c>
      <c r="DP18" s="525">
        <v>0</v>
      </c>
      <c r="DQ18" s="525">
        <v>0</v>
      </c>
      <c r="DR18" s="525">
        <v>0</v>
      </c>
      <c r="DS18" s="525">
        <v>0</v>
      </c>
      <c r="DT18" s="525">
        <v>0</v>
      </c>
      <c r="DU18" s="525">
        <v>1567.5834480000001</v>
      </c>
      <c r="DV18" s="525">
        <v>3.1332080000000002</v>
      </c>
      <c r="DW18" s="525">
        <v>0</v>
      </c>
      <c r="DX18" s="525">
        <v>0</v>
      </c>
      <c r="DY18" s="525">
        <v>0</v>
      </c>
      <c r="DZ18" s="525">
        <v>313.72078399999998</v>
      </c>
      <c r="EA18" s="525">
        <v>198.65871999999999</v>
      </c>
      <c r="EB18" s="525">
        <v>0</v>
      </c>
      <c r="EC18" s="525">
        <v>0</v>
      </c>
      <c r="ED18" s="525">
        <v>0</v>
      </c>
      <c r="EE18" s="525">
        <v>0</v>
      </c>
      <c r="EF18" s="525">
        <v>0</v>
      </c>
      <c r="EG18" s="525">
        <v>1052.0707360000001</v>
      </c>
      <c r="EH18" s="525">
        <v>6004.4028027905206</v>
      </c>
      <c r="EI18" s="525">
        <v>0</v>
      </c>
      <c r="EJ18" s="525">
        <v>0</v>
      </c>
      <c r="EK18" s="525">
        <v>6004.4028027905206</v>
      </c>
      <c r="EL18" s="525">
        <v>30.357760000000003</v>
      </c>
      <c r="EM18" s="525">
        <v>28.193743999999995</v>
      </c>
      <c r="EN18" s="525">
        <v>0</v>
      </c>
      <c r="EO18" s="525">
        <v>0</v>
      </c>
      <c r="EP18" s="525">
        <v>322.11019200000004</v>
      </c>
      <c r="EQ18" s="525">
        <v>0</v>
      </c>
      <c r="ER18" s="525">
        <v>322.11019200000004</v>
      </c>
      <c r="ES18" s="525">
        <v>0</v>
      </c>
      <c r="ET18" s="525">
        <v>5860.8190000000004</v>
      </c>
      <c r="EU18" s="525">
        <v>5860.8190000000004</v>
      </c>
      <c r="EV18" s="525">
        <v>0</v>
      </c>
      <c r="EW18" s="525">
        <v>0</v>
      </c>
      <c r="EX18" s="525">
        <v>0</v>
      </c>
      <c r="EY18" s="525">
        <v>0</v>
      </c>
      <c r="EZ18" s="525">
        <v>0</v>
      </c>
      <c r="FA18" s="525">
        <v>0</v>
      </c>
      <c r="FB18" s="525">
        <v>895.32</v>
      </c>
      <c r="FC18" s="525">
        <v>0</v>
      </c>
      <c r="FD18" s="525">
        <v>49.519999999999996</v>
      </c>
      <c r="FE18" s="525">
        <v>69.8</v>
      </c>
      <c r="FF18" s="525">
        <v>776</v>
      </c>
      <c r="FG18" s="525">
        <v>0</v>
      </c>
      <c r="FH18" s="525">
        <v>0</v>
      </c>
      <c r="FI18" s="525">
        <v>0</v>
      </c>
      <c r="FJ18" s="525">
        <v>0</v>
      </c>
      <c r="FK18" s="525">
        <v>776</v>
      </c>
      <c r="FL18" s="525">
        <v>0</v>
      </c>
      <c r="FM18" s="525">
        <v>6406.8</v>
      </c>
      <c r="FN18" s="525">
        <v>6406.8</v>
      </c>
      <c r="FO18" s="525">
        <v>0</v>
      </c>
      <c r="FP18" s="525">
        <v>0</v>
      </c>
      <c r="FQ18" s="525">
        <v>0</v>
      </c>
      <c r="FR18" s="525">
        <v>0</v>
      </c>
      <c r="FS18" s="527">
        <v>77599.823464489353</v>
      </c>
      <c r="FT18" s="525">
        <v>0</v>
      </c>
      <c r="FU18" s="525">
        <v>0</v>
      </c>
      <c r="FV18" s="525">
        <v>0</v>
      </c>
      <c r="FW18" s="525">
        <v>0</v>
      </c>
      <c r="FX18" s="525">
        <v>0</v>
      </c>
      <c r="FY18" s="525">
        <v>0</v>
      </c>
      <c r="FZ18" s="525">
        <v>0</v>
      </c>
      <c r="GA18" s="525">
        <v>0</v>
      </c>
      <c r="GB18" s="525">
        <v>0</v>
      </c>
      <c r="GC18" s="525">
        <v>0</v>
      </c>
      <c r="GD18" s="525">
        <v>0</v>
      </c>
      <c r="GE18" s="525">
        <v>0</v>
      </c>
      <c r="GF18" s="525">
        <v>0</v>
      </c>
      <c r="GG18" s="525">
        <v>0</v>
      </c>
      <c r="GH18" s="525">
        <v>0</v>
      </c>
      <c r="GI18" s="525">
        <v>0</v>
      </c>
      <c r="GJ18" s="526"/>
      <c r="GK18" s="525">
        <v>0</v>
      </c>
      <c r="GL18" s="526"/>
      <c r="GM18" s="525">
        <v>0</v>
      </c>
      <c r="GN18" s="525">
        <v>0</v>
      </c>
      <c r="GO18" s="526"/>
      <c r="GP18" s="526"/>
      <c r="GQ18" s="525">
        <v>0</v>
      </c>
      <c r="GR18" s="526"/>
      <c r="GS18" s="526"/>
      <c r="GT18" s="525">
        <v>0</v>
      </c>
      <c r="GU18" s="525">
        <v>0</v>
      </c>
      <c r="GV18" s="525">
        <v>0</v>
      </c>
      <c r="GW18" s="525">
        <v>0</v>
      </c>
      <c r="GX18" s="525">
        <v>0</v>
      </c>
      <c r="GY18" s="525">
        <v>0</v>
      </c>
      <c r="GZ18" s="525">
        <v>0</v>
      </c>
      <c r="HA18" s="525">
        <v>0</v>
      </c>
      <c r="HB18" s="525">
        <v>0</v>
      </c>
      <c r="HC18" s="525">
        <v>0</v>
      </c>
      <c r="HD18" s="525">
        <v>0</v>
      </c>
      <c r="HE18" s="525">
        <v>0</v>
      </c>
      <c r="HF18" s="525">
        <v>0</v>
      </c>
      <c r="HG18" s="525">
        <v>0</v>
      </c>
      <c r="HH18" s="525">
        <v>0</v>
      </c>
      <c r="HI18" s="525">
        <v>0</v>
      </c>
      <c r="HJ18" s="525">
        <v>0</v>
      </c>
      <c r="HK18" s="525">
        <v>0</v>
      </c>
      <c r="HL18" s="526"/>
      <c r="HM18" s="526"/>
      <c r="HN18" s="526"/>
      <c r="HO18" s="526"/>
      <c r="HP18" s="526"/>
      <c r="HQ18" s="526"/>
      <c r="HR18" s="526"/>
      <c r="HS18" s="526"/>
      <c r="HT18" s="526"/>
      <c r="HU18" s="526"/>
      <c r="HV18" s="526"/>
      <c r="HW18" s="526"/>
      <c r="HX18" s="526"/>
      <c r="HY18" s="526"/>
      <c r="HZ18" s="526"/>
      <c r="IA18" s="526"/>
      <c r="IB18" s="526"/>
      <c r="IC18" s="526"/>
      <c r="ID18" s="526"/>
      <c r="IE18" s="526"/>
      <c r="IF18" s="526"/>
      <c r="IG18" s="526"/>
      <c r="IH18" s="526"/>
      <c r="II18" s="526"/>
      <c r="IJ18" s="526"/>
      <c r="IK18" s="526"/>
      <c r="IL18" s="526"/>
      <c r="IM18" s="526"/>
      <c r="IN18" s="526"/>
      <c r="IO18" s="526"/>
      <c r="IP18" s="526"/>
      <c r="IQ18" s="526"/>
      <c r="IR18" s="526"/>
      <c r="IS18" s="526"/>
      <c r="IT18" s="526"/>
      <c r="IU18" s="526"/>
      <c r="IV18" s="526"/>
      <c r="IW18" s="526"/>
      <c r="IX18" s="526"/>
      <c r="IY18" s="526"/>
      <c r="IZ18" s="526"/>
      <c r="JA18" s="526"/>
      <c r="JB18" s="526"/>
      <c r="JC18" s="526"/>
      <c r="JD18" s="526"/>
      <c r="JE18" s="526"/>
      <c r="JF18" s="526"/>
      <c r="JG18" s="526"/>
      <c r="JH18" s="526"/>
      <c r="JI18" s="526"/>
      <c r="JJ18" s="526"/>
      <c r="JK18" s="526"/>
      <c r="JL18" s="526"/>
      <c r="JM18" s="526"/>
      <c r="JN18" s="525">
        <v>6830.2458748536019</v>
      </c>
      <c r="JO18" s="525">
        <v>14189.502231999999</v>
      </c>
      <c r="JP18" s="525">
        <v>56580.075357635753</v>
      </c>
      <c r="JQ18" s="525">
        <v>0</v>
      </c>
      <c r="JR18" s="525">
        <v>0</v>
      </c>
      <c r="JS18" s="527">
        <v>77928.483464489356</v>
      </c>
      <c r="JT18" s="528">
        <f t="shared" si="10"/>
        <v>328.66000000000349</v>
      </c>
      <c r="JU18" s="525">
        <v>77928.483464489356</v>
      </c>
      <c r="JV18" s="525">
        <v>77928.483464489356</v>
      </c>
      <c r="JW18" s="525">
        <v>77928.483464489356</v>
      </c>
      <c r="JX18" s="525">
        <v>50026.0046</v>
      </c>
      <c r="JY18" s="525">
        <v>50026.0046</v>
      </c>
      <c r="JZ18" s="526"/>
      <c r="KA18" s="525">
        <v>50026.0046</v>
      </c>
      <c r="KB18" s="529">
        <v>0</v>
      </c>
      <c r="KC18" s="525">
        <v>-1.7504312650999054E-2</v>
      </c>
      <c r="KD18" s="525">
        <v>77928.500968802007</v>
      </c>
      <c r="KE18" s="525">
        <v>50026.0046</v>
      </c>
      <c r="KF18" s="525">
        <v>0</v>
      </c>
      <c r="KG18" s="530">
        <v>0</v>
      </c>
      <c r="KH18" s="525">
        <v>0</v>
      </c>
      <c r="KI18" s="525">
        <v>0</v>
      </c>
      <c r="KJ18" s="530">
        <v>0</v>
      </c>
      <c r="KK18" s="525">
        <v>0</v>
      </c>
      <c r="KL18" s="525">
        <v>77928.500968802007</v>
      </c>
      <c r="KM18" s="530">
        <v>1557.7598409448435</v>
      </c>
      <c r="KN18" s="525">
        <v>50026.0046</v>
      </c>
      <c r="KO18" s="525">
        <v>0</v>
      </c>
      <c r="KP18" s="530">
        <v>0</v>
      </c>
      <c r="KQ18" s="525">
        <v>0</v>
      </c>
      <c r="KR18" s="526"/>
      <c r="KS18" s="526"/>
      <c r="KT18" s="531">
        <v>124614</v>
      </c>
      <c r="KU18" s="531">
        <v>63.3</v>
      </c>
      <c r="KV18" s="526"/>
      <c r="KW18" s="531">
        <v>12614</v>
      </c>
      <c r="KX18" s="531">
        <v>3.8</v>
      </c>
      <c r="KY18" s="531"/>
      <c r="KZ18" s="526"/>
      <c r="LA18" s="531">
        <v>50026</v>
      </c>
      <c r="LB18" s="532">
        <v>6369</v>
      </c>
      <c r="LC18" s="533">
        <v>0.03</v>
      </c>
      <c r="LD18" s="494">
        <f t="shared" si="11"/>
        <v>80327.433552024027</v>
      </c>
      <c r="LE18" s="509">
        <f t="shared" si="12"/>
        <v>80327.433552024027</v>
      </c>
      <c r="LF18" s="534">
        <f t="shared" si="13"/>
        <v>58293.53927162334</v>
      </c>
      <c r="LG18" s="535">
        <f t="shared" si="14"/>
        <v>55009.842070756087</v>
      </c>
      <c r="LH18" s="536">
        <f t="shared" si="31"/>
        <v>1.03</v>
      </c>
      <c r="LI18" s="537">
        <f t="shared" si="15"/>
        <v>55009.842070756087</v>
      </c>
      <c r="LJ18" s="536">
        <f t="shared" si="32"/>
        <v>1.0389999999999999</v>
      </c>
      <c r="LK18" s="537">
        <f t="shared" si="16"/>
        <v>0</v>
      </c>
      <c r="LL18" s="536">
        <f t="shared" si="33"/>
        <v>1.0349999999999999</v>
      </c>
      <c r="LM18" s="537">
        <f t="shared" si="17"/>
        <v>0</v>
      </c>
      <c r="LN18" s="536">
        <f t="shared" si="34"/>
        <v>1.0349999999999999</v>
      </c>
      <c r="LO18" s="537">
        <f t="shared" si="18"/>
        <v>0</v>
      </c>
      <c r="LP18" s="536">
        <f t="shared" si="35"/>
        <v>1.0349999999999999</v>
      </c>
      <c r="LQ18" s="537">
        <f t="shared" si="19"/>
        <v>3242.233487671911</v>
      </c>
      <c r="LR18" s="536">
        <f t="shared" si="36"/>
        <v>1.04</v>
      </c>
      <c r="LS18" s="537">
        <f t="shared" si="20"/>
        <v>41.463713195344468</v>
      </c>
      <c r="LT18" s="539">
        <f t="shared" si="21"/>
        <v>7025.6592093331628</v>
      </c>
      <c r="LU18" s="540">
        <f t="shared" si="22"/>
        <v>3496.4675697600005</v>
      </c>
      <c r="LV18" s="541">
        <f t="shared" si="23"/>
        <v>3529.1916395731623</v>
      </c>
      <c r="LW18" s="542">
        <f t="shared" si="24"/>
        <v>14679.575071067517</v>
      </c>
      <c r="LX18" s="540">
        <f t="shared" si="25"/>
        <v>1055.9332060675199</v>
      </c>
      <c r="LY18" s="540">
        <f t="shared" si="26"/>
        <v>6631.0379999999996</v>
      </c>
      <c r="LZ18" s="543">
        <f t="shared" si="27"/>
        <v>6992.6038649999973</v>
      </c>
      <c r="MA18" s="544">
        <f t="shared" si="28"/>
        <v>328.66000000000349</v>
      </c>
      <c r="MB18" s="545">
        <f t="shared" si="29"/>
        <v>0</v>
      </c>
    </row>
    <row r="19" spans="1:340" ht="16.5" customHeight="1">
      <c r="A19" s="465">
        <v>1</v>
      </c>
      <c r="B19" s="466">
        <v>9</v>
      </c>
      <c r="C19" s="467" t="s">
        <v>292</v>
      </c>
      <c r="D19" s="468">
        <v>4618003724</v>
      </c>
      <c r="E19" s="469">
        <f t="shared" si="3"/>
        <v>16452.512695374098</v>
      </c>
      <c r="F19" s="470" t="s">
        <v>287</v>
      </c>
      <c r="G19" s="595">
        <v>16452.509610000001</v>
      </c>
      <c r="H19" s="595">
        <f t="shared" si="30"/>
        <v>3.0853740972816013E-3</v>
      </c>
      <c r="I19" s="595"/>
      <c r="J19" s="471">
        <f t="shared" si="4"/>
        <v>16452.512695374098</v>
      </c>
      <c r="K19" s="472">
        <f t="shared" si="5"/>
        <v>10286.5278753741</v>
      </c>
      <c r="L19" s="473">
        <f t="shared" si="6"/>
        <v>8404.5367398892231</v>
      </c>
      <c r="M19" s="474">
        <v>8404.5367398892231</v>
      </c>
      <c r="N19" s="475">
        <v>0</v>
      </c>
      <c r="O19" s="475">
        <v>0</v>
      </c>
      <c r="P19" s="476">
        <v>0</v>
      </c>
      <c r="Q19" s="477">
        <v>1747.6743264848776</v>
      </c>
      <c r="R19" s="478">
        <f t="shared" si="7"/>
        <v>134.31680900000001</v>
      </c>
      <c r="S19" s="479">
        <f t="shared" si="8"/>
        <v>4087.8199999999997</v>
      </c>
      <c r="T19" s="479">
        <v>3221.0099999999998</v>
      </c>
      <c r="U19" s="480">
        <v>866.81</v>
      </c>
      <c r="V19" s="481">
        <f t="shared" si="9"/>
        <v>1440.83482</v>
      </c>
      <c r="W19" s="482">
        <v>972.74502000000007</v>
      </c>
      <c r="X19" s="479">
        <v>0</v>
      </c>
      <c r="Y19" s="483">
        <v>468.08979999999997</v>
      </c>
      <c r="Z19" s="484">
        <v>587.86999999999807</v>
      </c>
      <c r="AA19" s="485">
        <v>49.46</v>
      </c>
      <c r="AB19" s="486"/>
      <c r="AC19" s="487">
        <v>8404.5367398892231</v>
      </c>
      <c r="AD19" s="487">
        <v>8404.5367398892231</v>
      </c>
      <c r="AE19" s="487">
        <v>0</v>
      </c>
      <c r="AF19" s="487">
        <v>0</v>
      </c>
      <c r="AG19" s="487">
        <v>0</v>
      </c>
      <c r="AH19" s="487">
        <v>1747.6743264848776</v>
      </c>
      <c r="AI19" s="487">
        <v>1747.6743264848776</v>
      </c>
      <c r="AJ19" s="487">
        <v>0</v>
      </c>
      <c r="AK19" s="487">
        <v>0</v>
      </c>
      <c r="AL19" s="487">
        <v>0</v>
      </c>
      <c r="AM19" s="487">
        <v>0</v>
      </c>
      <c r="AN19" s="487">
        <v>0</v>
      </c>
      <c r="AO19" s="487">
        <v>0</v>
      </c>
      <c r="AP19" s="487">
        <v>0</v>
      </c>
      <c r="AQ19" s="487">
        <v>0</v>
      </c>
      <c r="AR19" s="487">
        <v>0</v>
      </c>
      <c r="AS19" s="487">
        <v>0</v>
      </c>
      <c r="AT19" s="487">
        <v>0</v>
      </c>
      <c r="AU19" s="487">
        <v>0</v>
      </c>
      <c r="AV19" s="487">
        <v>0</v>
      </c>
      <c r="AW19" s="487">
        <v>0</v>
      </c>
      <c r="AX19" s="487">
        <v>0</v>
      </c>
      <c r="AY19" s="487">
        <v>0</v>
      </c>
      <c r="AZ19" s="487">
        <v>0</v>
      </c>
      <c r="BA19" s="487">
        <v>1747.6743264848776</v>
      </c>
      <c r="BB19" s="487">
        <v>177.13753283785837</v>
      </c>
      <c r="BC19" s="487">
        <v>0</v>
      </c>
      <c r="BD19" s="487">
        <v>1747.6743264848776</v>
      </c>
      <c r="BE19" s="487">
        <v>9.8661999999999956</v>
      </c>
      <c r="BF19" s="487">
        <v>177.13753283785837</v>
      </c>
      <c r="BG19" s="487">
        <v>0</v>
      </c>
      <c r="BH19" s="487">
        <v>0</v>
      </c>
      <c r="BI19" s="487">
        <v>0</v>
      </c>
      <c r="BJ19" s="487">
        <v>0</v>
      </c>
      <c r="BK19" s="487">
        <v>0</v>
      </c>
      <c r="BL19" s="487">
        <v>0</v>
      </c>
      <c r="BM19" s="487">
        <v>0</v>
      </c>
      <c r="BN19" s="487">
        <v>0</v>
      </c>
      <c r="BO19" s="487">
        <v>0</v>
      </c>
      <c r="BP19" s="487">
        <v>0</v>
      </c>
      <c r="BQ19" s="487">
        <v>0</v>
      </c>
      <c r="BR19" s="487">
        <v>0</v>
      </c>
      <c r="BS19" s="487">
        <v>0</v>
      </c>
      <c r="BT19" s="487">
        <v>0</v>
      </c>
      <c r="BU19" s="487">
        <v>0</v>
      </c>
      <c r="BV19" s="487">
        <v>0</v>
      </c>
      <c r="BW19" s="487">
        <v>0</v>
      </c>
      <c r="BX19" s="487">
        <v>0</v>
      </c>
      <c r="BY19" s="487">
        <v>0</v>
      </c>
      <c r="BZ19" s="487">
        <v>0</v>
      </c>
      <c r="CA19" s="487">
        <v>0</v>
      </c>
      <c r="CB19" s="487">
        <v>0</v>
      </c>
      <c r="CC19" s="487">
        <v>0</v>
      </c>
      <c r="CD19" s="487">
        <v>0</v>
      </c>
      <c r="CE19" s="487">
        <v>0</v>
      </c>
      <c r="CF19" s="487">
        <v>0</v>
      </c>
      <c r="CG19" s="487">
        <v>0</v>
      </c>
      <c r="CH19" s="487">
        <v>0</v>
      </c>
      <c r="CI19" s="487">
        <v>0</v>
      </c>
      <c r="CJ19" s="487">
        <v>0</v>
      </c>
      <c r="CK19" s="487">
        <v>0</v>
      </c>
      <c r="CL19" s="487">
        <v>0</v>
      </c>
      <c r="CM19" s="487">
        <v>3221.0099999999998</v>
      </c>
      <c r="CN19" s="487">
        <v>2410.91</v>
      </c>
      <c r="CO19" s="487">
        <v>0</v>
      </c>
      <c r="CP19" s="487">
        <v>0</v>
      </c>
      <c r="CQ19" s="487">
        <v>810.1</v>
      </c>
      <c r="CR19" s="487">
        <v>0</v>
      </c>
      <c r="CS19" s="487">
        <v>972.74502000000007</v>
      </c>
      <c r="CT19" s="487">
        <v>728.09482000000003</v>
      </c>
      <c r="CU19" s="487">
        <v>0</v>
      </c>
      <c r="CV19" s="487">
        <v>0</v>
      </c>
      <c r="CW19" s="487">
        <v>244.65020000000001</v>
      </c>
      <c r="CX19" s="487">
        <v>0</v>
      </c>
      <c r="CY19" s="487">
        <v>134.31680900000001</v>
      </c>
      <c r="CZ19" s="467"/>
      <c r="DA19" s="487">
        <v>3.1353999999999997</v>
      </c>
      <c r="DB19" s="487">
        <v>0</v>
      </c>
      <c r="DC19" s="467"/>
      <c r="DD19" s="487">
        <v>0</v>
      </c>
      <c r="DE19" s="487">
        <v>0</v>
      </c>
      <c r="DF19" s="487">
        <v>0</v>
      </c>
      <c r="DG19" s="487">
        <v>311.03000000000003</v>
      </c>
      <c r="DH19" s="487">
        <v>16.96</v>
      </c>
      <c r="DI19" s="487">
        <v>0</v>
      </c>
      <c r="DJ19" s="487">
        <v>294.07000000000005</v>
      </c>
      <c r="DK19" s="487">
        <v>0</v>
      </c>
      <c r="DL19" s="487">
        <v>0</v>
      </c>
      <c r="DM19" s="487">
        <v>0</v>
      </c>
      <c r="DN19" s="487">
        <v>0</v>
      </c>
      <c r="DO19" s="487">
        <v>0</v>
      </c>
      <c r="DP19" s="487">
        <v>0</v>
      </c>
      <c r="DQ19" s="487">
        <v>0</v>
      </c>
      <c r="DR19" s="487">
        <v>0</v>
      </c>
      <c r="DS19" s="487">
        <v>0</v>
      </c>
      <c r="DT19" s="487">
        <v>0</v>
      </c>
      <c r="DU19" s="487">
        <v>470.74999999999994</v>
      </c>
      <c r="DV19" s="487">
        <v>40.97999999999999</v>
      </c>
      <c r="DW19" s="487">
        <v>0</v>
      </c>
      <c r="DX19" s="487">
        <v>0</v>
      </c>
      <c r="DY19" s="487">
        <v>0</v>
      </c>
      <c r="DZ19" s="487">
        <v>0</v>
      </c>
      <c r="EA19" s="487">
        <v>0</v>
      </c>
      <c r="EB19" s="487">
        <v>0</v>
      </c>
      <c r="EC19" s="487">
        <v>0</v>
      </c>
      <c r="ED19" s="487">
        <v>0</v>
      </c>
      <c r="EE19" s="487">
        <v>0</v>
      </c>
      <c r="EF19" s="487">
        <v>0</v>
      </c>
      <c r="EG19" s="487">
        <v>429.77</v>
      </c>
      <c r="EH19" s="487">
        <v>141.624</v>
      </c>
      <c r="EI19" s="487">
        <v>0</v>
      </c>
      <c r="EJ19" s="487">
        <v>141.624</v>
      </c>
      <c r="EK19" s="487">
        <v>0</v>
      </c>
      <c r="EL19" s="487">
        <v>13.319999999999999</v>
      </c>
      <c r="EM19" s="487">
        <v>20.490000000000002</v>
      </c>
      <c r="EN19" s="487">
        <v>0</v>
      </c>
      <c r="EO19" s="487">
        <v>0</v>
      </c>
      <c r="EP19" s="487">
        <v>51.220000000000006</v>
      </c>
      <c r="EQ19" s="487">
        <v>0</v>
      </c>
      <c r="ER19" s="487">
        <v>51.220000000000006</v>
      </c>
      <c r="ES19" s="487">
        <v>0</v>
      </c>
      <c r="ET19" s="487">
        <v>141.624</v>
      </c>
      <c r="EU19" s="487">
        <v>141.624</v>
      </c>
      <c r="EV19" s="487">
        <v>0</v>
      </c>
      <c r="EW19" s="487">
        <v>0</v>
      </c>
      <c r="EX19" s="487">
        <v>0</v>
      </c>
      <c r="EY19" s="487">
        <v>0</v>
      </c>
      <c r="EZ19" s="487">
        <v>0</v>
      </c>
      <c r="FA19" s="487">
        <v>0</v>
      </c>
      <c r="FB19" s="487">
        <v>298.75</v>
      </c>
      <c r="FC19" s="487">
        <v>123.38</v>
      </c>
      <c r="FD19" s="487">
        <v>8.5</v>
      </c>
      <c r="FE19" s="487">
        <v>0</v>
      </c>
      <c r="FF19" s="487">
        <v>166.86999999999998</v>
      </c>
      <c r="FG19" s="487">
        <v>0</v>
      </c>
      <c r="FH19" s="487">
        <v>0</v>
      </c>
      <c r="FI19" s="487">
        <v>8.7200000000000006</v>
      </c>
      <c r="FJ19" s="487">
        <v>0</v>
      </c>
      <c r="FK19" s="487">
        <v>158.15</v>
      </c>
      <c r="FL19" s="487">
        <v>0</v>
      </c>
      <c r="FM19" s="487">
        <v>0</v>
      </c>
      <c r="FN19" s="487">
        <v>0</v>
      </c>
      <c r="FO19" s="487">
        <v>0</v>
      </c>
      <c r="FP19" s="487">
        <v>0</v>
      </c>
      <c r="FQ19" s="487">
        <v>27.715799999999998</v>
      </c>
      <c r="FR19" s="487">
        <v>0</v>
      </c>
      <c r="FS19" s="488">
        <v>15815.1826953741</v>
      </c>
      <c r="FT19" s="487">
        <v>0</v>
      </c>
      <c r="FU19" s="487">
        <v>0</v>
      </c>
      <c r="FV19" s="487">
        <v>0</v>
      </c>
      <c r="FW19" s="487">
        <v>0</v>
      </c>
      <c r="FX19" s="487">
        <v>0</v>
      </c>
      <c r="FY19" s="487">
        <v>0</v>
      </c>
      <c r="FZ19" s="487">
        <v>0</v>
      </c>
      <c r="GA19" s="487">
        <v>0</v>
      </c>
      <c r="GB19" s="487">
        <v>0</v>
      </c>
      <c r="GC19" s="487">
        <v>0</v>
      </c>
      <c r="GD19" s="487">
        <v>0</v>
      </c>
      <c r="GE19" s="487">
        <v>0</v>
      </c>
      <c r="GF19" s="487">
        <v>0</v>
      </c>
      <c r="GG19" s="487">
        <v>0</v>
      </c>
      <c r="GH19" s="487">
        <v>49.46</v>
      </c>
      <c r="GI19" s="487">
        <v>0</v>
      </c>
      <c r="GJ19" s="467"/>
      <c r="GK19" s="487">
        <v>49.46</v>
      </c>
      <c r="GL19" s="467"/>
      <c r="GM19" s="487">
        <v>0</v>
      </c>
      <c r="GN19" s="487">
        <v>0</v>
      </c>
      <c r="GO19" s="467"/>
      <c r="GP19" s="467"/>
      <c r="GQ19" s="487">
        <v>0</v>
      </c>
      <c r="GR19" s="467"/>
      <c r="GS19" s="467"/>
      <c r="GT19" s="487">
        <v>0</v>
      </c>
      <c r="GU19" s="487">
        <v>0</v>
      </c>
      <c r="GV19" s="487">
        <v>0</v>
      </c>
      <c r="GW19" s="487">
        <v>0</v>
      </c>
      <c r="GX19" s="487">
        <v>0</v>
      </c>
      <c r="GY19" s="487">
        <v>0</v>
      </c>
      <c r="GZ19" s="487">
        <v>0</v>
      </c>
      <c r="HA19" s="487">
        <v>0</v>
      </c>
      <c r="HB19" s="487">
        <v>0</v>
      </c>
      <c r="HC19" s="487">
        <v>0</v>
      </c>
      <c r="HD19" s="487">
        <v>0</v>
      </c>
      <c r="HE19" s="487">
        <v>0</v>
      </c>
      <c r="HF19" s="487">
        <v>0</v>
      </c>
      <c r="HG19" s="487">
        <v>0</v>
      </c>
      <c r="HH19" s="487">
        <v>0</v>
      </c>
      <c r="HI19" s="487">
        <v>0</v>
      </c>
      <c r="HJ19" s="487">
        <v>0</v>
      </c>
      <c r="HK19" s="487">
        <v>0</v>
      </c>
      <c r="HL19" s="467"/>
      <c r="HM19" s="467"/>
      <c r="HN19" s="467"/>
      <c r="HO19" s="467"/>
      <c r="HP19" s="467"/>
      <c r="HQ19" s="467"/>
      <c r="HR19" s="467"/>
      <c r="HS19" s="467"/>
      <c r="HT19" s="467"/>
      <c r="HU19" s="467"/>
      <c r="HV19" s="467"/>
      <c r="HW19" s="467"/>
      <c r="HX19" s="467"/>
      <c r="HY19" s="467"/>
      <c r="HZ19" s="467"/>
      <c r="IA19" s="467"/>
      <c r="IB19" s="467"/>
      <c r="IC19" s="467"/>
      <c r="ID19" s="467"/>
      <c r="IE19" s="467"/>
      <c r="IF19" s="467"/>
      <c r="IG19" s="467"/>
      <c r="IH19" s="467"/>
      <c r="II19" s="467"/>
      <c r="IJ19" s="467"/>
      <c r="IK19" s="467"/>
      <c r="IL19" s="467"/>
      <c r="IM19" s="467"/>
      <c r="IN19" s="467"/>
      <c r="IO19" s="467"/>
      <c r="IP19" s="467"/>
      <c r="IQ19" s="467"/>
      <c r="IR19" s="467"/>
      <c r="IS19" s="467"/>
      <c r="IT19" s="467"/>
      <c r="IU19" s="467"/>
      <c r="IV19" s="467"/>
      <c r="IW19" s="467"/>
      <c r="IX19" s="467"/>
      <c r="IY19" s="467"/>
      <c r="IZ19" s="467"/>
      <c r="JA19" s="467"/>
      <c r="JB19" s="467"/>
      <c r="JC19" s="467"/>
      <c r="JD19" s="467"/>
      <c r="JE19" s="467"/>
      <c r="JF19" s="467"/>
      <c r="JG19" s="467"/>
      <c r="JH19" s="467"/>
      <c r="JI19" s="467"/>
      <c r="JJ19" s="467"/>
      <c r="JK19" s="467"/>
      <c r="JL19" s="467"/>
      <c r="JM19" s="467"/>
      <c r="JN19" s="487">
        <v>4087.8199999999997</v>
      </c>
      <c r="JO19" s="487">
        <v>1440.83482</v>
      </c>
      <c r="JP19" s="487">
        <v>10286.5278753741</v>
      </c>
      <c r="JQ19" s="487">
        <v>0</v>
      </c>
      <c r="JR19" s="487">
        <v>49.46</v>
      </c>
      <c r="JS19" s="488">
        <v>16452.512695374098</v>
      </c>
      <c r="JT19" s="489">
        <f t="shared" si="10"/>
        <v>587.86999999999807</v>
      </c>
      <c r="JU19" s="487">
        <v>16452.512695374098</v>
      </c>
      <c r="JV19" s="487">
        <v>16452.512695374098</v>
      </c>
      <c r="JW19" s="487">
        <v>16452.512695374098</v>
      </c>
      <c r="JX19" s="487">
        <v>6593</v>
      </c>
      <c r="JY19" s="487">
        <v>6593</v>
      </c>
      <c r="JZ19" s="467"/>
      <c r="KA19" s="487">
        <v>6593</v>
      </c>
      <c r="KB19" s="490">
        <v>0.31273745585289331</v>
      </c>
      <c r="KC19" s="487">
        <v>3.0853740972816013E-3</v>
      </c>
      <c r="KD19" s="487">
        <v>16452.509610000001</v>
      </c>
      <c r="KE19" s="487">
        <v>6593</v>
      </c>
      <c r="KF19" s="487">
        <v>0</v>
      </c>
      <c r="KG19" s="491">
        <v>0</v>
      </c>
      <c r="KH19" s="487">
        <v>0</v>
      </c>
      <c r="KI19" s="487">
        <v>10211.439010000002</v>
      </c>
      <c r="KJ19" s="491">
        <v>2494.8543879794775</v>
      </c>
      <c r="KK19" s="487">
        <v>4093</v>
      </c>
      <c r="KL19" s="487">
        <v>4116.5879000000004</v>
      </c>
      <c r="KM19" s="491">
        <v>2494.901757575758</v>
      </c>
      <c r="KN19" s="487">
        <v>1650</v>
      </c>
      <c r="KO19" s="487">
        <v>2124.4826999999996</v>
      </c>
      <c r="KP19" s="491">
        <v>2499.3914117647055</v>
      </c>
      <c r="KQ19" s="487">
        <v>850</v>
      </c>
      <c r="KR19" s="467"/>
      <c r="KS19" s="467"/>
      <c r="KT19" s="487">
        <v>1206</v>
      </c>
      <c r="KU19" s="487">
        <v>60</v>
      </c>
      <c r="KV19" s="467"/>
      <c r="KW19" s="487">
        <v>134</v>
      </c>
      <c r="KX19" s="487">
        <v>4.45</v>
      </c>
      <c r="KY19" s="487">
        <v>0.25</v>
      </c>
      <c r="KZ19" s="467"/>
      <c r="LA19" s="487">
        <v>1560</v>
      </c>
      <c r="LB19" s="492">
        <v>615</v>
      </c>
      <c r="LC19" s="493">
        <v>0.26200000000000001</v>
      </c>
      <c r="LD19" s="494">
        <f t="shared" si="11"/>
        <v>16934.087079579946</v>
      </c>
      <c r="LE19" s="471">
        <f t="shared" si="12"/>
        <v>16934.087079579946</v>
      </c>
      <c r="LF19" s="495">
        <f t="shared" si="13"/>
        <v>10605.205251357747</v>
      </c>
      <c r="LG19" s="476">
        <f t="shared" si="14"/>
        <v>8656.6728420858999</v>
      </c>
      <c r="LH19" s="496">
        <f t="shared" si="31"/>
        <v>1.03</v>
      </c>
      <c r="LI19" s="497">
        <f t="shared" si="15"/>
        <v>8656.6728420858999</v>
      </c>
      <c r="LJ19" s="496">
        <f t="shared" si="32"/>
        <v>1.0389999999999999</v>
      </c>
      <c r="LK19" s="497">
        <f t="shared" si="16"/>
        <v>0</v>
      </c>
      <c r="LL19" s="496">
        <f t="shared" si="33"/>
        <v>1.0349999999999999</v>
      </c>
      <c r="LM19" s="497">
        <f t="shared" si="17"/>
        <v>0</v>
      </c>
      <c r="LN19" s="496">
        <f t="shared" si="34"/>
        <v>1.0349999999999999</v>
      </c>
      <c r="LO19" s="497">
        <f t="shared" si="18"/>
        <v>0</v>
      </c>
      <c r="LP19" s="496">
        <f t="shared" si="35"/>
        <v>1.0349999999999999</v>
      </c>
      <c r="LQ19" s="497">
        <f t="shared" si="19"/>
        <v>1808.8429279118482</v>
      </c>
      <c r="LR19" s="496">
        <f t="shared" si="36"/>
        <v>1.04</v>
      </c>
      <c r="LS19" s="497">
        <f t="shared" si="20"/>
        <v>139.68948136</v>
      </c>
      <c r="LT19" s="499">
        <f t="shared" si="21"/>
        <v>4204.772530199999</v>
      </c>
      <c r="LU19" s="500">
        <f t="shared" si="22"/>
        <v>3313.1630960999992</v>
      </c>
      <c r="LV19" s="501">
        <f t="shared" si="23"/>
        <v>891.60943409999993</v>
      </c>
      <c r="LW19" s="499">
        <f t="shared" si="24"/>
        <v>1485.0481980221998</v>
      </c>
      <c r="LX19" s="500">
        <f t="shared" si="25"/>
        <v>1000.5752550221999</v>
      </c>
      <c r="LY19" s="500">
        <f t="shared" si="26"/>
        <v>0</v>
      </c>
      <c r="LZ19" s="502">
        <f t="shared" si="27"/>
        <v>484.47294299999993</v>
      </c>
      <c r="MA19" s="503">
        <f t="shared" si="28"/>
        <v>587.86999999999807</v>
      </c>
      <c r="MB19" s="504">
        <f t="shared" si="29"/>
        <v>51.191099999999999</v>
      </c>
    </row>
    <row r="20" spans="1:340" ht="16.5" customHeight="1">
      <c r="A20" s="505">
        <v>1</v>
      </c>
      <c r="B20" s="506">
        <v>10</v>
      </c>
      <c r="C20" s="507" t="s">
        <v>293</v>
      </c>
      <c r="D20" s="508">
        <v>4620001192</v>
      </c>
      <c r="E20" s="469">
        <f t="shared" si="3"/>
        <v>62616.680333135591</v>
      </c>
      <c r="F20" s="470" t="s">
        <v>281</v>
      </c>
      <c r="G20" s="595">
        <v>23960.004573771737</v>
      </c>
      <c r="H20" s="597">
        <f t="shared" si="30"/>
        <v>38656.675759363854</v>
      </c>
      <c r="I20" s="597" t="s">
        <v>858</v>
      </c>
      <c r="J20" s="509">
        <f t="shared" si="4"/>
        <v>52180.566944279664</v>
      </c>
      <c r="K20" s="510">
        <f t="shared" si="5"/>
        <v>42968.019944281332</v>
      </c>
      <c r="L20" s="511">
        <f t="shared" si="6"/>
        <v>36434.878600899996</v>
      </c>
      <c r="M20" s="512">
        <v>36434.878600899996</v>
      </c>
      <c r="N20" s="513">
        <v>0</v>
      </c>
      <c r="O20" s="513">
        <v>0</v>
      </c>
      <c r="P20" s="514">
        <v>0</v>
      </c>
      <c r="Q20" s="515">
        <v>6177.5899116180472</v>
      </c>
      <c r="R20" s="516">
        <f t="shared" si="7"/>
        <v>355.55143176329466</v>
      </c>
      <c r="S20" s="517">
        <f t="shared" si="8"/>
        <v>6119.42</v>
      </c>
      <c r="T20" s="518">
        <v>5043.5</v>
      </c>
      <c r="U20" s="519">
        <v>1075.92</v>
      </c>
      <c r="V20" s="520">
        <f t="shared" si="9"/>
        <v>1718.4469999983344</v>
      </c>
      <c r="W20" s="521">
        <v>1523.1369999999999</v>
      </c>
      <c r="X20" s="518">
        <v>151.58000000000004</v>
      </c>
      <c r="Y20" s="522">
        <v>43.729999998334392</v>
      </c>
      <c r="Z20" s="523">
        <v>1374.6800000000003</v>
      </c>
      <c r="AA20" s="524">
        <v>0</v>
      </c>
      <c r="AB20" s="486"/>
      <c r="AC20" s="525">
        <v>36434.878600899996</v>
      </c>
      <c r="AD20" s="525">
        <v>36434.878600899996</v>
      </c>
      <c r="AE20" s="525">
        <v>0</v>
      </c>
      <c r="AF20" s="525">
        <v>0</v>
      </c>
      <c r="AG20" s="525">
        <v>0</v>
      </c>
      <c r="AH20" s="525">
        <v>6177.5899116180472</v>
      </c>
      <c r="AI20" s="525">
        <v>6177.5899116180472</v>
      </c>
      <c r="AJ20" s="525">
        <v>0</v>
      </c>
      <c r="AK20" s="525">
        <v>0</v>
      </c>
      <c r="AL20" s="525">
        <v>0</v>
      </c>
      <c r="AM20" s="525">
        <v>0</v>
      </c>
      <c r="AN20" s="525">
        <v>0</v>
      </c>
      <c r="AO20" s="525">
        <v>0</v>
      </c>
      <c r="AP20" s="525">
        <v>0</v>
      </c>
      <c r="AQ20" s="525">
        <v>0</v>
      </c>
      <c r="AR20" s="525">
        <v>0</v>
      </c>
      <c r="AS20" s="525">
        <v>0</v>
      </c>
      <c r="AT20" s="525">
        <v>0</v>
      </c>
      <c r="AU20" s="525">
        <v>0</v>
      </c>
      <c r="AV20" s="525">
        <v>0</v>
      </c>
      <c r="AW20" s="525">
        <v>0</v>
      </c>
      <c r="AX20" s="525">
        <v>0</v>
      </c>
      <c r="AY20" s="525">
        <v>0</v>
      </c>
      <c r="AZ20" s="525">
        <v>0</v>
      </c>
      <c r="BA20" s="525">
        <v>6177.5899116180472</v>
      </c>
      <c r="BB20" s="525">
        <v>858.87808999999993</v>
      </c>
      <c r="BC20" s="525">
        <v>0</v>
      </c>
      <c r="BD20" s="525">
        <v>0</v>
      </c>
      <c r="BE20" s="525">
        <v>0</v>
      </c>
      <c r="BF20" s="525">
        <v>0</v>
      </c>
      <c r="BG20" s="525">
        <v>0</v>
      </c>
      <c r="BH20" s="525">
        <v>0</v>
      </c>
      <c r="BI20" s="525">
        <v>0</v>
      </c>
      <c r="BJ20" s="525">
        <v>6177.5899116180472</v>
      </c>
      <c r="BK20" s="525">
        <v>7.1926271999999996</v>
      </c>
      <c r="BL20" s="525">
        <v>858.87808999999993</v>
      </c>
      <c r="BM20" s="525">
        <v>0</v>
      </c>
      <c r="BN20" s="525">
        <v>0</v>
      </c>
      <c r="BO20" s="525">
        <v>0</v>
      </c>
      <c r="BP20" s="525">
        <v>0</v>
      </c>
      <c r="BQ20" s="525">
        <v>0</v>
      </c>
      <c r="BR20" s="525">
        <v>0</v>
      </c>
      <c r="BS20" s="525">
        <v>0</v>
      </c>
      <c r="BT20" s="525">
        <v>0</v>
      </c>
      <c r="BU20" s="525">
        <v>0</v>
      </c>
      <c r="BV20" s="525">
        <v>0</v>
      </c>
      <c r="BW20" s="525">
        <v>0</v>
      </c>
      <c r="BX20" s="525">
        <v>0</v>
      </c>
      <c r="BY20" s="525">
        <v>0</v>
      </c>
      <c r="BZ20" s="525">
        <v>0</v>
      </c>
      <c r="CA20" s="525">
        <v>0</v>
      </c>
      <c r="CB20" s="525">
        <v>0</v>
      </c>
      <c r="CC20" s="525">
        <v>0</v>
      </c>
      <c r="CD20" s="525">
        <v>0</v>
      </c>
      <c r="CE20" s="525">
        <v>0</v>
      </c>
      <c r="CF20" s="525">
        <v>0</v>
      </c>
      <c r="CG20" s="525">
        <v>0</v>
      </c>
      <c r="CH20" s="525">
        <v>0</v>
      </c>
      <c r="CI20" s="525">
        <v>0</v>
      </c>
      <c r="CJ20" s="525">
        <v>0</v>
      </c>
      <c r="CK20" s="525">
        <v>0</v>
      </c>
      <c r="CL20" s="525">
        <v>0</v>
      </c>
      <c r="CM20" s="525">
        <v>5043.5</v>
      </c>
      <c r="CN20" s="525">
        <v>5043.5</v>
      </c>
      <c r="CO20" s="525">
        <v>0</v>
      </c>
      <c r="CP20" s="525">
        <v>0</v>
      </c>
      <c r="CQ20" s="525">
        <v>0</v>
      </c>
      <c r="CR20" s="525">
        <v>0</v>
      </c>
      <c r="CS20" s="525">
        <v>1523.1369999999999</v>
      </c>
      <c r="CT20" s="525">
        <v>1523.1369999999999</v>
      </c>
      <c r="CU20" s="525">
        <v>0</v>
      </c>
      <c r="CV20" s="525">
        <v>0</v>
      </c>
      <c r="CW20" s="525">
        <v>0</v>
      </c>
      <c r="CX20" s="525">
        <v>0</v>
      </c>
      <c r="CY20" s="525">
        <v>355.55143176329466</v>
      </c>
      <c r="CZ20" s="526"/>
      <c r="DA20" s="525">
        <v>29.084180000003467</v>
      </c>
      <c r="DB20" s="525">
        <v>0</v>
      </c>
      <c r="DC20" s="526"/>
      <c r="DD20" s="525">
        <v>0</v>
      </c>
      <c r="DE20" s="525">
        <v>0</v>
      </c>
      <c r="DF20" s="525">
        <v>0</v>
      </c>
      <c r="DG20" s="525">
        <v>1062.32</v>
      </c>
      <c r="DH20" s="525">
        <v>702.55</v>
      </c>
      <c r="DI20" s="525">
        <v>0</v>
      </c>
      <c r="DJ20" s="525">
        <v>359.77</v>
      </c>
      <c r="DK20" s="525">
        <v>0</v>
      </c>
      <c r="DL20" s="525">
        <v>0</v>
      </c>
      <c r="DM20" s="525">
        <v>0</v>
      </c>
      <c r="DN20" s="525">
        <v>0</v>
      </c>
      <c r="DO20" s="525">
        <v>0</v>
      </c>
      <c r="DP20" s="525">
        <v>0</v>
      </c>
      <c r="DQ20" s="525">
        <v>0</v>
      </c>
      <c r="DR20" s="525">
        <v>0</v>
      </c>
      <c r="DS20" s="525">
        <v>0</v>
      </c>
      <c r="DT20" s="525">
        <v>0</v>
      </c>
      <c r="DU20" s="525">
        <v>0</v>
      </c>
      <c r="DV20" s="525">
        <v>0</v>
      </c>
      <c r="DW20" s="525">
        <v>0</v>
      </c>
      <c r="DX20" s="525">
        <v>0</v>
      </c>
      <c r="DY20" s="525">
        <v>0</v>
      </c>
      <c r="DZ20" s="525">
        <v>0</v>
      </c>
      <c r="EA20" s="525">
        <v>0</v>
      </c>
      <c r="EB20" s="525">
        <v>0</v>
      </c>
      <c r="EC20" s="525">
        <v>0</v>
      </c>
      <c r="ED20" s="525">
        <v>0</v>
      </c>
      <c r="EE20" s="525">
        <v>0</v>
      </c>
      <c r="EF20" s="525">
        <v>0</v>
      </c>
      <c r="EG20" s="525">
        <v>0</v>
      </c>
      <c r="EH20" s="525">
        <v>0</v>
      </c>
      <c r="EI20" s="525">
        <v>0</v>
      </c>
      <c r="EJ20" s="525">
        <v>0</v>
      </c>
      <c r="EK20" s="525">
        <v>0</v>
      </c>
      <c r="EL20" s="525">
        <v>0</v>
      </c>
      <c r="EM20" s="525">
        <v>13.600000000000001</v>
      </c>
      <c r="EN20" s="525">
        <v>0</v>
      </c>
      <c r="EO20" s="525">
        <v>0</v>
      </c>
      <c r="EP20" s="525">
        <v>0</v>
      </c>
      <c r="EQ20" s="525">
        <v>0</v>
      </c>
      <c r="ER20" s="525">
        <v>0</v>
      </c>
      <c r="ES20" s="525">
        <v>0</v>
      </c>
      <c r="ET20" s="525">
        <v>0</v>
      </c>
      <c r="EU20" s="525">
        <v>0</v>
      </c>
      <c r="EV20" s="525">
        <v>0</v>
      </c>
      <c r="EW20" s="525">
        <v>0</v>
      </c>
      <c r="EX20" s="525">
        <v>0</v>
      </c>
      <c r="EY20" s="525">
        <v>0</v>
      </c>
      <c r="EZ20" s="525">
        <v>0</v>
      </c>
      <c r="FA20" s="525">
        <v>0</v>
      </c>
      <c r="FB20" s="525">
        <v>43.729999998334513</v>
      </c>
      <c r="FC20" s="525">
        <v>5.4000000000000012</v>
      </c>
      <c r="FD20" s="525">
        <v>11.2</v>
      </c>
      <c r="FE20" s="525">
        <v>0</v>
      </c>
      <c r="FF20" s="525">
        <v>27.129999998334515</v>
      </c>
      <c r="FG20" s="525">
        <v>12.989999999190466</v>
      </c>
      <c r="FH20" s="525">
        <v>14.139999999144051</v>
      </c>
      <c r="FI20" s="525">
        <v>0</v>
      </c>
      <c r="FJ20" s="525">
        <v>0</v>
      </c>
      <c r="FK20" s="525">
        <v>0</v>
      </c>
      <c r="FL20" s="525">
        <v>0</v>
      </c>
      <c r="FM20" s="525">
        <v>151.58000000000004</v>
      </c>
      <c r="FN20" s="525">
        <v>151.58000000000004</v>
      </c>
      <c r="FO20" s="525">
        <v>0</v>
      </c>
      <c r="FP20" s="525">
        <v>0</v>
      </c>
      <c r="FQ20" s="525">
        <v>0</v>
      </c>
      <c r="FR20" s="525">
        <v>0</v>
      </c>
      <c r="FS20" s="527">
        <v>50805.886944279664</v>
      </c>
      <c r="FT20" s="525">
        <v>0</v>
      </c>
      <c r="FU20" s="525">
        <v>0</v>
      </c>
      <c r="FV20" s="525">
        <v>0</v>
      </c>
      <c r="FW20" s="525">
        <v>0</v>
      </c>
      <c r="FX20" s="525">
        <v>0</v>
      </c>
      <c r="FY20" s="525">
        <v>0</v>
      </c>
      <c r="FZ20" s="525">
        <v>0</v>
      </c>
      <c r="GA20" s="525">
        <v>0</v>
      </c>
      <c r="GB20" s="525">
        <v>0</v>
      </c>
      <c r="GC20" s="525">
        <v>0</v>
      </c>
      <c r="GD20" s="525">
        <v>0</v>
      </c>
      <c r="GE20" s="525">
        <v>0</v>
      </c>
      <c r="GF20" s="525">
        <v>0</v>
      </c>
      <c r="GG20" s="525">
        <v>0</v>
      </c>
      <c r="GH20" s="525">
        <v>0</v>
      </c>
      <c r="GI20" s="525">
        <v>0</v>
      </c>
      <c r="GJ20" s="526"/>
      <c r="GK20" s="525">
        <v>0</v>
      </c>
      <c r="GL20" s="526"/>
      <c r="GM20" s="525">
        <v>0</v>
      </c>
      <c r="GN20" s="525">
        <v>0</v>
      </c>
      <c r="GO20" s="526"/>
      <c r="GP20" s="526"/>
      <c r="GQ20" s="525">
        <v>0</v>
      </c>
      <c r="GR20" s="526"/>
      <c r="GS20" s="526"/>
      <c r="GT20" s="525">
        <v>0</v>
      </c>
      <c r="GU20" s="525">
        <v>0</v>
      </c>
      <c r="GV20" s="525">
        <v>0</v>
      </c>
      <c r="GW20" s="525">
        <v>0</v>
      </c>
      <c r="GX20" s="525">
        <v>0</v>
      </c>
      <c r="GY20" s="525">
        <v>0</v>
      </c>
      <c r="GZ20" s="525">
        <v>0</v>
      </c>
      <c r="HA20" s="525">
        <v>0</v>
      </c>
      <c r="HB20" s="525">
        <v>0</v>
      </c>
      <c r="HC20" s="525">
        <v>0</v>
      </c>
      <c r="HD20" s="525">
        <v>0</v>
      </c>
      <c r="HE20" s="525">
        <v>0</v>
      </c>
      <c r="HF20" s="525">
        <v>0</v>
      </c>
      <c r="HG20" s="525">
        <v>0</v>
      </c>
      <c r="HH20" s="525">
        <v>0</v>
      </c>
      <c r="HI20" s="525">
        <v>0</v>
      </c>
      <c r="HJ20" s="525">
        <v>0</v>
      </c>
      <c r="HK20" s="525">
        <v>0</v>
      </c>
      <c r="HL20" s="526"/>
      <c r="HM20" s="526"/>
      <c r="HN20" s="526"/>
      <c r="HO20" s="526"/>
      <c r="HP20" s="526"/>
      <c r="HQ20" s="526"/>
      <c r="HR20" s="526"/>
      <c r="HS20" s="526"/>
      <c r="HT20" s="526"/>
      <c r="HU20" s="526"/>
      <c r="HV20" s="526"/>
      <c r="HW20" s="526"/>
      <c r="HX20" s="526"/>
      <c r="HY20" s="526"/>
      <c r="HZ20" s="526"/>
      <c r="IA20" s="526"/>
      <c r="IB20" s="526"/>
      <c r="IC20" s="526"/>
      <c r="ID20" s="526"/>
      <c r="IE20" s="526"/>
      <c r="IF20" s="526"/>
      <c r="IG20" s="526"/>
      <c r="IH20" s="526"/>
      <c r="II20" s="526"/>
      <c r="IJ20" s="526"/>
      <c r="IK20" s="526"/>
      <c r="IL20" s="526"/>
      <c r="IM20" s="526"/>
      <c r="IN20" s="526"/>
      <c r="IO20" s="526"/>
      <c r="IP20" s="526"/>
      <c r="IQ20" s="526"/>
      <c r="IR20" s="526"/>
      <c r="IS20" s="526"/>
      <c r="IT20" s="526"/>
      <c r="IU20" s="526"/>
      <c r="IV20" s="526"/>
      <c r="IW20" s="526"/>
      <c r="IX20" s="526"/>
      <c r="IY20" s="526"/>
      <c r="IZ20" s="526"/>
      <c r="JA20" s="526"/>
      <c r="JB20" s="526"/>
      <c r="JC20" s="526"/>
      <c r="JD20" s="526"/>
      <c r="JE20" s="526"/>
      <c r="JF20" s="526"/>
      <c r="JG20" s="526"/>
      <c r="JH20" s="526"/>
      <c r="JI20" s="526"/>
      <c r="JJ20" s="526"/>
      <c r="JK20" s="526"/>
      <c r="JL20" s="526"/>
      <c r="JM20" s="526"/>
      <c r="JN20" s="525">
        <v>6119.42</v>
      </c>
      <c r="JO20" s="525">
        <v>1718.4469999983344</v>
      </c>
      <c r="JP20" s="525">
        <v>42968.019944281332</v>
      </c>
      <c r="JQ20" s="525">
        <v>0</v>
      </c>
      <c r="JR20" s="525">
        <v>0</v>
      </c>
      <c r="JS20" s="527">
        <v>52180.566944279664</v>
      </c>
      <c r="JT20" s="528">
        <f t="shared" si="10"/>
        <v>1374.6800000000003</v>
      </c>
      <c r="JU20" s="525">
        <v>62616.680333135591</v>
      </c>
      <c r="JV20" s="525">
        <v>19980.114142651397</v>
      </c>
      <c r="JW20" s="525">
        <v>23976.136971181677</v>
      </c>
      <c r="JX20" s="525">
        <v>40061.31</v>
      </c>
      <c r="JY20" s="525">
        <v>15339.61</v>
      </c>
      <c r="JZ20" s="526"/>
      <c r="KA20" s="525">
        <v>15339.61</v>
      </c>
      <c r="KB20" s="529">
        <v>0</v>
      </c>
      <c r="KC20" s="525">
        <v>13.408080051398429</v>
      </c>
      <c r="KD20" s="525">
        <v>19966.706062599998</v>
      </c>
      <c r="KE20" s="525">
        <v>15339.61</v>
      </c>
      <c r="KF20" s="525">
        <v>0</v>
      </c>
      <c r="KG20" s="530">
        <v>0</v>
      </c>
      <c r="KH20" s="525">
        <v>0</v>
      </c>
      <c r="KI20" s="525">
        <v>1941.7288606</v>
      </c>
      <c r="KJ20" s="530">
        <v>1301.6885838975668</v>
      </c>
      <c r="KK20" s="525">
        <v>1491.6999999999998</v>
      </c>
      <c r="KL20" s="525">
        <v>17051.728509999997</v>
      </c>
      <c r="KM20" s="530">
        <v>1301.6477350190189</v>
      </c>
      <c r="KN20" s="525">
        <v>13100.109999999999</v>
      </c>
      <c r="KO20" s="525">
        <v>973.24869200000012</v>
      </c>
      <c r="KP20" s="530">
        <v>1301.4826049745923</v>
      </c>
      <c r="KQ20" s="525">
        <v>747.80000000000007</v>
      </c>
      <c r="KR20" s="526"/>
      <c r="KS20" s="526"/>
      <c r="KT20" s="531">
        <v>28661.428</v>
      </c>
      <c r="KU20" s="531">
        <v>61.5</v>
      </c>
      <c r="KV20" s="526"/>
      <c r="KW20" s="531">
        <v>25822.771000000001</v>
      </c>
      <c r="KX20" s="531">
        <v>19.257000000000001</v>
      </c>
      <c r="KY20" s="531">
        <v>19.103000000000002</v>
      </c>
      <c r="KZ20" s="526"/>
      <c r="LA20" s="531">
        <v>395</v>
      </c>
      <c r="LB20" s="532">
        <v>1824</v>
      </c>
      <c r="LC20" s="533">
        <v>0.6</v>
      </c>
      <c r="LD20" s="494">
        <f t="shared" si="11"/>
        <v>64475.448494704535</v>
      </c>
      <c r="LE20" s="509">
        <f t="shared" si="12"/>
        <v>53729.54041225378</v>
      </c>
      <c r="LF20" s="534">
        <f t="shared" si="13"/>
        <v>44291.504006485498</v>
      </c>
      <c r="LG20" s="535">
        <f t="shared" si="14"/>
        <v>37527.924958926997</v>
      </c>
      <c r="LH20" s="536">
        <f t="shared" si="31"/>
        <v>1.03</v>
      </c>
      <c r="LI20" s="537">
        <f t="shared" si="15"/>
        <v>37527.924958926997</v>
      </c>
      <c r="LJ20" s="536">
        <f t="shared" si="32"/>
        <v>1.0389999999999999</v>
      </c>
      <c r="LK20" s="537">
        <f t="shared" si="16"/>
        <v>0</v>
      </c>
      <c r="LL20" s="536">
        <f t="shared" si="33"/>
        <v>1.0349999999999999</v>
      </c>
      <c r="LM20" s="537">
        <f t="shared" si="17"/>
        <v>0</v>
      </c>
      <c r="LN20" s="536">
        <f t="shared" si="34"/>
        <v>1.0349999999999999</v>
      </c>
      <c r="LO20" s="537">
        <f t="shared" si="18"/>
        <v>0</v>
      </c>
      <c r="LP20" s="536">
        <f t="shared" si="35"/>
        <v>1.0349999999999999</v>
      </c>
      <c r="LQ20" s="537">
        <f t="shared" si="19"/>
        <v>6393.8055585246784</v>
      </c>
      <c r="LR20" s="536">
        <f t="shared" si="36"/>
        <v>1.04</v>
      </c>
      <c r="LS20" s="537">
        <f t="shared" si="20"/>
        <v>369.77348903382648</v>
      </c>
      <c r="LT20" s="539">
        <f t="shared" si="21"/>
        <v>6294.4966061999994</v>
      </c>
      <c r="LU20" s="540">
        <f t="shared" si="22"/>
        <v>5187.7945349999991</v>
      </c>
      <c r="LV20" s="541">
        <f t="shared" si="23"/>
        <v>1106.7020712000001</v>
      </c>
      <c r="LW20" s="542">
        <f t="shared" si="24"/>
        <v>1768.8597995682758</v>
      </c>
      <c r="LX20" s="540">
        <f t="shared" si="25"/>
        <v>1566.7139495699998</v>
      </c>
      <c r="LY20" s="540">
        <f t="shared" si="26"/>
        <v>156.88530000000003</v>
      </c>
      <c r="LZ20" s="543">
        <f t="shared" si="27"/>
        <v>45.26054999827609</v>
      </c>
      <c r="MA20" s="544">
        <f t="shared" si="28"/>
        <v>1374.6800000000003</v>
      </c>
      <c r="MB20" s="545">
        <f t="shared" si="29"/>
        <v>0</v>
      </c>
    </row>
    <row r="21" spans="1:340" ht="16.5" customHeight="1">
      <c r="A21" s="465">
        <v>1</v>
      </c>
      <c r="B21" s="466">
        <v>11</v>
      </c>
      <c r="C21" s="467" t="s">
        <v>294</v>
      </c>
      <c r="D21" s="468">
        <v>4611016308</v>
      </c>
      <c r="E21" s="469">
        <f t="shared" si="3"/>
        <v>101318.44308036598</v>
      </c>
      <c r="F21" s="470" t="s">
        <v>281</v>
      </c>
      <c r="G21" s="595">
        <v>101318.29659020001</v>
      </c>
      <c r="H21" s="595">
        <f t="shared" si="30"/>
        <v>0.14649016596376896</v>
      </c>
      <c r="I21" s="595"/>
      <c r="J21" s="471">
        <f t="shared" si="4"/>
        <v>84432.035900304982</v>
      </c>
      <c r="K21" s="472">
        <f t="shared" si="5"/>
        <v>47255.583460304988</v>
      </c>
      <c r="L21" s="473">
        <f t="shared" si="6"/>
        <v>38197.289123099996</v>
      </c>
      <c r="M21" s="474">
        <v>38197.289123099996</v>
      </c>
      <c r="N21" s="475">
        <v>0</v>
      </c>
      <c r="O21" s="475">
        <v>0</v>
      </c>
      <c r="P21" s="476">
        <v>0</v>
      </c>
      <c r="Q21" s="477">
        <v>8440.1790822049988</v>
      </c>
      <c r="R21" s="478">
        <f t="shared" si="7"/>
        <v>618.11525500000005</v>
      </c>
      <c r="S21" s="479">
        <f t="shared" si="8"/>
        <v>21821.079999999998</v>
      </c>
      <c r="T21" s="479">
        <v>15393.219999999998</v>
      </c>
      <c r="U21" s="480">
        <v>6427.8600000000006</v>
      </c>
      <c r="V21" s="481">
        <f t="shared" si="9"/>
        <v>13403.25244</v>
      </c>
      <c r="W21" s="482">
        <v>4648.7524400000002</v>
      </c>
      <c r="X21" s="479">
        <v>4741.22</v>
      </c>
      <c r="Y21" s="483">
        <v>4013.2799999999997</v>
      </c>
      <c r="Z21" s="484">
        <v>-4.5474735088646412E-12</v>
      </c>
      <c r="AA21" s="485">
        <v>1952.12</v>
      </c>
      <c r="AB21" s="486"/>
      <c r="AC21" s="487">
        <v>38197.289123099996</v>
      </c>
      <c r="AD21" s="487">
        <v>38197.289123099996</v>
      </c>
      <c r="AE21" s="487">
        <v>0</v>
      </c>
      <c r="AF21" s="487">
        <v>0</v>
      </c>
      <c r="AG21" s="487">
        <v>0</v>
      </c>
      <c r="AH21" s="487">
        <v>8440.1790822049988</v>
      </c>
      <c r="AI21" s="487">
        <v>8440.1790822049988</v>
      </c>
      <c r="AJ21" s="487">
        <v>0</v>
      </c>
      <c r="AK21" s="487">
        <v>0</v>
      </c>
      <c r="AL21" s="487">
        <v>0</v>
      </c>
      <c r="AM21" s="487">
        <v>0</v>
      </c>
      <c r="AN21" s="487">
        <v>0</v>
      </c>
      <c r="AO21" s="487">
        <v>0</v>
      </c>
      <c r="AP21" s="487">
        <v>0</v>
      </c>
      <c r="AQ21" s="487">
        <v>0</v>
      </c>
      <c r="AR21" s="487">
        <v>0</v>
      </c>
      <c r="AS21" s="487">
        <v>0</v>
      </c>
      <c r="AT21" s="487">
        <v>0</v>
      </c>
      <c r="AU21" s="487">
        <v>0</v>
      </c>
      <c r="AV21" s="487">
        <v>0</v>
      </c>
      <c r="AW21" s="487">
        <v>0</v>
      </c>
      <c r="AX21" s="487">
        <v>0</v>
      </c>
      <c r="AY21" s="487">
        <v>0</v>
      </c>
      <c r="AZ21" s="487">
        <v>0</v>
      </c>
      <c r="BA21" s="487">
        <v>8440.1790822049988</v>
      </c>
      <c r="BB21" s="487">
        <v>1137.1303</v>
      </c>
      <c r="BC21" s="487">
        <v>0</v>
      </c>
      <c r="BD21" s="487">
        <v>0</v>
      </c>
      <c r="BE21" s="487">
        <v>0</v>
      </c>
      <c r="BF21" s="487">
        <v>0</v>
      </c>
      <c r="BG21" s="487">
        <v>0</v>
      </c>
      <c r="BH21" s="487">
        <v>0</v>
      </c>
      <c r="BI21" s="487">
        <v>0</v>
      </c>
      <c r="BJ21" s="487">
        <v>8440.1790822049988</v>
      </c>
      <c r="BK21" s="487">
        <v>7.4223499999999989</v>
      </c>
      <c r="BL21" s="487">
        <v>1137.1303</v>
      </c>
      <c r="BM21" s="487">
        <v>0</v>
      </c>
      <c r="BN21" s="487">
        <v>0</v>
      </c>
      <c r="BO21" s="487">
        <v>0</v>
      </c>
      <c r="BP21" s="487">
        <v>0</v>
      </c>
      <c r="BQ21" s="487">
        <v>0</v>
      </c>
      <c r="BR21" s="487">
        <v>0</v>
      </c>
      <c r="BS21" s="487">
        <v>0</v>
      </c>
      <c r="BT21" s="487">
        <v>0</v>
      </c>
      <c r="BU21" s="487">
        <v>0</v>
      </c>
      <c r="BV21" s="487">
        <v>0</v>
      </c>
      <c r="BW21" s="487">
        <v>0</v>
      </c>
      <c r="BX21" s="487">
        <v>0</v>
      </c>
      <c r="BY21" s="487">
        <v>0</v>
      </c>
      <c r="BZ21" s="487">
        <v>0</v>
      </c>
      <c r="CA21" s="487">
        <v>0</v>
      </c>
      <c r="CB21" s="487">
        <v>0</v>
      </c>
      <c r="CC21" s="487">
        <v>0</v>
      </c>
      <c r="CD21" s="487">
        <v>0</v>
      </c>
      <c r="CE21" s="487">
        <v>0</v>
      </c>
      <c r="CF21" s="487">
        <v>0</v>
      </c>
      <c r="CG21" s="487">
        <v>0</v>
      </c>
      <c r="CH21" s="487">
        <v>0</v>
      </c>
      <c r="CI21" s="487">
        <v>0</v>
      </c>
      <c r="CJ21" s="487">
        <v>0</v>
      </c>
      <c r="CK21" s="487">
        <v>0</v>
      </c>
      <c r="CL21" s="487">
        <v>0</v>
      </c>
      <c r="CM21" s="487">
        <v>15393.219999999998</v>
      </c>
      <c r="CN21" s="487">
        <v>9320.14</v>
      </c>
      <c r="CO21" s="487">
        <v>0</v>
      </c>
      <c r="CP21" s="487">
        <v>1308.3</v>
      </c>
      <c r="CQ21" s="487">
        <v>4764.78</v>
      </c>
      <c r="CR21" s="487">
        <v>0</v>
      </c>
      <c r="CS21" s="487">
        <v>4648.7524400000002</v>
      </c>
      <c r="CT21" s="487">
        <v>2814.68228</v>
      </c>
      <c r="CU21" s="487">
        <v>0</v>
      </c>
      <c r="CV21" s="487">
        <v>395.10660000000001</v>
      </c>
      <c r="CW21" s="487">
        <v>1438.9635600000001</v>
      </c>
      <c r="CX21" s="487">
        <v>0</v>
      </c>
      <c r="CY21" s="487">
        <v>293.69525499999997</v>
      </c>
      <c r="CZ21" s="467"/>
      <c r="DA21" s="487">
        <v>13.6456</v>
      </c>
      <c r="DB21" s="487">
        <v>0</v>
      </c>
      <c r="DC21" s="467"/>
      <c r="DD21" s="487">
        <v>0</v>
      </c>
      <c r="DE21" s="487">
        <v>324.42000000000007</v>
      </c>
      <c r="DF21" s="487">
        <v>0</v>
      </c>
      <c r="DG21" s="487">
        <v>1683.3400000000001</v>
      </c>
      <c r="DH21" s="487">
        <v>59.870000000000005</v>
      </c>
      <c r="DI21" s="487">
        <v>0</v>
      </c>
      <c r="DJ21" s="487">
        <v>1623.47</v>
      </c>
      <c r="DK21" s="487">
        <v>0</v>
      </c>
      <c r="DL21" s="487">
        <v>0</v>
      </c>
      <c r="DM21" s="487">
        <v>0</v>
      </c>
      <c r="DN21" s="487">
        <v>0</v>
      </c>
      <c r="DO21" s="487">
        <v>0</v>
      </c>
      <c r="DP21" s="487">
        <v>2264</v>
      </c>
      <c r="DQ21" s="487">
        <v>0</v>
      </c>
      <c r="DR21" s="487">
        <v>0</v>
      </c>
      <c r="DS21" s="487">
        <v>0</v>
      </c>
      <c r="DT21" s="487">
        <v>2264</v>
      </c>
      <c r="DU21" s="487">
        <v>2023.98</v>
      </c>
      <c r="DV21" s="487">
        <v>0</v>
      </c>
      <c r="DW21" s="487">
        <v>0</v>
      </c>
      <c r="DX21" s="487">
        <v>0</v>
      </c>
      <c r="DY21" s="487">
        <v>0</v>
      </c>
      <c r="DZ21" s="487">
        <v>0</v>
      </c>
      <c r="EA21" s="487">
        <v>0</v>
      </c>
      <c r="EB21" s="487">
        <v>0</v>
      </c>
      <c r="EC21" s="487">
        <v>0</v>
      </c>
      <c r="ED21" s="487">
        <v>0</v>
      </c>
      <c r="EE21" s="487">
        <v>0</v>
      </c>
      <c r="EF21" s="487">
        <v>0</v>
      </c>
      <c r="EG21" s="487">
        <v>2023.98</v>
      </c>
      <c r="EH21" s="487">
        <v>0</v>
      </c>
      <c r="EI21" s="487">
        <v>0</v>
      </c>
      <c r="EJ21" s="487">
        <v>0</v>
      </c>
      <c r="EK21" s="487">
        <v>0</v>
      </c>
      <c r="EL21" s="487">
        <v>0</v>
      </c>
      <c r="EM21" s="487">
        <v>0</v>
      </c>
      <c r="EN21" s="487">
        <v>0</v>
      </c>
      <c r="EO21" s="487">
        <v>0</v>
      </c>
      <c r="EP21" s="487">
        <v>456.54</v>
      </c>
      <c r="EQ21" s="487">
        <v>0</v>
      </c>
      <c r="ER21" s="487">
        <v>456.54</v>
      </c>
      <c r="ES21" s="487">
        <v>123.51000000000002</v>
      </c>
      <c r="ET21" s="487">
        <v>0</v>
      </c>
      <c r="EU21" s="487">
        <v>0</v>
      </c>
      <c r="EV21" s="487">
        <v>0</v>
      </c>
      <c r="EW21" s="487">
        <v>0</v>
      </c>
      <c r="EX21" s="487">
        <v>0</v>
      </c>
      <c r="EY21" s="487">
        <v>0</v>
      </c>
      <c r="EZ21" s="487">
        <v>0</v>
      </c>
      <c r="FA21" s="487">
        <v>0</v>
      </c>
      <c r="FB21" s="487">
        <v>770.16</v>
      </c>
      <c r="FC21" s="487">
        <v>22.16</v>
      </c>
      <c r="FD21" s="487">
        <v>102</v>
      </c>
      <c r="FE21" s="487">
        <v>0</v>
      </c>
      <c r="FF21" s="487">
        <v>646</v>
      </c>
      <c r="FG21" s="487">
        <v>646</v>
      </c>
      <c r="FH21" s="487">
        <v>0</v>
      </c>
      <c r="FI21" s="487">
        <v>0</v>
      </c>
      <c r="FJ21" s="487">
        <v>0</v>
      </c>
      <c r="FK21" s="487">
        <v>0</v>
      </c>
      <c r="FL21" s="487">
        <v>0</v>
      </c>
      <c r="FM21" s="487">
        <v>4741.22</v>
      </c>
      <c r="FN21" s="487">
        <v>4741.22</v>
      </c>
      <c r="FO21" s="487">
        <v>0</v>
      </c>
      <c r="FP21" s="487">
        <v>0</v>
      </c>
      <c r="FQ21" s="487">
        <v>2620.7800000000002</v>
      </c>
      <c r="FR21" s="487">
        <v>498.82999999999993</v>
      </c>
      <c r="FS21" s="488">
        <v>82479.915900304986</v>
      </c>
      <c r="FT21" s="487">
        <v>0</v>
      </c>
      <c r="FU21" s="487">
        <v>0</v>
      </c>
      <c r="FV21" s="487">
        <v>0</v>
      </c>
      <c r="FW21" s="487">
        <v>0</v>
      </c>
      <c r="FX21" s="487">
        <v>0</v>
      </c>
      <c r="FY21" s="487">
        <v>0</v>
      </c>
      <c r="FZ21" s="487">
        <v>0</v>
      </c>
      <c r="GA21" s="487">
        <v>0</v>
      </c>
      <c r="GB21" s="487">
        <v>0</v>
      </c>
      <c r="GC21" s="487">
        <v>0</v>
      </c>
      <c r="GD21" s="487">
        <v>0</v>
      </c>
      <c r="GE21" s="487">
        <v>0</v>
      </c>
      <c r="GF21" s="487">
        <v>0</v>
      </c>
      <c r="GG21" s="487">
        <v>0</v>
      </c>
      <c r="GH21" s="487">
        <v>1952.12</v>
      </c>
      <c r="GI21" s="487">
        <v>1952.12</v>
      </c>
      <c r="GJ21" s="467"/>
      <c r="GK21" s="487">
        <v>0</v>
      </c>
      <c r="GL21" s="467"/>
      <c r="GM21" s="487">
        <v>0</v>
      </c>
      <c r="GN21" s="487">
        <v>0</v>
      </c>
      <c r="GO21" s="467"/>
      <c r="GP21" s="467"/>
      <c r="GQ21" s="487">
        <v>0</v>
      </c>
      <c r="GR21" s="467"/>
      <c r="GS21" s="467"/>
      <c r="GT21" s="487">
        <v>0</v>
      </c>
      <c r="GU21" s="487">
        <v>0</v>
      </c>
      <c r="GV21" s="487">
        <v>0</v>
      </c>
      <c r="GW21" s="487">
        <v>0</v>
      </c>
      <c r="GX21" s="487">
        <v>0</v>
      </c>
      <c r="GY21" s="487">
        <v>0</v>
      </c>
      <c r="GZ21" s="487">
        <v>0</v>
      </c>
      <c r="HA21" s="487">
        <v>0</v>
      </c>
      <c r="HB21" s="487">
        <v>0</v>
      </c>
      <c r="HC21" s="487">
        <v>0</v>
      </c>
      <c r="HD21" s="487">
        <v>0</v>
      </c>
      <c r="HE21" s="487">
        <v>0</v>
      </c>
      <c r="HF21" s="487">
        <v>0</v>
      </c>
      <c r="HG21" s="487">
        <v>0</v>
      </c>
      <c r="HH21" s="487">
        <v>0</v>
      </c>
      <c r="HI21" s="487">
        <v>0</v>
      </c>
      <c r="HJ21" s="487">
        <v>0</v>
      </c>
      <c r="HK21" s="487">
        <v>0</v>
      </c>
      <c r="HL21" s="467"/>
      <c r="HM21" s="467"/>
      <c r="HN21" s="467"/>
      <c r="HO21" s="467"/>
      <c r="HP21" s="467"/>
      <c r="HQ21" s="467"/>
      <c r="HR21" s="467"/>
      <c r="HS21" s="467"/>
      <c r="HT21" s="467"/>
      <c r="HU21" s="467"/>
      <c r="HV21" s="467"/>
      <c r="HW21" s="467"/>
      <c r="HX21" s="467"/>
      <c r="HY21" s="467"/>
      <c r="HZ21" s="467"/>
      <c r="IA21" s="467"/>
      <c r="IB21" s="467"/>
      <c r="IC21" s="467"/>
      <c r="ID21" s="467"/>
      <c r="IE21" s="467"/>
      <c r="IF21" s="467"/>
      <c r="IG21" s="467"/>
      <c r="IH21" s="467"/>
      <c r="II21" s="467"/>
      <c r="IJ21" s="467"/>
      <c r="IK21" s="467"/>
      <c r="IL21" s="467"/>
      <c r="IM21" s="467"/>
      <c r="IN21" s="467"/>
      <c r="IO21" s="467"/>
      <c r="IP21" s="467"/>
      <c r="IQ21" s="467"/>
      <c r="IR21" s="467"/>
      <c r="IS21" s="467"/>
      <c r="IT21" s="467"/>
      <c r="IU21" s="467"/>
      <c r="IV21" s="467"/>
      <c r="IW21" s="467"/>
      <c r="IX21" s="467"/>
      <c r="IY21" s="467"/>
      <c r="IZ21" s="467"/>
      <c r="JA21" s="467"/>
      <c r="JB21" s="467"/>
      <c r="JC21" s="467"/>
      <c r="JD21" s="467"/>
      <c r="JE21" s="467"/>
      <c r="JF21" s="467"/>
      <c r="JG21" s="467"/>
      <c r="JH21" s="467"/>
      <c r="JI21" s="467"/>
      <c r="JJ21" s="467"/>
      <c r="JK21" s="467"/>
      <c r="JL21" s="467"/>
      <c r="JM21" s="467"/>
      <c r="JN21" s="487">
        <v>21821.079999999998</v>
      </c>
      <c r="JO21" s="487">
        <v>13403.25244</v>
      </c>
      <c r="JP21" s="487">
        <v>47255.583460304988</v>
      </c>
      <c r="JQ21" s="487">
        <v>0</v>
      </c>
      <c r="JR21" s="487">
        <v>1952.12</v>
      </c>
      <c r="JS21" s="488">
        <v>84432.035900304982</v>
      </c>
      <c r="JT21" s="489">
        <f t="shared" si="10"/>
        <v>-4.5474735088646412E-12</v>
      </c>
      <c r="JU21" s="487">
        <v>101318.44308036598</v>
      </c>
      <c r="JV21" s="487">
        <v>84432.035900304982</v>
      </c>
      <c r="JW21" s="487">
        <v>101318.44308036598</v>
      </c>
      <c r="JX21" s="487">
        <v>35893.089999999997</v>
      </c>
      <c r="JY21" s="487">
        <v>35893.089999999997</v>
      </c>
      <c r="JZ21" s="467"/>
      <c r="KA21" s="487">
        <v>35893.089999999997</v>
      </c>
      <c r="KB21" s="490">
        <v>2.3667822386719739</v>
      </c>
      <c r="KC21" s="487">
        <v>2.4315049668075517E-3</v>
      </c>
      <c r="KD21" s="487">
        <v>84432.033468800015</v>
      </c>
      <c r="KE21" s="487">
        <v>35893.089999999997</v>
      </c>
      <c r="KF21" s="487">
        <v>0</v>
      </c>
      <c r="KG21" s="491">
        <v>0</v>
      </c>
      <c r="KH21" s="487">
        <v>0</v>
      </c>
      <c r="KI21" s="487">
        <v>39807.5586176</v>
      </c>
      <c r="KJ21" s="491">
        <v>2352.3200000000002</v>
      </c>
      <c r="KK21" s="487">
        <v>16922.68</v>
      </c>
      <c r="KL21" s="487">
        <v>44135.192291200001</v>
      </c>
      <c r="KM21" s="491">
        <v>2352.3200000000002</v>
      </c>
      <c r="KN21" s="487">
        <v>18762.41</v>
      </c>
      <c r="KO21" s="487">
        <v>489.28256000000005</v>
      </c>
      <c r="KP21" s="491">
        <v>2352.3200000000002</v>
      </c>
      <c r="KQ21" s="487">
        <v>208</v>
      </c>
      <c r="KR21" s="467"/>
      <c r="KS21" s="467"/>
      <c r="KT21" s="487">
        <v>159585.31</v>
      </c>
      <c r="KU21" s="487">
        <v>78.66</v>
      </c>
      <c r="KV21" s="467"/>
      <c r="KW21" s="487">
        <v>31176.3</v>
      </c>
      <c r="KX21" s="487">
        <v>12.462</v>
      </c>
      <c r="KY21" s="487">
        <v>0.25</v>
      </c>
      <c r="KZ21" s="467"/>
      <c r="LA21" s="487">
        <v>11772.13</v>
      </c>
      <c r="LB21" s="492">
        <v>3288</v>
      </c>
      <c r="LC21" s="493">
        <v>1.504</v>
      </c>
      <c r="LD21" s="494">
        <f t="shared" si="11"/>
        <v>104436.14286982028</v>
      </c>
      <c r="LE21" s="471">
        <f t="shared" si="12"/>
        <v>87030.119058183569</v>
      </c>
      <c r="LF21" s="495">
        <f t="shared" si="13"/>
        <v>48721.633012075166</v>
      </c>
      <c r="LG21" s="476">
        <f t="shared" si="14"/>
        <v>39343.207796792994</v>
      </c>
      <c r="LH21" s="496">
        <f t="shared" si="31"/>
        <v>1.03</v>
      </c>
      <c r="LI21" s="497">
        <f t="shared" si="15"/>
        <v>39343.207796792994</v>
      </c>
      <c r="LJ21" s="496">
        <f t="shared" si="32"/>
        <v>1.0389999999999999</v>
      </c>
      <c r="LK21" s="497">
        <f t="shared" si="16"/>
        <v>0</v>
      </c>
      <c r="LL21" s="496">
        <f t="shared" si="33"/>
        <v>1.0349999999999999</v>
      </c>
      <c r="LM21" s="497">
        <f t="shared" si="17"/>
        <v>0</v>
      </c>
      <c r="LN21" s="496">
        <f t="shared" si="34"/>
        <v>1.0349999999999999</v>
      </c>
      <c r="LO21" s="497">
        <f t="shared" si="18"/>
        <v>0</v>
      </c>
      <c r="LP21" s="496">
        <f t="shared" si="35"/>
        <v>1.0349999999999999</v>
      </c>
      <c r="LQ21" s="497">
        <f t="shared" si="19"/>
        <v>8735.5853500821722</v>
      </c>
      <c r="LR21" s="496">
        <f t="shared" si="36"/>
        <v>1.04</v>
      </c>
      <c r="LS21" s="497">
        <f t="shared" si="20"/>
        <v>642.83986520000008</v>
      </c>
      <c r="LT21" s="499">
        <f t="shared" si="21"/>
        <v>22445.381098799997</v>
      </c>
      <c r="LU21" s="500">
        <f t="shared" si="22"/>
        <v>15833.620024199998</v>
      </c>
      <c r="LV21" s="501">
        <f t="shared" si="23"/>
        <v>6611.7610746000009</v>
      </c>
      <c r="LW21" s="499">
        <f t="shared" si="24"/>
        <v>13842.6607473084</v>
      </c>
      <c r="LX21" s="500">
        <f t="shared" si="25"/>
        <v>4781.7532473083993</v>
      </c>
      <c r="LY21" s="500">
        <f t="shared" si="26"/>
        <v>4907.1626999999999</v>
      </c>
      <c r="LZ21" s="502">
        <f t="shared" si="27"/>
        <v>4153.7447999999995</v>
      </c>
      <c r="MA21" s="503">
        <f t="shared" si="28"/>
        <v>-4.5474735088646412E-12</v>
      </c>
      <c r="MB21" s="504">
        <f t="shared" si="29"/>
        <v>2020.4441999999997</v>
      </c>
    </row>
    <row r="22" spans="1:340" ht="16.5" customHeight="1">
      <c r="A22" s="505">
        <v>1</v>
      </c>
      <c r="B22" s="506">
        <v>12</v>
      </c>
      <c r="C22" s="507" t="s">
        <v>295</v>
      </c>
      <c r="D22" s="508">
        <v>4630001280</v>
      </c>
      <c r="E22" s="469">
        <f t="shared" si="3"/>
        <v>24286.651004363997</v>
      </c>
      <c r="F22" s="470" t="s">
        <v>281</v>
      </c>
      <c r="G22" s="595">
        <v>157.19870759999998</v>
      </c>
      <c r="H22" s="597">
        <f t="shared" si="30"/>
        <v>24129.452296763997</v>
      </c>
      <c r="I22" s="597" t="s">
        <v>858</v>
      </c>
      <c r="J22" s="509">
        <f t="shared" si="4"/>
        <v>20238.875836969997</v>
      </c>
      <c r="K22" s="510">
        <f t="shared" si="5"/>
        <v>12106.778696970001</v>
      </c>
      <c r="L22" s="511">
        <f t="shared" si="6"/>
        <v>10680.138296730001</v>
      </c>
      <c r="M22" s="512">
        <v>10680.138296730001</v>
      </c>
      <c r="N22" s="513">
        <v>0</v>
      </c>
      <c r="O22" s="513">
        <v>0</v>
      </c>
      <c r="P22" s="514">
        <v>0</v>
      </c>
      <c r="Q22" s="515">
        <v>1279.4043182399998</v>
      </c>
      <c r="R22" s="516">
        <f t="shared" si="7"/>
        <v>147.23608200000001</v>
      </c>
      <c r="S22" s="517">
        <f t="shared" si="8"/>
        <v>5742.7789999999995</v>
      </c>
      <c r="T22" s="518">
        <v>3366.4550000000004</v>
      </c>
      <c r="U22" s="519">
        <v>2376.3239999999992</v>
      </c>
      <c r="V22" s="520">
        <f t="shared" si="9"/>
        <v>1752.11814</v>
      </c>
      <c r="W22" s="521">
        <v>1036.86814</v>
      </c>
      <c r="X22" s="518">
        <v>699.44000000000017</v>
      </c>
      <c r="Y22" s="522">
        <v>15.809999999999832</v>
      </c>
      <c r="Z22" s="523">
        <v>226.9399999999971</v>
      </c>
      <c r="AA22" s="524">
        <v>410.26</v>
      </c>
      <c r="AB22" s="486"/>
      <c r="AC22" s="525">
        <v>10680.138296730001</v>
      </c>
      <c r="AD22" s="525">
        <v>10680.138296730001</v>
      </c>
      <c r="AE22" s="525">
        <v>0</v>
      </c>
      <c r="AF22" s="525">
        <v>0</v>
      </c>
      <c r="AG22" s="525">
        <v>0</v>
      </c>
      <c r="AH22" s="525">
        <v>1279.4043182399998</v>
      </c>
      <c r="AI22" s="525">
        <v>1279.4043182399998</v>
      </c>
      <c r="AJ22" s="525">
        <v>0</v>
      </c>
      <c r="AK22" s="525">
        <v>0</v>
      </c>
      <c r="AL22" s="525">
        <v>0</v>
      </c>
      <c r="AM22" s="525">
        <v>0</v>
      </c>
      <c r="AN22" s="525">
        <v>0</v>
      </c>
      <c r="AO22" s="525">
        <v>0</v>
      </c>
      <c r="AP22" s="525">
        <v>0</v>
      </c>
      <c r="AQ22" s="525">
        <v>0</v>
      </c>
      <c r="AR22" s="525">
        <v>0</v>
      </c>
      <c r="AS22" s="525">
        <v>0</v>
      </c>
      <c r="AT22" s="525">
        <v>0</v>
      </c>
      <c r="AU22" s="525">
        <v>0</v>
      </c>
      <c r="AV22" s="525">
        <v>0</v>
      </c>
      <c r="AW22" s="525">
        <v>0</v>
      </c>
      <c r="AX22" s="525">
        <v>0</v>
      </c>
      <c r="AY22" s="525">
        <v>0</v>
      </c>
      <c r="AZ22" s="525">
        <v>0</v>
      </c>
      <c r="BA22" s="525">
        <v>1279.4043182399998</v>
      </c>
      <c r="BB22" s="525">
        <v>299.42399999999998</v>
      </c>
      <c r="BC22" s="525">
        <v>0</v>
      </c>
      <c r="BD22" s="525">
        <v>1279.4043182399998</v>
      </c>
      <c r="BE22" s="525">
        <v>4.2728849999999996</v>
      </c>
      <c r="BF22" s="525">
        <v>299.42399999999998</v>
      </c>
      <c r="BG22" s="525">
        <v>0</v>
      </c>
      <c r="BH22" s="525">
        <v>0</v>
      </c>
      <c r="BI22" s="525">
        <v>0</v>
      </c>
      <c r="BJ22" s="525">
        <v>0</v>
      </c>
      <c r="BK22" s="525">
        <v>0</v>
      </c>
      <c r="BL22" s="525">
        <v>0</v>
      </c>
      <c r="BM22" s="525">
        <v>0</v>
      </c>
      <c r="BN22" s="525">
        <v>0</v>
      </c>
      <c r="BO22" s="525">
        <v>0</v>
      </c>
      <c r="BP22" s="525">
        <v>0</v>
      </c>
      <c r="BQ22" s="525">
        <v>0</v>
      </c>
      <c r="BR22" s="525">
        <v>0</v>
      </c>
      <c r="BS22" s="525">
        <v>0</v>
      </c>
      <c r="BT22" s="525">
        <v>0</v>
      </c>
      <c r="BU22" s="525">
        <v>0</v>
      </c>
      <c r="BV22" s="525">
        <v>0</v>
      </c>
      <c r="BW22" s="525">
        <v>0</v>
      </c>
      <c r="BX22" s="525">
        <v>0</v>
      </c>
      <c r="BY22" s="525">
        <v>0</v>
      </c>
      <c r="BZ22" s="525">
        <v>0</v>
      </c>
      <c r="CA22" s="525">
        <v>0</v>
      </c>
      <c r="CB22" s="525">
        <v>0</v>
      </c>
      <c r="CC22" s="525">
        <v>0</v>
      </c>
      <c r="CD22" s="525">
        <v>0</v>
      </c>
      <c r="CE22" s="525">
        <v>0</v>
      </c>
      <c r="CF22" s="525">
        <v>0</v>
      </c>
      <c r="CG22" s="525">
        <v>0</v>
      </c>
      <c r="CH22" s="525">
        <v>0</v>
      </c>
      <c r="CI22" s="525">
        <v>0</v>
      </c>
      <c r="CJ22" s="525">
        <v>0</v>
      </c>
      <c r="CK22" s="525">
        <v>0</v>
      </c>
      <c r="CL22" s="525">
        <v>0</v>
      </c>
      <c r="CM22" s="525">
        <v>3366.4550000000004</v>
      </c>
      <c r="CN22" s="525">
        <v>2188.5100000000002</v>
      </c>
      <c r="CO22" s="525">
        <v>0</v>
      </c>
      <c r="CP22" s="525">
        <v>657.20499999999993</v>
      </c>
      <c r="CQ22" s="525">
        <v>520.74</v>
      </c>
      <c r="CR22" s="525">
        <v>0</v>
      </c>
      <c r="CS22" s="525">
        <v>1036.86814</v>
      </c>
      <c r="CT22" s="525">
        <v>674.06108000000006</v>
      </c>
      <c r="CU22" s="525">
        <v>0</v>
      </c>
      <c r="CV22" s="525">
        <v>202.41914</v>
      </c>
      <c r="CW22" s="525">
        <v>160.38792000000001</v>
      </c>
      <c r="CX22" s="525">
        <v>0</v>
      </c>
      <c r="CY22" s="525">
        <v>147.23608200000001</v>
      </c>
      <c r="CZ22" s="526"/>
      <c r="DA22" s="525">
        <v>9.7314000000000007</v>
      </c>
      <c r="DB22" s="525">
        <v>0</v>
      </c>
      <c r="DC22" s="526"/>
      <c r="DD22" s="525">
        <v>0</v>
      </c>
      <c r="DE22" s="525">
        <v>0</v>
      </c>
      <c r="DF22" s="525">
        <v>0</v>
      </c>
      <c r="DG22" s="525">
        <v>1572.52</v>
      </c>
      <c r="DH22" s="525">
        <v>411.22</v>
      </c>
      <c r="DI22" s="525">
        <v>0</v>
      </c>
      <c r="DJ22" s="525">
        <v>1161.3</v>
      </c>
      <c r="DK22" s="525">
        <v>0</v>
      </c>
      <c r="DL22" s="525">
        <v>0</v>
      </c>
      <c r="DM22" s="525">
        <v>0</v>
      </c>
      <c r="DN22" s="525">
        <v>0</v>
      </c>
      <c r="DO22" s="525">
        <v>0</v>
      </c>
      <c r="DP22" s="525">
        <v>737.05999999999983</v>
      </c>
      <c r="DQ22" s="525">
        <v>0</v>
      </c>
      <c r="DR22" s="525">
        <v>0</v>
      </c>
      <c r="DS22" s="525">
        <v>0</v>
      </c>
      <c r="DT22" s="525">
        <v>737.05999999999983</v>
      </c>
      <c r="DU22" s="525">
        <v>25.48</v>
      </c>
      <c r="DV22" s="525">
        <v>0</v>
      </c>
      <c r="DW22" s="525">
        <v>0</v>
      </c>
      <c r="DX22" s="525">
        <v>0</v>
      </c>
      <c r="DY22" s="525">
        <v>0</v>
      </c>
      <c r="DZ22" s="525">
        <v>0</v>
      </c>
      <c r="EA22" s="525">
        <v>0</v>
      </c>
      <c r="EB22" s="525">
        <v>0</v>
      </c>
      <c r="EC22" s="525">
        <v>0</v>
      </c>
      <c r="ED22" s="525">
        <v>0</v>
      </c>
      <c r="EE22" s="525">
        <v>0</v>
      </c>
      <c r="EF22" s="525">
        <v>0</v>
      </c>
      <c r="EG22" s="525">
        <v>25.48</v>
      </c>
      <c r="EH22" s="525">
        <v>0</v>
      </c>
      <c r="EI22" s="525">
        <v>0</v>
      </c>
      <c r="EJ22" s="525">
        <v>0</v>
      </c>
      <c r="EK22" s="525">
        <v>0</v>
      </c>
      <c r="EL22" s="525">
        <v>0</v>
      </c>
      <c r="EM22" s="525">
        <v>12.994000000000002</v>
      </c>
      <c r="EN22" s="525">
        <v>0</v>
      </c>
      <c r="EO22" s="525">
        <v>0</v>
      </c>
      <c r="EP22" s="525">
        <v>28.27</v>
      </c>
      <c r="EQ22" s="525">
        <v>0</v>
      </c>
      <c r="ER22" s="525">
        <v>28.27</v>
      </c>
      <c r="ES22" s="525">
        <v>0</v>
      </c>
      <c r="ET22" s="525">
        <v>0</v>
      </c>
      <c r="EU22" s="525">
        <v>0</v>
      </c>
      <c r="EV22" s="525">
        <v>0</v>
      </c>
      <c r="EW22" s="525">
        <v>0</v>
      </c>
      <c r="EX22" s="525">
        <v>0</v>
      </c>
      <c r="EY22" s="525">
        <v>0</v>
      </c>
      <c r="EZ22" s="525">
        <v>0</v>
      </c>
      <c r="FA22" s="525">
        <v>0</v>
      </c>
      <c r="FB22" s="525">
        <v>15.809999999999999</v>
      </c>
      <c r="FC22" s="525">
        <v>0</v>
      </c>
      <c r="FD22" s="525">
        <v>15.809999999999999</v>
      </c>
      <c r="FE22" s="525">
        <v>0</v>
      </c>
      <c r="FF22" s="525">
        <v>0</v>
      </c>
      <c r="FG22" s="525">
        <v>0</v>
      </c>
      <c r="FH22" s="525">
        <v>0</v>
      </c>
      <c r="FI22" s="525">
        <v>0</v>
      </c>
      <c r="FJ22" s="525">
        <v>0</v>
      </c>
      <c r="FK22" s="525">
        <v>0</v>
      </c>
      <c r="FL22" s="525">
        <v>0</v>
      </c>
      <c r="FM22" s="525">
        <v>699.44000000000017</v>
      </c>
      <c r="FN22" s="525">
        <v>699.44000000000017</v>
      </c>
      <c r="FO22" s="525">
        <v>0</v>
      </c>
      <c r="FP22" s="525">
        <v>0</v>
      </c>
      <c r="FQ22" s="525">
        <v>0</v>
      </c>
      <c r="FR22" s="525">
        <v>0</v>
      </c>
      <c r="FS22" s="527">
        <v>19601.67583697</v>
      </c>
      <c r="FT22" s="525">
        <v>0</v>
      </c>
      <c r="FU22" s="525">
        <v>0</v>
      </c>
      <c r="FV22" s="525">
        <v>0</v>
      </c>
      <c r="FW22" s="525">
        <v>0</v>
      </c>
      <c r="FX22" s="525">
        <v>0</v>
      </c>
      <c r="FY22" s="525">
        <v>0</v>
      </c>
      <c r="FZ22" s="525">
        <v>0</v>
      </c>
      <c r="GA22" s="525">
        <v>0</v>
      </c>
      <c r="GB22" s="525">
        <v>0</v>
      </c>
      <c r="GC22" s="525">
        <v>0</v>
      </c>
      <c r="GD22" s="525">
        <v>0</v>
      </c>
      <c r="GE22" s="525">
        <v>0</v>
      </c>
      <c r="GF22" s="525">
        <v>0</v>
      </c>
      <c r="GG22" s="525">
        <v>0</v>
      </c>
      <c r="GH22" s="525">
        <v>410.26</v>
      </c>
      <c r="GI22" s="525">
        <v>410.26</v>
      </c>
      <c r="GJ22" s="526"/>
      <c r="GK22" s="525">
        <v>0</v>
      </c>
      <c r="GL22" s="526"/>
      <c r="GM22" s="525">
        <v>0</v>
      </c>
      <c r="GN22" s="525">
        <v>0</v>
      </c>
      <c r="GO22" s="526"/>
      <c r="GP22" s="526"/>
      <c r="GQ22" s="525">
        <v>0</v>
      </c>
      <c r="GR22" s="526"/>
      <c r="GS22" s="526"/>
      <c r="GT22" s="525">
        <v>0</v>
      </c>
      <c r="GU22" s="525">
        <v>0</v>
      </c>
      <c r="GV22" s="525">
        <v>0</v>
      </c>
      <c r="GW22" s="525">
        <v>0</v>
      </c>
      <c r="GX22" s="525">
        <v>0</v>
      </c>
      <c r="GY22" s="525">
        <v>0</v>
      </c>
      <c r="GZ22" s="525">
        <v>0</v>
      </c>
      <c r="HA22" s="525">
        <v>0</v>
      </c>
      <c r="HB22" s="525">
        <v>0</v>
      </c>
      <c r="HC22" s="525">
        <v>0</v>
      </c>
      <c r="HD22" s="525">
        <v>0</v>
      </c>
      <c r="HE22" s="525">
        <v>0</v>
      </c>
      <c r="HF22" s="525">
        <v>0</v>
      </c>
      <c r="HG22" s="525">
        <v>0</v>
      </c>
      <c r="HH22" s="525">
        <v>0</v>
      </c>
      <c r="HI22" s="525">
        <v>0</v>
      </c>
      <c r="HJ22" s="525">
        <v>0</v>
      </c>
      <c r="HK22" s="525">
        <v>0</v>
      </c>
      <c r="HL22" s="526"/>
      <c r="HM22" s="526"/>
      <c r="HN22" s="526"/>
      <c r="HO22" s="526"/>
      <c r="HP22" s="526"/>
      <c r="HQ22" s="526"/>
      <c r="HR22" s="526"/>
      <c r="HS22" s="526"/>
      <c r="HT22" s="526"/>
      <c r="HU22" s="526"/>
      <c r="HV22" s="526"/>
      <c r="HW22" s="526"/>
      <c r="HX22" s="526"/>
      <c r="HY22" s="526"/>
      <c r="HZ22" s="526"/>
      <c r="IA22" s="526"/>
      <c r="IB22" s="526"/>
      <c r="IC22" s="526"/>
      <c r="ID22" s="526"/>
      <c r="IE22" s="526"/>
      <c r="IF22" s="526"/>
      <c r="IG22" s="526"/>
      <c r="IH22" s="526"/>
      <c r="II22" s="526"/>
      <c r="IJ22" s="526"/>
      <c r="IK22" s="526"/>
      <c r="IL22" s="526"/>
      <c r="IM22" s="526"/>
      <c r="IN22" s="526"/>
      <c r="IO22" s="526"/>
      <c r="IP22" s="526"/>
      <c r="IQ22" s="526"/>
      <c r="IR22" s="526"/>
      <c r="IS22" s="526"/>
      <c r="IT22" s="526"/>
      <c r="IU22" s="526"/>
      <c r="IV22" s="526"/>
      <c r="IW22" s="526"/>
      <c r="IX22" s="526"/>
      <c r="IY22" s="526"/>
      <c r="IZ22" s="526"/>
      <c r="JA22" s="526"/>
      <c r="JB22" s="526"/>
      <c r="JC22" s="526"/>
      <c r="JD22" s="526"/>
      <c r="JE22" s="526"/>
      <c r="JF22" s="526"/>
      <c r="JG22" s="526"/>
      <c r="JH22" s="526"/>
      <c r="JI22" s="526"/>
      <c r="JJ22" s="526"/>
      <c r="JK22" s="526"/>
      <c r="JL22" s="526"/>
      <c r="JM22" s="526"/>
      <c r="JN22" s="525">
        <v>5742.7789999999995</v>
      </c>
      <c r="JO22" s="525">
        <v>1752.11814</v>
      </c>
      <c r="JP22" s="525">
        <v>12106.778696970001</v>
      </c>
      <c r="JQ22" s="525">
        <v>0</v>
      </c>
      <c r="JR22" s="525">
        <v>410.26</v>
      </c>
      <c r="JS22" s="527">
        <v>20238.875836969997</v>
      </c>
      <c r="JT22" s="528">
        <f t="shared" si="10"/>
        <v>226.9399999999971</v>
      </c>
      <c r="JU22" s="525">
        <v>24286.651004363997</v>
      </c>
      <c r="JV22" s="525">
        <v>131.24743486890821</v>
      </c>
      <c r="JW22" s="525">
        <v>157.49692184268986</v>
      </c>
      <c r="JX22" s="525">
        <v>12111.18</v>
      </c>
      <c r="JY22" s="525">
        <v>78.540000000000006</v>
      </c>
      <c r="JZ22" s="526"/>
      <c r="KA22" s="525">
        <v>78.540000000000006</v>
      </c>
      <c r="KB22" s="529">
        <v>2.0929843111996767</v>
      </c>
      <c r="KC22" s="525">
        <v>0.24832486890821315</v>
      </c>
      <c r="KD22" s="525">
        <v>130.99911</v>
      </c>
      <c r="KE22" s="525">
        <v>78.540000000000006</v>
      </c>
      <c r="KF22" s="525">
        <v>0</v>
      </c>
      <c r="KG22" s="530">
        <v>0</v>
      </c>
      <c r="KH22" s="525">
        <v>0</v>
      </c>
      <c r="KI22" s="525">
        <v>0</v>
      </c>
      <c r="KJ22" s="530">
        <v>0</v>
      </c>
      <c r="KK22" s="525">
        <v>0</v>
      </c>
      <c r="KL22" s="525">
        <v>130.99911</v>
      </c>
      <c r="KM22" s="530">
        <v>1667.9285714285713</v>
      </c>
      <c r="KN22" s="525">
        <v>78.540000000000006</v>
      </c>
      <c r="KO22" s="525">
        <v>0</v>
      </c>
      <c r="KP22" s="530">
        <v>0</v>
      </c>
      <c r="KQ22" s="525">
        <v>0</v>
      </c>
      <c r="KR22" s="526"/>
      <c r="KS22" s="526"/>
      <c r="KT22" s="531">
        <v>3794.16</v>
      </c>
      <c r="KU22" s="531">
        <v>61.08</v>
      </c>
      <c r="KV22" s="526"/>
      <c r="KW22" s="531">
        <v>51.43</v>
      </c>
      <c r="KX22" s="531">
        <v>2.0659999999999998</v>
      </c>
      <c r="KY22" s="531">
        <v>9.9999999999999995E-7</v>
      </c>
      <c r="KZ22" s="526"/>
      <c r="LA22" s="531">
        <v>78.540000000000006</v>
      </c>
      <c r="LB22" s="532">
        <v>38</v>
      </c>
      <c r="LC22" s="533">
        <v>2E-3</v>
      </c>
      <c r="LD22" s="494">
        <f t="shared" si="11"/>
        <v>25011.968561958834</v>
      </c>
      <c r="LE22" s="509">
        <f t="shared" si="12"/>
        <v>20843.307134965697</v>
      </c>
      <c r="LF22" s="534">
        <f t="shared" si="13"/>
        <v>12477.851440290302</v>
      </c>
      <c r="LG22" s="535">
        <f t="shared" si="14"/>
        <v>11000.542445631902</v>
      </c>
      <c r="LH22" s="536">
        <f t="shared" si="31"/>
        <v>1.03</v>
      </c>
      <c r="LI22" s="537">
        <f t="shared" si="15"/>
        <v>11000.542445631902</v>
      </c>
      <c r="LJ22" s="536">
        <f t="shared" si="32"/>
        <v>1.0389999999999999</v>
      </c>
      <c r="LK22" s="537">
        <f t="shared" si="16"/>
        <v>0</v>
      </c>
      <c r="LL22" s="536">
        <f t="shared" si="33"/>
        <v>1.0349999999999999</v>
      </c>
      <c r="LM22" s="537">
        <f t="shared" si="17"/>
        <v>0</v>
      </c>
      <c r="LN22" s="536">
        <f t="shared" si="34"/>
        <v>1.0349999999999999</v>
      </c>
      <c r="LO22" s="537">
        <f t="shared" si="18"/>
        <v>0</v>
      </c>
      <c r="LP22" s="536">
        <f t="shared" si="35"/>
        <v>1.0349999999999999</v>
      </c>
      <c r="LQ22" s="537">
        <f t="shared" si="19"/>
        <v>1324.1834693783996</v>
      </c>
      <c r="LR22" s="536">
        <f t="shared" si="36"/>
        <v>1.04</v>
      </c>
      <c r="LS22" s="537">
        <f t="shared" si="20"/>
        <v>153.12552528000001</v>
      </c>
      <c r="LT22" s="539">
        <f t="shared" si="21"/>
        <v>5907.0799071899983</v>
      </c>
      <c r="LU22" s="540">
        <f t="shared" si="22"/>
        <v>3462.76927755</v>
      </c>
      <c r="LV22" s="541">
        <f t="shared" si="23"/>
        <v>2444.3106296399988</v>
      </c>
      <c r="LW22" s="542">
        <f t="shared" si="24"/>
        <v>1806.8166874853998</v>
      </c>
      <c r="LX22" s="540">
        <f t="shared" si="25"/>
        <v>1066.5329374854</v>
      </c>
      <c r="LY22" s="540">
        <f t="shared" si="26"/>
        <v>723.92040000000009</v>
      </c>
      <c r="LZ22" s="543">
        <f t="shared" si="27"/>
        <v>16.363349999999823</v>
      </c>
      <c r="MA22" s="544">
        <f t="shared" si="28"/>
        <v>226.9399999999971</v>
      </c>
      <c r="MB22" s="545">
        <f t="shared" si="29"/>
        <v>424.61909999999995</v>
      </c>
    </row>
    <row r="23" spans="1:340" ht="16.5" customHeight="1">
      <c r="A23" s="465">
        <v>1</v>
      </c>
      <c r="B23" s="466">
        <v>13</v>
      </c>
      <c r="C23" s="467" t="s">
        <v>296</v>
      </c>
      <c r="D23" s="468">
        <v>4633001577</v>
      </c>
      <c r="E23" s="469">
        <f t="shared" si="3"/>
        <v>819479.67231439205</v>
      </c>
      <c r="F23" s="470" t="s">
        <v>281</v>
      </c>
      <c r="G23" s="595">
        <v>41865.523879999993</v>
      </c>
      <c r="H23" s="597">
        <f t="shared" si="30"/>
        <v>777614.14843439206</v>
      </c>
      <c r="I23" s="597" t="s">
        <v>858</v>
      </c>
      <c r="J23" s="471">
        <f t="shared" si="4"/>
        <v>682899.72692866006</v>
      </c>
      <c r="K23" s="472">
        <f t="shared" si="5"/>
        <v>409884.75288866</v>
      </c>
      <c r="L23" s="473">
        <f t="shared" si="6"/>
        <v>326679.21386925998</v>
      </c>
      <c r="M23" s="474">
        <v>326679.21386925998</v>
      </c>
      <c r="N23" s="475">
        <v>0</v>
      </c>
      <c r="O23" s="475">
        <v>0</v>
      </c>
      <c r="P23" s="476">
        <v>0</v>
      </c>
      <c r="Q23" s="477">
        <v>78801.370489400011</v>
      </c>
      <c r="R23" s="478">
        <f t="shared" si="7"/>
        <v>4404.1685300000008</v>
      </c>
      <c r="S23" s="479">
        <f t="shared" si="8"/>
        <v>203114.99600000004</v>
      </c>
      <c r="T23" s="479">
        <v>39636.216</v>
      </c>
      <c r="U23" s="480">
        <v>163478.78000000003</v>
      </c>
      <c r="V23" s="481">
        <f t="shared" si="9"/>
        <v>57022.698040000003</v>
      </c>
      <c r="W23" s="482">
        <v>12485.408040000002</v>
      </c>
      <c r="X23" s="479">
        <v>25109.52</v>
      </c>
      <c r="Y23" s="483">
        <v>19427.77</v>
      </c>
      <c r="Z23" s="484">
        <v>1493.3700000000281</v>
      </c>
      <c r="AA23" s="485">
        <v>11383.91</v>
      </c>
      <c r="AB23" s="486"/>
      <c r="AC23" s="487">
        <v>326679.21386925998</v>
      </c>
      <c r="AD23" s="487">
        <v>326679.21386925998</v>
      </c>
      <c r="AE23" s="487">
        <v>0</v>
      </c>
      <c r="AF23" s="487">
        <v>0</v>
      </c>
      <c r="AG23" s="487">
        <v>0</v>
      </c>
      <c r="AH23" s="487">
        <v>78801.370489400011</v>
      </c>
      <c r="AI23" s="487">
        <v>78801.370489400011</v>
      </c>
      <c r="AJ23" s="487">
        <v>0</v>
      </c>
      <c r="AK23" s="487">
        <v>0</v>
      </c>
      <c r="AL23" s="487">
        <v>0</v>
      </c>
      <c r="AM23" s="487">
        <v>0</v>
      </c>
      <c r="AN23" s="487">
        <v>0</v>
      </c>
      <c r="AO23" s="487">
        <v>0</v>
      </c>
      <c r="AP23" s="487">
        <v>0</v>
      </c>
      <c r="AQ23" s="487">
        <v>0</v>
      </c>
      <c r="AR23" s="487">
        <v>0</v>
      </c>
      <c r="AS23" s="487">
        <v>0</v>
      </c>
      <c r="AT23" s="487">
        <v>0</v>
      </c>
      <c r="AU23" s="487">
        <v>0</v>
      </c>
      <c r="AV23" s="487">
        <v>0</v>
      </c>
      <c r="AW23" s="487">
        <v>0</v>
      </c>
      <c r="AX23" s="487">
        <v>0</v>
      </c>
      <c r="AY23" s="487">
        <v>0</v>
      </c>
      <c r="AZ23" s="487">
        <v>0</v>
      </c>
      <c r="BA23" s="487">
        <v>78801.370489400011</v>
      </c>
      <c r="BB23" s="487">
        <v>24036.02</v>
      </c>
      <c r="BC23" s="487">
        <v>0</v>
      </c>
      <c r="BD23" s="487">
        <v>0</v>
      </c>
      <c r="BE23" s="487">
        <v>0</v>
      </c>
      <c r="BF23" s="487">
        <v>0</v>
      </c>
      <c r="BG23" s="487">
        <v>0</v>
      </c>
      <c r="BH23" s="487">
        <v>0</v>
      </c>
      <c r="BI23" s="487">
        <v>0</v>
      </c>
      <c r="BJ23" s="487">
        <v>78801.370489400011</v>
      </c>
      <c r="BK23" s="487">
        <v>3.2784700000000004</v>
      </c>
      <c r="BL23" s="487">
        <v>24036.02</v>
      </c>
      <c r="BM23" s="487">
        <v>0</v>
      </c>
      <c r="BN23" s="487">
        <v>0</v>
      </c>
      <c r="BO23" s="487">
        <v>0</v>
      </c>
      <c r="BP23" s="487">
        <v>0</v>
      </c>
      <c r="BQ23" s="487">
        <v>0</v>
      </c>
      <c r="BR23" s="487">
        <v>0</v>
      </c>
      <c r="BS23" s="487">
        <v>0</v>
      </c>
      <c r="BT23" s="487">
        <v>0</v>
      </c>
      <c r="BU23" s="487">
        <v>0</v>
      </c>
      <c r="BV23" s="487">
        <v>0</v>
      </c>
      <c r="BW23" s="487">
        <v>0</v>
      </c>
      <c r="BX23" s="487">
        <v>0</v>
      </c>
      <c r="BY23" s="487">
        <v>0</v>
      </c>
      <c r="BZ23" s="487">
        <v>0</v>
      </c>
      <c r="CA23" s="487">
        <v>0</v>
      </c>
      <c r="CB23" s="487">
        <v>0</v>
      </c>
      <c r="CC23" s="487">
        <v>0</v>
      </c>
      <c r="CD23" s="487">
        <v>0</v>
      </c>
      <c r="CE23" s="487">
        <v>0</v>
      </c>
      <c r="CF23" s="487">
        <v>0</v>
      </c>
      <c r="CG23" s="487">
        <v>0</v>
      </c>
      <c r="CH23" s="487">
        <v>0</v>
      </c>
      <c r="CI23" s="487">
        <v>0</v>
      </c>
      <c r="CJ23" s="487">
        <v>0</v>
      </c>
      <c r="CK23" s="487">
        <v>0</v>
      </c>
      <c r="CL23" s="487">
        <v>0</v>
      </c>
      <c r="CM23" s="487">
        <v>39636.216</v>
      </c>
      <c r="CN23" s="487">
        <v>39636.216</v>
      </c>
      <c r="CO23" s="487">
        <v>0</v>
      </c>
      <c r="CP23" s="487">
        <v>0</v>
      </c>
      <c r="CQ23" s="487">
        <v>0</v>
      </c>
      <c r="CR23" s="487">
        <v>0</v>
      </c>
      <c r="CS23" s="487">
        <v>12485.408040000002</v>
      </c>
      <c r="CT23" s="487">
        <v>12485.408040000002</v>
      </c>
      <c r="CU23" s="487">
        <v>0</v>
      </c>
      <c r="CV23" s="487">
        <v>0</v>
      </c>
      <c r="CW23" s="487">
        <v>0</v>
      </c>
      <c r="CX23" s="487">
        <v>0</v>
      </c>
      <c r="CY23" s="487">
        <v>4404.1685300000008</v>
      </c>
      <c r="CZ23" s="467"/>
      <c r="DA23" s="487">
        <v>389</v>
      </c>
      <c r="DB23" s="487">
        <v>0</v>
      </c>
      <c r="DC23" s="467"/>
      <c r="DD23" s="487">
        <v>0</v>
      </c>
      <c r="DE23" s="487">
        <v>0</v>
      </c>
      <c r="DF23" s="487">
        <v>0</v>
      </c>
      <c r="DG23" s="487">
        <v>28301.452000000001</v>
      </c>
      <c r="DH23" s="487">
        <v>0</v>
      </c>
      <c r="DI23" s="487">
        <v>0</v>
      </c>
      <c r="DJ23" s="487">
        <v>28301.452000000001</v>
      </c>
      <c r="DK23" s="487">
        <v>0</v>
      </c>
      <c r="DL23" s="487">
        <v>0</v>
      </c>
      <c r="DM23" s="487">
        <v>0</v>
      </c>
      <c r="DN23" s="487">
        <v>0</v>
      </c>
      <c r="DO23" s="487">
        <v>0</v>
      </c>
      <c r="DP23" s="487">
        <v>86594.475999999995</v>
      </c>
      <c r="DQ23" s="487">
        <v>0</v>
      </c>
      <c r="DR23" s="487">
        <v>0</v>
      </c>
      <c r="DS23" s="487">
        <v>0</v>
      </c>
      <c r="DT23" s="487">
        <v>86594.475999999995</v>
      </c>
      <c r="DU23" s="487">
        <v>48582.852000000006</v>
      </c>
      <c r="DV23" s="487">
        <v>0</v>
      </c>
      <c r="DW23" s="487">
        <v>0</v>
      </c>
      <c r="DX23" s="487">
        <v>0</v>
      </c>
      <c r="DY23" s="487">
        <v>0</v>
      </c>
      <c r="DZ23" s="487">
        <v>0</v>
      </c>
      <c r="EA23" s="487">
        <v>0</v>
      </c>
      <c r="EB23" s="487">
        <v>0</v>
      </c>
      <c r="EC23" s="487">
        <v>0</v>
      </c>
      <c r="ED23" s="487">
        <v>0</v>
      </c>
      <c r="EE23" s="487">
        <v>0</v>
      </c>
      <c r="EF23" s="487">
        <v>0</v>
      </c>
      <c r="EG23" s="487">
        <v>48582.852000000006</v>
      </c>
      <c r="EH23" s="487">
        <v>0</v>
      </c>
      <c r="EI23" s="487">
        <v>0</v>
      </c>
      <c r="EJ23" s="487">
        <v>0</v>
      </c>
      <c r="EK23" s="487">
        <v>0</v>
      </c>
      <c r="EL23" s="487">
        <v>0</v>
      </c>
      <c r="EM23" s="487">
        <v>0</v>
      </c>
      <c r="EN23" s="487">
        <v>0</v>
      </c>
      <c r="EO23" s="487">
        <v>0</v>
      </c>
      <c r="EP23" s="487">
        <v>0</v>
      </c>
      <c r="EQ23" s="487">
        <v>0</v>
      </c>
      <c r="ER23" s="487">
        <v>0</v>
      </c>
      <c r="ES23" s="487">
        <v>0</v>
      </c>
      <c r="ET23" s="487">
        <v>0</v>
      </c>
      <c r="EU23" s="487">
        <v>0</v>
      </c>
      <c r="EV23" s="487">
        <v>0</v>
      </c>
      <c r="EW23" s="487">
        <v>0</v>
      </c>
      <c r="EX23" s="487">
        <v>0</v>
      </c>
      <c r="EY23" s="487">
        <v>0</v>
      </c>
      <c r="EZ23" s="487">
        <v>0</v>
      </c>
      <c r="FA23" s="487">
        <v>0</v>
      </c>
      <c r="FB23" s="487">
        <v>1500</v>
      </c>
      <c r="FC23" s="487">
        <v>0</v>
      </c>
      <c r="FD23" s="487">
        <v>0</v>
      </c>
      <c r="FE23" s="487">
        <v>0</v>
      </c>
      <c r="FF23" s="487">
        <v>1500</v>
      </c>
      <c r="FG23" s="487">
        <v>1500</v>
      </c>
      <c r="FH23" s="487">
        <v>0</v>
      </c>
      <c r="FI23" s="487">
        <v>0</v>
      </c>
      <c r="FJ23" s="487">
        <v>0</v>
      </c>
      <c r="FK23" s="487">
        <v>0</v>
      </c>
      <c r="FL23" s="487">
        <v>0</v>
      </c>
      <c r="FM23" s="487">
        <v>25109.52</v>
      </c>
      <c r="FN23" s="487">
        <v>25109.52</v>
      </c>
      <c r="FO23" s="487">
        <v>0</v>
      </c>
      <c r="FP23" s="487">
        <v>0</v>
      </c>
      <c r="FQ23" s="487">
        <v>17811.080000000002</v>
      </c>
      <c r="FR23" s="487">
        <v>116.69000000000001</v>
      </c>
      <c r="FS23" s="488">
        <v>670022.44692866004</v>
      </c>
      <c r="FT23" s="487">
        <v>0</v>
      </c>
      <c r="FU23" s="487">
        <v>0</v>
      </c>
      <c r="FV23" s="487">
        <v>0</v>
      </c>
      <c r="FW23" s="487">
        <v>0</v>
      </c>
      <c r="FX23" s="487">
        <v>0</v>
      </c>
      <c r="FY23" s="487">
        <v>0</v>
      </c>
      <c r="FZ23" s="487">
        <v>0</v>
      </c>
      <c r="GA23" s="487">
        <v>0</v>
      </c>
      <c r="GB23" s="487">
        <v>0</v>
      </c>
      <c r="GC23" s="487">
        <v>0</v>
      </c>
      <c r="GD23" s="487">
        <v>0</v>
      </c>
      <c r="GE23" s="487">
        <v>0</v>
      </c>
      <c r="GF23" s="487">
        <v>0</v>
      </c>
      <c r="GG23" s="487">
        <v>0</v>
      </c>
      <c r="GH23" s="487">
        <v>11383.91</v>
      </c>
      <c r="GI23" s="487">
        <v>10917.17</v>
      </c>
      <c r="GJ23" s="467"/>
      <c r="GK23" s="487">
        <v>466.73999999999995</v>
      </c>
      <c r="GL23" s="467"/>
      <c r="GM23" s="487">
        <v>0</v>
      </c>
      <c r="GN23" s="487">
        <v>0</v>
      </c>
      <c r="GO23" s="467"/>
      <c r="GP23" s="467"/>
      <c r="GQ23" s="487">
        <v>0</v>
      </c>
      <c r="GR23" s="467"/>
      <c r="GS23" s="467"/>
      <c r="GT23" s="487">
        <v>0</v>
      </c>
      <c r="GU23" s="487">
        <v>0</v>
      </c>
      <c r="GV23" s="487">
        <v>0</v>
      </c>
      <c r="GW23" s="487">
        <v>0</v>
      </c>
      <c r="GX23" s="487">
        <v>0</v>
      </c>
      <c r="GY23" s="487">
        <v>0</v>
      </c>
      <c r="GZ23" s="487">
        <v>0</v>
      </c>
      <c r="HA23" s="487">
        <v>0</v>
      </c>
      <c r="HB23" s="487">
        <v>0</v>
      </c>
      <c r="HC23" s="487">
        <v>0</v>
      </c>
      <c r="HD23" s="487">
        <v>0</v>
      </c>
      <c r="HE23" s="487">
        <v>0</v>
      </c>
      <c r="HF23" s="487">
        <v>0</v>
      </c>
      <c r="HG23" s="487">
        <v>0</v>
      </c>
      <c r="HH23" s="487">
        <v>0</v>
      </c>
      <c r="HI23" s="487">
        <v>0</v>
      </c>
      <c r="HJ23" s="487">
        <v>0</v>
      </c>
      <c r="HK23" s="487">
        <v>0</v>
      </c>
      <c r="HL23" s="467"/>
      <c r="HM23" s="467"/>
      <c r="HN23" s="467"/>
      <c r="HO23" s="467"/>
      <c r="HP23" s="467"/>
      <c r="HQ23" s="467"/>
      <c r="HR23" s="467"/>
      <c r="HS23" s="467"/>
      <c r="HT23" s="467"/>
      <c r="HU23" s="467"/>
      <c r="HV23" s="467"/>
      <c r="HW23" s="467"/>
      <c r="HX23" s="467"/>
      <c r="HY23" s="467"/>
      <c r="HZ23" s="467"/>
      <c r="IA23" s="467"/>
      <c r="IB23" s="467"/>
      <c r="IC23" s="467"/>
      <c r="ID23" s="467"/>
      <c r="IE23" s="467"/>
      <c r="IF23" s="467"/>
      <c r="IG23" s="467"/>
      <c r="IH23" s="467"/>
      <c r="II23" s="467"/>
      <c r="IJ23" s="467"/>
      <c r="IK23" s="467"/>
      <c r="IL23" s="467"/>
      <c r="IM23" s="467"/>
      <c r="IN23" s="467"/>
      <c r="IO23" s="467"/>
      <c r="IP23" s="467"/>
      <c r="IQ23" s="467"/>
      <c r="IR23" s="467"/>
      <c r="IS23" s="467"/>
      <c r="IT23" s="467"/>
      <c r="IU23" s="467"/>
      <c r="IV23" s="467"/>
      <c r="IW23" s="467"/>
      <c r="IX23" s="467"/>
      <c r="IY23" s="467"/>
      <c r="IZ23" s="467"/>
      <c r="JA23" s="467"/>
      <c r="JB23" s="467"/>
      <c r="JC23" s="467"/>
      <c r="JD23" s="467"/>
      <c r="JE23" s="467"/>
      <c r="JF23" s="467"/>
      <c r="JG23" s="467"/>
      <c r="JH23" s="467"/>
      <c r="JI23" s="467"/>
      <c r="JJ23" s="467"/>
      <c r="JK23" s="467"/>
      <c r="JL23" s="467"/>
      <c r="JM23" s="467"/>
      <c r="JN23" s="487">
        <v>203114.99600000001</v>
      </c>
      <c r="JO23" s="487">
        <v>57022.698040000003</v>
      </c>
      <c r="JP23" s="487">
        <v>409884.75288866</v>
      </c>
      <c r="JQ23" s="487">
        <v>0</v>
      </c>
      <c r="JR23" s="487">
        <v>11383.91</v>
      </c>
      <c r="JS23" s="488">
        <v>682899.72692866006</v>
      </c>
      <c r="JT23" s="489">
        <f t="shared" si="10"/>
        <v>1493.3700000000281</v>
      </c>
      <c r="JU23" s="487">
        <v>819479.67231439205</v>
      </c>
      <c r="JV23" s="487">
        <v>34887.920246001864</v>
      </c>
      <c r="JW23" s="487">
        <v>41865.504295202234</v>
      </c>
      <c r="JX23" s="487">
        <v>395299</v>
      </c>
      <c r="JY23" s="487">
        <v>20195</v>
      </c>
      <c r="JZ23" s="467"/>
      <c r="KA23" s="487">
        <v>20195</v>
      </c>
      <c r="KB23" s="490">
        <v>1.6990341222421896</v>
      </c>
      <c r="KC23" s="487">
        <v>-3.4339981357334182E-3</v>
      </c>
      <c r="KD23" s="487">
        <v>34887.92368</v>
      </c>
      <c r="KE23" s="487">
        <v>20195</v>
      </c>
      <c r="KF23" s="487">
        <v>0</v>
      </c>
      <c r="KG23" s="491">
        <v>0</v>
      </c>
      <c r="KH23" s="487">
        <v>0</v>
      </c>
      <c r="KI23" s="487">
        <v>0</v>
      </c>
      <c r="KJ23" s="491">
        <v>0</v>
      </c>
      <c r="KK23" s="487">
        <v>0</v>
      </c>
      <c r="KL23" s="487">
        <v>0</v>
      </c>
      <c r="KM23" s="491">
        <v>0</v>
      </c>
      <c r="KN23" s="487">
        <v>0</v>
      </c>
      <c r="KO23" s="487">
        <v>34887.92368</v>
      </c>
      <c r="KP23" s="491">
        <v>1727.5525466699678</v>
      </c>
      <c r="KQ23" s="487">
        <v>20195</v>
      </c>
      <c r="KR23" s="467"/>
      <c r="KS23" s="467"/>
      <c r="KT23" s="487">
        <v>226090.58</v>
      </c>
      <c r="KU23" s="487">
        <v>46.8</v>
      </c>
      <c r="KV23" s="467"/>
      <c r="KW23" s="487">
        <v>89884.55</v>
      </c>
      <c r="KX23" s="487">
        <v>42.38</v>
      </c>
      <c r="KY23" s="487"/>
      <c r="KZ23" s="467"/>
      <c r="LA23" s="487">
        <v>2554</v>
      </c>
      <c r="LB23" s="492"/>
      <c r="LC23" s="493">
        <v>3.3000000000000002E-2</v>
      </c>
      <c r="LD23" s="494">
        <f t="shared" si="11"/>
        <v>844511.86513518146</v>
      </c>
      <c r="LE23" s="471">
        <f t="shared" si="12"/>
        <v>703759.88761265122</v>
      </c>
      <c r="LF23" s="495">
        <f t="shared" si="13"/>
        <v>422619.34401306679</v>
      </c>
      <c r="LG23" s="476">
        <f t="shared" si="14"/>
        <v>336479.59028533776</v>
      </c>
      <c r="LH23" s="496">
        <f t="shared" si="31"/>
        <v>1.03</v>
      </c>
      <c r="LI23" s="497">
        <f t="shared" si="15"/>
        <v>336479.59028533776</v>
      </c>
      <c r="LJ23" s="496">
        <f t="shared" si="32"/>
        <v>1.0389999999999999</v>
      </c>
      <c r="LK23" s="497">
        <f t="shared" si="16"/>
        <v>0</v>
      </c>
      <c r="LL23" s="496">
        <f t="shared" si="33"/>
        <v>1.0349999999999999</v>
      </c>
      <c r="LM23" s="497">
        <f t="shared" si="17"/>
        <v>0</v>
      </c>
      <c r="LN23" s="496">
        <f t="shared" si="34"/>
        <v>1.0349999999999999</v>
      </c>
      <c r="LO23" s="497">
        <f t="shared" si="18"/>
        <v>0</v>
      </c>
      <c r="LP23" s="496">
        <f t="shared" si="35"/>
        <v>1.0349999999999999</v>
      </c>
      <c r="LQ23" s="497">
        <f t="shared" si="19"/>
        <v>81559.418456529005</v>
      </c>
      <c r="LR23" s="496">
        <f t="shared" si="36"/>
        <v>1.04</v>
      </c>
      <c r="LS23" s="497">
        <f t="shared" si="20"/>
        <v>4580.3352712000014</v>
      </c>
      <c r="LT23" s="499">
        <f t="shared" si="21"/>
        <v>208926.11603556003</v>
      </c>
      <c r="LU23" s="500">
        <f t="shared" si="22"/>
        <v>40770.208139759998</v>
      </c>
      <c r="LV23" s="501">
        <f t="shared" si="23"/>
        <v>168155.90789580002</v>
      </c>
      <c r="LW23" s="499">
        <f t="shared" si="24"/>
        <v>58938.710714024404</v>
      </c>
      <c r="LX23" s="500">
        <f t="shared" si="25"/>
        <v>12842.615564024401</v>
      </c>
      <c r="LY23" s="500">
        <f t="shared" si="26"/>
        <v>25988.353199999998</v>
      </c>
      <c r="LZ23" s="502">
        <f t="shared" si="27"/>
        <v>20107.74195</v>
      </c>
      <c r="MA23" s="503">
        <f t="shared" si="28"/>
        <v>1493.3700000000281</v>
      </c>
      <c r="MB23" s="504">
        <f t="shared" si="29"/>
        <v>11782.346849999998</v>
      </c>
    </row>
    <row r="24" spans="1:340" ht="16.5" customHeight="1">
      <c r="A24" s="505">
        <v>1</v>
      </c>
      <c r="B24" s="506">
        <v>14</v>
      </c>
      <c r="C24" s="507" t="s">
        <v>297</v>
      </c>
      <c r="D24" s="508">
        <v>4632121159</v>
      </c>
      <c r="E24" s="469">
        <f t="shared" si="3"/>
        <v>278993.25521439879</v>
      </c>
      <c r="F24" s="470" t="s">
        <v>281</v>
      </c>
      <c r="G24" s="595">
        <v>278993.37948200002</v>
      </c>
      <c r="H24" s="595">
        <f t="shared" si="30"/>
        <v>-0.12426760123344138</v>
      </c>
      <c r="I24" s="595"/>
      <c r="J24" s="509">
        <f t="shared" si="4"/>
        <v>232494.37934533233</v>
      </c>
      <c r="K24" s="510">
        <f t="shared" si="5"/>
        <v>130992.8922053323</v>
      </c>
      <c r="L24" s="511">
        <f t="shared" si="6"/>
        <v>130943.7672244</v>
      </c>
      <c r="M24" s="512">
        <v>130943.7672244</v>
      </c>
      <c r="N24" s="513">
        <v>0</v>
      </c>
      <c r="O24" s="513">
        <v>0</v>
      </c>
      <c r="P24" s="514">
        <v>0</v>
      </c>
      <c r="Q24" s="515">
        <v>0</v>
      </c>
      <c r="R24" s="516">
        <f t="shared" si="7"/>
        <v>49.124980932305412</v>
      </c>
      <c r="S24" s="517">
        <f t="shared" si="8"/>
        <v>28978.799999999996</v>
      </c>
      <c r="T24" s="518">
        <v>9208.0700000000015</v>
      </c>
      <c r="U24" s="519">
        <v>19770.729999999996</v>
      </c>
      <c r="V24" s="520">
        <f t="shared" si="9"/>
        <v>60626.527140000006</v>
      </c>
      <c r="W24" s="521">
        <v>2780.8371399999996</v>
      </c>
      <c r="X24" s="518">
        <v>51206.5</v>
      </c>
      <c r="Y24" s="522">
        <v>6639.1900000000023</v>
      </c>
      <c r="Z24" s="523">
        <v>9932.740000000018</v>
      </c>
      <c r="AA24" s="524">
        <v>1963.4200000000003</v>
      </c>
      <c r="AB24" s="486"/>
      <c r="AC24" s="525">
        <v>130943.7672244</v>
      </c>
      <c r="AD24" s="525">
        <v>130943.7672244</v>
      </c>
      <c r="AE24" s="525">
        <v>0</v>
      </c>
      <c r="AF24" s="525">
        <v>0</v>
      </c>
      <c r="AG24" s="525">
        <v>0</v>
      </c>
      <c r="AH24" s="525">
        <v>0</v>
      </c>
      <c r="AI24" s="525">
        <v>0</v>
      </c>
      <c r="AJ24" s="525">
        <v>0</v>
      </c>
      <c r="AK24" s="525">
        <v>0</v>
      </c>
      <c r="AL24" s="525">
        <v>0</v>
      </c>
      <c r="AM24" s="525">
        <v>0</v>
      </c>
      <c r="AN24" s="525">
        <v>0</v>
      </c>
      <c r="AO24" s="525">
        <v>0</v>
      </c>
      <c r="AP24" s="525">
        <v>0</v>
      </c>
      <c r="AQ24" s="525">
        <v>0</v>
      </c>
      <c r="AR24" s="525">
        <v>0</v>
      </c>
      <c r="AS24" s="525">
        <v>0</v>
      </c>
      <c r="AT24" s="525">
        <v>0</v>
      </c>
      <c r="AU24" s="525">
        <v>0</v>
      </c>
      <c r="AV24" s="525">
        <v>0</v>
      </c>
      <c r="AW24" s="525">
        <v>0</v>
      </c>
      <c r="AX24" s="525">
        <v>0</v>
      </c>
      <c r="AY24" s="525">
        <v>0</v>
      </c>
      <c r="AZ24" s="525">
        <v>0</v>
      </c>
      <c r="BA24" s="525">
        <v>0</v>
      </c>
      <c r="BB24" s="525">
        <v>0</v>
      </c>
      <c r="BC24" s="525">
        <v>0</v>
      </c>
      <c r="BD24" s="525">
        <v>0</v>
      </c>
      <c r="BE24" s="525">
        <v>0</v>
      </c>
      <c r="BF24" s="525">
        <v>0</v>
      </c>
      <c r="BG24" s="525">
        <v>0</v>
      </c>
      <c r="BH24" s="525">
        <v>0</v>
      </c>
      <c r="BI24" s="525">
        <v>0</v>
      </c>
      <c r="BJ24" s="525">
        <v>0</v>
      </c>
      <c r="BK24" s="525">
        <v>0</v>
      </c>
      <c r="BL24" s="525">
        <v>0</v>
      </c>
      <c r="BM24" s="525">
        <v>0</v>
      </c>
      <c r="BN24" s="525">
        <v>0</v>
      </c>
      <c r="BO24" s="525">
        <v>0</v>
      </c>
      <c r="BP24" s="525">
        <v>0</v>
      </c>
      <c r="BQ24" s="525">
        <v>0</v>
      </c>
      <c r="BR24" s="525">
        <v>0</v>
      </c>
      <c r="BS24" s="525">
        <v>0</v>
      </c>
      <c r="BT24" s="525">
        <v>0</v>
      </c>
      <c r="BU24" s="525">
        <v>0</v>
      </c>
      <c r="BV24" s="525">
        <v>0</v>
      </c>
      <c r="BW24" s="525">
        <v>0</v>
      </c>
      <c r="BX24" s="525">
        <v>0</v>
      </c>
      <c r="BY24" s="525">
        <v>0</v>
      </c>
      <c r="BZ24" s="525">
        <v>0</v>
      </c>
      <c r="CA24" s="525">
        <v>0</v>
      </c>
      <c r="CB24" s="525">
        <v>0</v>
      </c>
      <c r="CC24" s="525">
        <v>0</v>
      </c>
      <c r="CD24" s="525">
        <v>0</v>
      </c>
      <c r="CE24" s="525">
        <v>0</v>
      </c>
      <c r="CF24" s="525">
        <v>0</v>
      </c>
      <c r="CG24" s="525">
        <v>0</v>
      </c>
      <c r="CH24" s="525">
        <v>0</v>
      </c>
      <c r="CI24" s="525">
        <v>0</v>
      </c>
      <c r="CJ24" s="525">
        <v>0</v>
      </c>
      <c r="CK24" s="525">
        <v>0</v>
      </c>
      <c r="CL24" s="525">
        <v>0</v>
      </c>
      <c r="CM24" s="525">
        <v>9208.0700000000015</v>
      </c>
      <c r="CN24" s="525">
        <v>3715.1399999999994</v>
      </c>
      <c r="CO24" s="525">
        <v>0</v>
      </c>
      <c r="CP24" s="525">
        <v>1358.13</v>
      </c>
      <c r="CQ24" s="525">
        <v>4134.7999999999993</v>
      </c>
      <c r="CR24" s="525">
        <v>0</v>
      </c>
      <c r="CS24" s="525">
        <v>2780.8371399999996</v>
      </c>
      <c r="CT24" s="525">
        <v>1121.97228</v>
      </c>
      <c r="CU24" s="525">
        <v>0</v>
      </c>
      <c r="CV24" s="525">
        <v>410.15526000000006</v>
      </c>
      <c r="CW24" s="525">
        <v>1248.7095999999999</v>
      </c>
      <c r="CX24" s="525">
        <v>0</v>
      </c>
      <c r="CY24" s="525">
        <v>49.124980932305412</v>
      </c>
      <c r="CZ24" s="526"/>
      <c r="DA24" s="525">
        <v>2.3541774686123684</v>
      </c>
      <c r="DB24" s="525">
        <v>0</v>
      </c>
      <c r="DC24" s="526"/>
      <c r="DD24" s="525">
        <v>0</v>
      </c>
      <c r="DE24" s="525">
        <v>0</v>
      </c>
      <c r="DF24" s="525">
        <v>0</v>
      </c>
      <c r="DG24" s="525">
        <v>13948.709999999997</v>
      </c>
      <c r="DH24" s="525">
        <v>218.88</v>
      </c>
      <c r="DI24" s="525">
        <v>0</v>
      </c>
      <c r="DJ24" s="525">
        <v>0</v>
      </c>
      <c r="DK24" s="525">
        <v>13729.83</v>
      </c>
      <c r="DL24" s="525">
        <v>0</v>
      </c>
      <c r="DM24" s="525">
        <v>0</v>
      </c>
      <c r="DN24" s="525">
        <v>0</v>
      </c>
      <c r="DO24" s="525">
        <v>0</v>
      </c>
      <c r="DP24" s="525">
        <v>4826.0200000000004</v>
      </c>
      <c r="DQ24" s="525">
        <v>0</v>
      </c>
      <c r="DR24" s="525">
        <v>0</v>
      </c>
      <c r="DS24" s="525">
        <v>0</v>
      </c>
      <c r="DT24" s="525">
        <v>4826.0200000000004</v>
      </c>
      <c r="DU24" s="525">
        <v>757.93999999999994</v>
      </c>
      <c r="DV24" s="525">
        <v>0</v>
      </c>
      <c r="DW24" s="525">
        <v>0</v>
      </c>
      <c r="DX24" s="525">
        <v>0</v>
      </c>
      <c r="DY24" s="525">
        <v>0</v>
      </c>
      <c r="DZ24" s="525">
        <v>0</v>
      </c>
      <c r="EA24" s="525">
        <v>0</v>
      </c>
      <c r="EB24" s="525">
        <v>0</v>
      </c>
      <c r="EC24" s="525">
        <v>0</v>
      </c>
      <c r="ED24" s="525">
        <v>0</v>
      </c>
      <c r="EE24" s="525">
        <v>0</v>
      </c>
      <c r="EF24" s="525">
        <v>0</v>
      </c>
      <c r="EG24" s="525">
        <v>757.93999999999994</v>
      </c>
      <c r="EH24" s="525">
        <v>0</v>
      </c>
      <c r="EI24" s="525">
        <v>0</v>
      </c>
      <c r="EJ24" s="525">
        <v>0</v>
      </c>
      <c r="EK24" s="525">
        <v>0</v>
      </c>
      <c r="EL24" s="525">
        <v>6.47</v>
      </c>
      <c r="EM24" s="525">
        <v>86.05</v>
      </c>
      <c r="EN24" s="525">
        <v>0</v>
      </c>
      <c r="EO24" s="525">
        <v>0</v>
      </c>
      <c r="EP24" s="525">
        <v>145.54</v>
      </c>
      <c r="EQ24" s="525">
        <v>0</v>
      </c>
      <c r="ER24" s="525">
        <v>145.54</v>
      </c>
      <c r="ES24" s="525">
        <v>0</v>
      </c>
      <c r="ET24" s="525">
        <v>0</v>
      </c>
      <c r="EU24" s="525">
        <v>0</v>
      </c>
      <c r="EV24" s="525">
        <v>0</v>
      </c>
      <c r="EW24" s="525">
        <v>0</v>
      </c>
      <c r="EX24" s="525">
        <v>0</v>
      </c>
      <c r="EY24" s="525">
        <v>0</v>
      </c>
      <c r="EZ24" s="525">
        <v>0</v>
      </c>
      <c r="FA24" s="525">
        <v>0</v>
      </c>
      <c r="FB24" s="525">
        <v>6639.1900000000005</v>
      </c>
      <c r="FC24" s="525">
        <v>27.24</v>
      </c>
      <c r="FD24" s="525">
        <v>6.3999999999999995</v>
      </c>
      <c r="FE24" s="525">
        <v>0</v>
      </c>
      <c r="FF24" s="525">
        <v>6605.55</v>
      </c>
      <c r="FG24" s="525">
        <v>6521.2000000000007</v>
      </c>
      <c r="FH24" s="525">
        <v>84.35</v>
      </c>
      <c r="FI24" s="525">
        <v>0</v>
      </c>
      <c r="FJ24" s="525">
        <v>0</v>
      </c>
      <c r="FK24" s="525">
        <v>0</v>
      </c>
      <c r="FL24" s="525">
        <v>0</v>
      </c>
      <c r="FM24" s="525">
        <v>51206.5</v>
      </c>
      <c r="FN24" s="525">
        <v>51206.5</v>
      </c>
      <c r="FO24" s="525">
        <v>0</v>
      </c>
      <c r="FP24" s="525">
        <v>0</v>
      </c>
      <c r="FQ24" s="525">
        <v>0</v>
      </c>
      <c r="FR24" s="525">
        <v>0</v>
      </c>
      <c r="FS24" s="527">
        <v>220598.2193453323</v>
      </c>
      <c r="FT24" s="525">
        <v>0</v>
      </c>
      <c r="FU24" s="525">
        <v>0</v>
      </c>
      <c r="FV24" s="525">
        <v>0</v>
      </c>
      <c r="FW24" s="525">
        <v>0</v>
      </c>
      <c r="FX24" s="525">
        <v>0</v>
      </c>
      <c r="FY24" s="525">
        <v>0</v>
      </c>
      <c r="FZ24" s="525">
        <v>0</v>
      </c>
      <c r="GA24" s="525">
        <v>0</v>
      </c>
      <c r="GB24" s="525">
        <v>0</v>
      </c>
      <c r="GC24" s="525">
        <v>0</v>
      </c>
      <c r="GD24" s="525">
        <v>0</v>
      </c>
      <c r="GE24" s="525">
        <v>0</v>
      </c>
      <c r="GF24" s="525">
        <v>0</v>
      </c>
      <c r="GG24" s="525">
        <v>0</v>
      </c>
      <c r="GH24" s="525">
        <v>1963.4200000000003</v>
      </c>
      <c r="GI24" s="525">
        <v>1963.4200000000003</v>
      </c>
      <c r="GJ24" s="526"/>
      <c r="GK24" s="525">
        <v>0</v>
      </c>
      <c r="GL24" s="526"/>
      <c r="GM24" s="525">
        <v>0</v>
      </c>
      <c r="GN24" s="525">
        <v>0</v>
      </c>
      <c r="GO24" s="526"/>
      <c r="GP24" s="526"/>
      <c r="GQ24" s="525">
        <v>0</v>
      </c>
      <c r="GR24" s="526"/>
      <c r="GS24" s="526"/>
      <c r="GT24" s="525">
        <v>0</v>
      </c>
      <c r="GU24" s="525">
        <v>0</v>
      </c>
      <c r="GV24" s="525">
        <v>0</v>
      </c>
      <c r="GW24" s="525">
        <v>0</v>
      </c>
      <c r="GX24" s="525">
        <v>0</v>
      </c>
      <c r="GY24" s="525">
        <v>0</v>
      </c>
      <c r="GZ24" s="525">
        <v>0</v>
      </c>
      <c r="HA24" s="525">
        <v>0</v>
      </c>
      <c r="HB24" s="525">
        <v>0</v>
      </c>
      <c r="HC24" s="525">
        <v>0</v>
      </c>
      <c r="HD24" s="525">
        <v>0</v>
      </c>
      <c r="HE24" s="525">
        <v>0</v>
      </c>
      <c r="HF24" s="525">
        <v>0</v>
      </c>
      <c r="HG24" s="525">
        <v>0</v>
      </c>
      <c r="HH24" s="525">
        <v>0</v>
      </c>
      <c r="HI24" s="525">
        <v>0</v>
      </c>
      <c r="HJ24" s="525">
        <v>0</v>
      </c>
      <c r="HK24" s="525">
        <v>0</v>
      </c>
      <c r="HL24" s="526"/>
      <c r="HM24" s="526"/>
      <c r="HN24" s="526"/>
      <c r="HO24" s="526"/>
      <c r="HP24" s="526"/>
      <c r="HQ24" s="526"/>
      <c r="HR24" s="526"/>
      <c r="HS24" s="526"/>
      <c r="HT24" s="526"/>
      <c r="HU24" s="526"/>
      <c r="HV24" s="526"/>
      <c r="HW24" s="526"/>
      <c r="HX24" s="526"/>
      <c r="HY24" s="526"/>
      <c r="HZ24" s="526"/>
      <c r="IA24" s="526"/>
      <c r="IB24" s="526"/>
      <c r="IC24" s="526"/>
      <c r="ID24" s="526"/>
      <c r="IE24" s="526"/>
      <c r="IF24" s="526"/>
      <c r="IG24" s="526"/>
      <c r="IH24" s="526"/>
      <c r="II24" s="526"/>
      <c r="IJ24" s="526"/>
      <c r="IK24" s="526"/>
      <c r="IL24" s="526"/>
      <c r="IM24" s="526"/>
      <c r="IN24" s="526"/>
      <c r="IO24" s="526"/>
      <c r="IP24" s="526"/>
      <c r="IQ24" s="526"/>
      <c r="IR24" s="526"/>
      <c r="IS24" s="526"/>
      <c r="IT24" s="526"/>
      <c r="IU24" s="526"/>
      <c r="IV24" s="526"/>
      <c r="IW24" s="526"/>
      <c r="IX24" s="526"/>
      <c r="IY24" s="526"/>
      <c r="IZ24" s="526"/>
      <c r="JA24" s="526"/>
      <c r="JB24" s="526"/>
      <c r="JC24" s="526"/>
      <c r="JD24" s="526"/>
      <c r="JE24" s="526"/>
      <c r="JF24" s="526"/>
      <c r="JG24" s="526"/>
      <c r="JH24" s="526"/>
      <c r="JI24" s="526"/>
      <c r="JJ24" s="526"/>
      <c r="JK24" s="526"/>
      <c r="JL24" s="526"/>
      <c r="JM24" s="526"/>
      <c r="JN24" s="525">
        <v>28978.799999999999</v>
      </c>
      <c r="JO24" s="525">
        <v>60626.527139999998</v>
      </c>
      <c r="JP24" s="525">
        <v>130992.8922053323</v>
      </c>
      <c r="JQ24" s="525">
        <v>0</v>
      </c>
      <c r="JR24" s="525">
        <v>1963.4200000000003</v>
      </c>
      <c r="JS24" s="527">
        <v>232494.3793453323</v>
      </c>
      <c r="JT24" s="528">
        <f t="shared" si="10"/>
        <v>9932.740000000018</v>
      </c>
      <c r="JU24" s="525">
        <v>278993.25521439873</v>
      </c>
      <c r="JV24" s="525">
        <v>232494.3793453323</v>
      </c>
      <c r="JW24" s="525">
        <v>278993.25521439873</v>
      </c>
      <c r="JX24" s="525">
        <v>154045.54999999999</v>
      </c>
      <c r="JY24" s="525">
        <v>154045.54999999999</v>
      </c>
      <c r="JZ24" s="526"/>
      <c r="KA24" s="525">
        <v>154045.54999999999</v>
      </c>
      <c r="KB24" s="529">
        <v>0.89004344904815069</v>
      </c>
      <c r="KC24" s="525">
        <v>2.1568322845268995E-3</v>
      </c>
      <c r="KD24" s="525">
        <v>232494.37718850002</v>
      </c>
      <c r="KE24" s="525">
        <v>154045.54999999999</v>
      </c>
      <c r="KF24" s="525">
        <v>0</v>
      </c>
      <c r="KG24" s="530">
        <v>0</v>
      </c>
      <c r="KH24" s="525">
        <v>0</v>
      </c>
      <c r="KI24" s="525">
        <v>5286.7107930000002</v>
      </c>
      <c r="KJ24" s="530">
        <v>1510.4887980000001</v>
      </c>
      <c r="KK24" s="525">
        <v>3500</v>
      </c>
      <c r="KL24" s="525">
        <v>209785.5976797</v>
      </c>
      <c r="KM24" s="530">
        <v>1509.1230715345391</v>
      </c>
      <c r="KN24" s="525">
        <v>139011.59</v>
      </c>
      <c r="KO24" s="525">
        <v>17422.0687158</v>
      </c>
      <c r="KP24" s="530">
        <v>1510.501919184738</v>
      </c>
      <c r="KQ24" s="525">
        <v>11533.96</v>
      </c>
      <c r="KR24" s="526"/>
      <c r="KS24" s="526"/>
      <c r="KT24" s="531">
        <v>1146111.3</v>
      </c>
      <c r="KU24" s="531">
        <v>37</v>
      </c>
      <c r="KV24" s="526"/>
      <c r="KW24" s="531">
        <v>272592.59999999998</v>
      </c>
      <c r="KX24" s="531">
        <v>10.8</v>
      </c>
      <c r="KY24" s="531"/>
      <c r="KZ24" s="526"/>
      <c r="LA24" s="531">
        <v>139011.59</v>
      </c>
      <c r="LB24" s="532">
        <v>20000</v>
      </c>
      <c r="LC24" s="533">
        <v>1.0999999999999999E-2</v>
      </c>
      <c r="LD24" s="494">
        <f t="shared" si="11"/>
        <v>287311.94331585238</v>
      </c>
      <c r="LE24" s="509">
        <f t="shared" si="12"/>
        <v>239426.619429877</v>
      </c>
      <c r="LF24" s="534">
        <f t="shared" si="13"/>
        <v>134923.17022130161</v>
      </c>
      <c r="LG24" s="535">
        <f t="shared" si="14"/>
        <v>134872.080241132</v>
      </c>
      <c r="LH24" s="536">
        <f t="shared" si="31"/>
        <v>1.03</v>
      </c>
      <c r="LI24" s="537">
        <f t="shared" si="15"/>
        <v>134872.080241132</v>
      </c>
      <c r="LJ24" s="536">
        <f t="shared" si="32"/>
        <v>1.0389999999999999</v>
      </c>
      <c r="LK24" s="537">
        <f t="shared" si="16"/>
        <v>0</v>
      </c>
      <c r="LL24" s="536">
        <f t="shared" si="33"/>
        <v>1.0349999999999999</v>
      </c>
      <c r="LM24" s="537">
        <f t="shared" si="17"/>
        <v>0</v>
      </c>
      <c r="LN24" s="536">
        <f t="shared" si="34"/>
        <v>1.0349999999999999</v>
      </c>
      <c r="LO24" s="537">
        <f t="shared" si="18"/>
        <v>0</v>
      </c>
      <c r="LP24" s="536">
        <f t="shared" si="35"/>
        <v>1.0349999999999999</v>
      </c>
      <c r="LQ24" s="537">
        <f t="shared" si="19"/>
        <v>0</v>
      </c>
      <c r="LR24" s="536">
        <f t="shared" si="36"/>
        <v>1.04</v>
      </c>
      <c r="LS24" s="537">
        <f t="shared" si="20"/>
        <v>51.089980169597631</v>
      </c>
      <c r="LT24" s="539">
        <f t="shared" si="21"/>
        <v>29807.883467999993</v>
      </c>
      <c r="LU24" s="540">
        <f t="shared" si="22"/>
        <v>9471.5128827000008</v>
      </c>
      <c r="LV24" s="541">
        <f t="shared" si="23"/>
        <v>20336.370585299992</v>
      </c>
      <c r="LW24" s="542">
        <f t="shared" si="24"/>
        <v>62730.686040575398</v>
      </c>
      <c r="LX24" s="540">
        <f t="shared" si="25"/>
        <v>2860.3968905753995</v>
      </c>
      <c r="LY24" s="540">
        <f t="shared" si="26"/>
        <v>52998.727499999994</v>
      </c>
      <c r="LZ24" s="543">
        <f t="shared" si="27"/>
        <v>6871.5616500000015</v>
      </c>
      <c r="MA24" s="544">
        <f t="shared" si="28"/>
        <v>9932.740000000018</v>
      </c>
      <c r="MB24" s="545">
        <f t="shared" si="29"/>
        <v>2032.1397000000002</v>
      </c>
    </row>
    <row r="25" spans="1:340" ht="16.5" customHeight="1">
      <c r="A25" s="465">
        <v>1</v>
      </c>
      <c r="B25" s="466">
        <v>15</v>
      </c>
      <c r="C25" s="467" t="s">
        <v>311</v>
      </c>
      <c r="D25" s="468">
        <v>7708503727</v>
      </c>
      <c r="E25" s="469">
        <f t="shared" si="3"/>
        <v>1147.7678790239997</v>
      </c>
      <c r="F25" s="470" t="s">
        <v>281</v>
      </c>
      <c r="G25" s="595">
        <v>956.47150479999993</v>
      </c>
      <c r="H25" s="597">
        <f t="shared" si="30"/>
        <v>191.29637422399981</v>
      </c>
      <c r="I25" s="597" t="s">
        <v>858</v>
      </c>
      <c r="J25" s="471">
        <f t="shared" si="4"/>
        <v>956.4732325199999</v>
      </c>
      <c r="K25" s="472">
        <f t="shared" si="5"/>
        <v>472.04823251999994</v>
      </c>
      <c r="L25" s="473">
        <f t="shared" si="6"/>
        <v>386.50758047999994</v>
      </c>
      <c r="M25" s="474">
        <v>386.50758047999994</v>
      </c>
      <c r="N25" s="475">
        <v>0</v>
      </c>
      <c r="O25" s="475">
        <v>0</v>
      </c>
      <c r="P25" s="476">
        <v>0</v>
      </c>
      <c r="Q25" s="477">
        <v>76.49786804</v>
      </c>
      <c r="R25" s="478">
        <f t="shared" si="7"/>
        <v>9.042784000000001</v>
      </c>
      <c r="S25" s="479">
        <f t="shared" si="8"/>
        <v>367.78999999999996</v>
      </c>
      <c r="T25" s="479">
        <v>0</v>
      </c>
      <c r="U25" s="480">
        <v>367.78999999999996</v>
      </c>
      <c r="V25" s="481">
        <f t="shared" si="9"/>
        <v>116.63500000000001</v>
      </c>
      <c r="W25" s="482">
        <v>0</v>
      </c>
      <c r="X25" s="479">
        <v>71.715000000000003</v>
      </c>
      <c r="Y25" s="483">
        <v>44.92</v>
      </c>
      <c r="Z25" s="484">
        <v>0</v>
      </c>
      <c r="AA25" s="485">
        <v>0</v>
      </c>
      <c r="AB25" s="486"/>
      <c r="AC25" s="487">
        <v>386.50758047999994</v>
      </c>
      <c r="AD25" s="487">
        <v>386.50758047999994</v>
      </c>
      <c r="AE25" s="487">
        <v>0</v>
      </c>
      <c r="AF25" s="487">
        <v>0</v>
      </c>
      <c r="AG25" s="487">
        <v>0</v>
      </c>
      <c r="AH25" s="487">
        <v>76.49786804</v>
      </c>
      <c r="AI25" s="487">
        <v>76.49786804</v>
      </c>
      <c r="AJ25" s="487">
        <v>0</v>
      </c>
      <c r="AK25" s="487">
        <v>0</v>
      </c>
      <c r="AL25" s="487">
        <v>0</v>
      </c>
      <c r="AM25" s="487">
        <v>0</v>
      </c>
      <c r="AN25" s="487">
        <v>0</v>
      </c>
      <c r="AO25" s="487">
        <v>0</v>
      </c>
      <c r="AP25" s="487">
        <v>0</v>
      </c>
      <c r="AQ25" s="487">
        <v>0</v>
      </c>
      <c r="AR25" s="487">
        <v>0</v>
      </c>
      <c r="AS25" s="487">
        <v>0</v>
      </c>
      <c r="AT25" s="487">
        <v>0</v>
      </c>
      <c r="AU25" s="487">
        <v>0</v>
      </c>
      <c r="AV25" s="487">
        <v>0</v>
      </c>
      <c r="AW25" s="487">
        <v>0</v>
      </c>
      <c r="AX25" s="487">
        <v>0</v>
      </c>
      <c r="AY25" s="487">
        <v>0</v>
      </c>
      <c r="AZ25" s="487">
        <v>0</v>
      </c>
      <c r="BA25" s="487">
        <v>76.49786804</v>
      </c>
      <c r="BB25" s="487">
        <v>15.0931</v>
      </c>
      <c r="BC25" s="487">
        <v>0</v>
      </c>
      <c r="BD25" s="487">
        <v>76.49786804</v>
      </c>
      <c r="BE25" s="487">
        <v>5.0684000000000005</v>
      </c>
      <c r="BF25" s="487">
        <v>15.0931</v>
      </c>
      <c r="BG25" s="487">
        <v>0</v>
      </c>
      <c r="BH25" s="487">
        <v>0</v>
      </c>
      <c r="BI25" s="487">
        <v>0</v>
      </c>
      <c r="BJ25" s="487">
        <v>0</v>
      </c>
      <c r="BK25" s="487">
        <v>0</v>
      </c>
      <c r="BL25" s="487">
        <v>0</v>
      </c>
      <c r="BM25" s="487">
        <v>0</v>
      </c>
      <c r="BN25" s="487">
        <v>0</v>
      </c>
      <c r="BO25" s="487">
        <v>0</v>
      </c>
      <c r="BP25" s="487">
        <v>0</v>
      </c>
      <c r="BQ25" s="487">
        <v>0</v>
      </c>
      <c r="BR25" s="487">
        <v>0</v>
      </c>
      <c r="BS25" s="487">
        <v>0</v>
      </c>
      <c r="BT25" s="487">
        <v>0</v>
      </c>
      <c r="BU25" s="487">
        <v>0</v>
      </c>
      <c r="BV25" s="487">
        <v>0</v>
      </c>
      <c r="BW25" s="487">
        <v>0</v>
      </c>
      <c r="BX25" s="487">
        <v>0</v>
      </c>
      <c r="BY25" s="487">
        <v>0</v>
      </c>
      <c r="BZ25" s="487">
        <v>0</v>
      </c>
      <c r="CA25" s="487">
        <v>0</v>
      </c>
      <c r="CB25" s="487">
        <v>0</v>
      </c>
      <c r="CC25" s="487">
        <v>0</v>
      </c>
      <c r="CD25" s="487">
        <v>0</v>
      </c>
      <c r="CE25" s="487">
        <v>0</v>
      </c>
      <c r="CF25" s="487">
        <v>0</v>
      </c>
      <c r="CG25" s="487">
        <v>0</v>
      </c>
      <c r="CH25" s="487">
        <v>0</v>
      </c>
      <c r="CI25" s="487">
        <v>0</v>
      </c>
      <c r="CJ25" s="487">
        <v>0</v>
      </c>
      <c r="CK25" s="487">
        <v>0</v>
      </c>
      <c r="CL25" s="487">
        <v>0</v>
      </c>
      <c r="CM25" s="487">
        <v>0</v>
      </c>
      <c r="CN25" s="487">
        <v>0</v>
      </c>
      <c r="CO25" s="487">
        <v>0</v>
      </c>
      <c r="CP25" s="487">
        <v>0</v>
      </c>
      <c r="CQ25" s="487">
        <v>0</v>
      </c>
      <c r="CR25" s="487">
        <v>0</v>
      </c>
      <c r="CS25" s="487">
        <v>0</v>
      </c>
      <c r="CT25" s="487">
        <v>0</v>
      </c>
      <c r="CU25" s="487">
        <v>0</v>
      </c>
      <c r="CV25" s="487">
        <v>0</v>
      </c>
      <c r="CW25" s="487">
        <v>0</v>
      </c>
      <c r="CX25" s="487">
        <v>0</v>
      </c>
      <c r="CY25" s="487">
        <v>9.042784000000001</v>
      </c>
      <c r="CZ25" s="467"/>
      <c r="DA25" s="487">
        <v>0.40660000000000007</v>
      </c>
      <c r="DB25" s="487">
        <v>0</v>
      </c>
      <c r="DC25" s="467"/>
      <c r="DD25" s="487">
        <v>0</v>
      </c>
      <c r="DE25" s="487">
        <v>0</v>
      </c>
      <c r="DF25" s="487">
        <v>0</v>
      </c>
      <c r="DG25" s="487">
        <v>15.78</v>
      </c>
      <c r="DH25" s="487">
        <v>0</v>
      </c>
      <c r="DI25" s="487">
        <v>0</v>
      </c>
      <c r="DJ25" s="487">
        <v>15.78</v>
      </c>
      <c r="DK25" s="487">
        <v>0</v>
      </c>
      <c r="DL25" s="487">
        <v>0</v>
      </c>
      <c r="DM25" s="487">
        <v>0</v>
      </c>
      <c r="DN25" s="487">
        <v>0</v>
      </c>
      <c r="DO25" s="487">
        <v>0</v>
      </c>
      <c r="DP25" s="487">
        <v>352.01</v>
      </c>
      <c r="DQ25" s="487">
        <v>0</v>
      </c>
      <c r="DR25" s="487">
        <v>0</v>
      </c>
      <c r="DS25" s="487">
        <v>0</v>
      </c>
      <c r="DT25" s="487">
        <v>352.01</v>
      </c>
      <c r="DU25" s="487">
        <v>0</v>
      </c>
      <c r="DV25" s="487">
        <v>0</v>
      </c>
      <c r="DW25" s="487">
        <v>0</v>
      </c>
      <c r="DX25" s="487">
        <v>0</v>
      </c>
      <c r="DY25" s="487">
        <v>0</v>
      </c>
      <c r="DZ25" s="487">
        <v>0</v>
      </c>
      <c r="EA25" s="487">
        <v>0</v>
      </c>
      <c r="EB25" s="487">
        <v>0</v>
      </c>
      <c r="EC25" s="487">
        <v>0</v>
      </c>
      <c r="ED25" s="487">
        <v>0</v>
      </c>
      <c r="EE25" s="487">
        <v>0</v>
      </c>
      <c r="EF25" s="487">
        <v>0</v>
      </c>
      <c r="EG25" s="487">
        <v>0</v>
      </c>
      <c r="EH25" s="487">
        <v>0</v>
      </c>
      <c r="EI25" s="487">
        <v>0</v>
      </c>
      <c r="EJ25" s="487">
        <v>0</v>
      </c>
      <c r="EK25" s="487">
        <v>0</v>
      </c>
      <c r="EL25" s="487">
        <v>0</v>
      </c>
      <c r="EM25" s="487">
        <v>0</v>
      </c>
      <c r="EN25" s="487">
        <v>0</v>
      </c>
      <c r="EO25" s="487">
        <v>0</v>
      </c>
      <c r="EP25" s="487">
        <v>0</v>
      </c>
      <c r="EQ25" s="487">
        <v>0</v>
      </c>
      <c r="ER25" s="487">
        <v>0</v>
      </c>
      <c r="ES25" s="487">
        <v>0</v>
      </c>
      <c r="ET25" s="487">
        <v>0</v>
      </c>
      <c r="EU25" s="487">
        <v>0</v>
      </c>
      <c r="EV25" s="487">
        <v>0</v>
      </c>
      <c r="EW25" s="487">
        <v>0</v>
      </c>
      <c r="EX25" s="487">
        <v>0</v>
      </c>
      <c r="EY25" s="487">
        <v>0</v>
      </c>
      <c r="EZ25" s="487">
        <v>0</v>
      </c>
      <c r="FA25" s="487">
        <v>0</v>
      </c>
      <c r="FB25" s="487">
        <v>44.92</v>
      </c>
      <c r="FC25" s="487">
        <v>0</v>
      </c>
      <c r="FD25" s="487">
        <v>0</v>
      </c>
      <c r="FE25" s="487">
        <v>0</v>
      </c>
      <c r="FF25" s="487">
        <v>44.92</v>
      </c>
      <c r="FG25" s="487">
        <v>44.92</v>
      </c>
      <c r="FH25" s="487">
        <v>0</v>
      </c>
      <c r="FI25" s="487">
        <v>0</v>
      </c>
      <c r="FJ25" s="487">
        <v>0</v>
      </c>
      <c r="FK25" s="487">
        <v>0</v>
      </c>
      <c r="FL25" s="487">
        <v>0</v>
      </c>
      <c r="FM25" s="487">
        <v>71.715000000000003</v>
      </c>
      <c r="FN25" s="487">
        <v>71.715000000000003</v>
      </c>
      <c r="FO25" s="487">
        <v>0</v>
      </c>
      <c r="FP25" s="487">
        <v>0</v>
      </c>
      <c r="FQ25" s="487">
        <v>0</v>
      </c>
      <c r="FR25" s="487">
        <v>0</v>
      </c>
      <c r="FS25" s="488">
        <v>956.4732325199999</v>
      </c>
      <c r="FT25" s="487">
        <v>0</v>
      </c>
      <c r="FU25" s="487">
        <v>0</v>
      </c>
      <c r="FV25" s="487">
        <v>0</v>
      </c>
      <c r="FW25" s="487">
        <v>0</v>
      </c>
      <c r="FX25" s="487">
        <v>0</v>
      </c>
      <c r="FY25" s="487">
        <v>0</v>
      </c>
      <c r="FZ25" s="487">
        <v>0</v>
      </c>
      <c r="GA25" s="487">
        <v>0</v>
      </c>
      <c r="GB25" s="487">
        <v>0</v>
      </c>
      <c r="GC25" s="487">
        <v>0</v>
      </c>
      <c r="GD25" s="487">
        <v>0</v>
      </c>
      <c r="GE25" s="487">
        <v>0</v>
      </c>
      <c r="GF25" s="487">
        <v>0</v>
      </c>
      <c r="GG25" s="487">
        <v>0</v>
      </c>
      <c r="GH25" s="487">
        <v>0</v>
      </c>
      <c r="GI25" s="487">
        <v>0</v>
      </c>
      <c r="GJ25" s="467"/>
      <c r="GK25" s="487">
        <v>0</v>
      </c>
      <c r="GL25" s="467"/>
      <c r="GM25" s="487">
        <v>0</v>
      </c>
      <c r="GN25" s="487">
        <v>0</v>
      </c>
      <c r="GO25" s="467"/>
      <c r="GP25" s="467"/>
      <c r="GQ25" s="487">
        <v>0</v>
      </c>
      <c r="GR25" s="467"/>
      <c r="GS25" s="467"/>
      <c r="GT25" s="487">
        <v>0</v>
      </c>
      <c r="GU25" s="487">
        <v>0</v>
      </c>
      <c r="GV25" s="487">
        <v>0</v>
      </c>
      <c r="GW25" s="487">
        <v>0</v>
      </c>
      <c r="GX25" s="487">
        <v>0</v>
      </c>
      <c r="GY25" s="487">
        <v>0</v>
      </c>
      <c r="GZ25" s="487">
        <v>0</v>
      </c>
      <c r="HA25" s="487">
        <v>0</v>
      </c>
      <c r="HB25" s="487">
        <v>0</v>
      </c>
      <c r="HC25" s="487">
        <v>0</v>
      </c>
      <c r="HD25" s="487">
        <v>0</v>
      </c>
      <c r="HE25" s="487">
        <v>0</v>
      </c>
      <c r="HF25" s="487">
        <v>0</v>
      </c>
      <c r="HG25" s="487">
        <v>0</v>
      </c>
      <c r="HH25" s="487">
        <v>0</v>
      </c>
      <c r="HI25" s="487">
        <v>0</v>
      </c>
      <c r="HJ25" s="487">
        <v>0</v>
      </c>
      <c r="HK25" s="487">
        <v>0</v>
      </c>
      <c r="HL25" s="467"/>
      <c r="HM25" s="467"/>
      <c r="HN25" s="467"/>
      <c r="HO25" s="467"/>
      <c r="HP25" s="467"/>
      <c r="HQ25" s="467"/>
      <c r="HR25" s="467"/>
      <c r="HS25" s="467"/>
      <c r="HT25" s="467"/>
      <c r="HU25" s="467"/>
      <c r="HV25" s="467"/>
      <c r="HW25" s="467"/>
      <c r="HX25" s="467"/>
      <c r="HY25" s="467"/>
      <c r="HZ25" s="467"/>
      <c r="IA25" s="467"/>
      <c r="IB25" s="467"/>
      <c r="IC25" s="467"/>
      <c r="ID25" s="467"/>
      <c r="IE25" s="467"/>
      <c r="IF25" s="467"/>
      <c r="IG25" s="467"/>
      <c r="IH25" s="467"/>
      <c r="II25" s="467"/>
      <c r="IJ25" s="467"/>
      <c r="IK25" s="467"/>
      <c r="IL25" s="467"/>
      <c r="IM25" s="467"/>
      <c r="IN25" s="467"/>
      <c r="IO25" s="467"/>
      <c r="IP25" s="467"/>
      <c r="IQ25" s="467"/>
      <c r="IR25" s="467"/>
      <c r="IS25" s="467"/>
      <c r="IT25" s="467"/>
      <c r="IU25" s="467"/>
      <c r="IV25" s="467"/>
      <c r="IW25" s="467"/>
      <c r="IX25" s="467"/>
      <c r="IY25" s="467"/>
      <c r="IZ25" s="467"/>
      <c r="JA25" s="467"/>
      <c r="JB25" s="467"/>
      <c r="JC25" s="467"/>
      <c r="JD25" s="467"/>
      <c r="JE25" s="467"/>
      <c r="JF25" s="467"/>
      <c r="JG25" s="467"/>
      <c r="JH25" s="467"/>
      <c r="JI25" s="467"/>
      <c r="JJ25" s="467"/>
      <c r="JK25" s="467"/>
      <c r="JL25" s="467"/>
      <c r="JM25" s="467"/>
      <c r="JN25" s="487">
        <v>367.78999999999996</v>
      </c>
      <c r="JO25" s="487">
        <v>116.63500000000001</v>
      </c>
      <c r="JP25" s="487">
        <v>472.04823251999994</v>
      </c>
      <c r="JQ25" s="487">
        <v>0</v>
      </c>
      <c r="JR25" s="487">
        <v>0</v>
      </c>
      <c r="JS25" s="488">
        <v>956.4732325199999</v>
      </c>
      <c r="JT25" s="489">
        <f t="shared" si="10"/>
        <v>0</v>
      </c>
      <c r="JU25" s="487">
        <v>1147.7678790239997</v>
      </c>
      <c r="JV25" s="487">
        <v>956.4732325199999</v>
      </c>
      <c r="JW25" s="487">
        <v>1147.7678790239997</v>
      </c>
      <c r="JX25" s="487">
        <v>415.84000000000003</v>
      </c>
      <c r="JY25" s="487">
        <v>415.84000000000003</v>
      </c>
      <c r="JZ25" s="467"/>
      <c r="KA25" s="487">
        <v>415.84000000000003</v>
      </c>
      <c r="KB25" s="490">
        <v>0</v>
      </c>
      <c r="KC25" s="487">
        <v>1.7277199998488868E-3</v>
      </c>
      <c r="KD25" s="487">
        <v>956.47150480000005</v>
      </c>
      <c r="KE25" s="487">
        <v>415.84000000000003</v>
      </c>
      <c r="KF25" s="487">
        <v>0</v>
      </c>
      <c r="KG25" s="491">
        <v>0</v>
      </c>
      <c r="KH25" s="487">
        <v>0</v>
      </c>
      <c r="KI25" s="487">
        <v>956.47150480000005</v>
      </c>
      <c r="KJ25" s="491">
        <v>2300.0949999999998</v>
      </c>
      <c r="KK25" s="487">
        <v>415.84000000000003</v>
      </c>
      <c r="KL25" s="487">
        <v>0</v>
      </c>
      <c r="KM25" s="491">
        <v>0</v>
      </c>
      <c r="KN25" s="487">
        <v>0</v>
      </c>
      <c r="KO25" s="487">
        <v>0</v>
      </c>
      <c r="KP25" s="491">
        <v>0</v>
      </c>
      <c r="KQ25" s="487">
        <v>0</v>
      </c>
      <c r="KR25" s="467"/>
      <c r="KS25" s="467"/>
      <c r="KT25" s="487">
        <v>173.32214999999999</v>
      </c>
      <c r="KU25" s="487">
        <v>83</v>
      </c>
      <c r="KV25" s="467"/>
      <c r="KW25" s="487">
        <v>1902.66976</v>
      </c>
      <c r="KX25" s="487">
        <v>0.39900000000000002</v>
      </c>
      <c r="KY25" s="487"/>
      <c r="KZ25" s="467"/>
      <c r="LA25" s="487">
        <v>415.84</v>
      </c>
      <c r="LB25" s="492"/>
      <c r="LC25" s="493">
        <v>1E-3</v>
      </c>
      <c r="LD25" s="494">
        <f t="shared" si="11"/>
        <v>1182.8547522909598</v>
      </c>
      <c r="LE25" s="471">
        <f t="shared" si="12"/>
        <v>985.71229357579989</v>
      </c>
      <c r="LF25" s="495">
        <f t="shared" si="13"/>
        <v>486.68259667579997</v>
      </c>
      <c r="LG25" s="476">
        <f t="shared" si="14"/>
        <v>398.10280789439997</v>
      </c>
      <c r="LH25" s="496">
        <f t="shared" si="31"/>
        <v>1.03</v>
      </c>
      <c r="LI25" s="497">
        <f t="shared" si="15"/>
        <v>398.10280789439997</v>
      </c>
      <c r="LJ25" s="496">
        <f t="shared" si="32"/>
        <v>1.0389999999999999</v>
      </c>
      <c r="LK25" s="497">
        <f t="shared" si="16"/>
        <v>0</v>
      </c>
      <c r="LL25" s="496">
        <f t="shared" si="33"/>
        <v>1.0349999999999999</v>
      </c>
      <c r="LM25" s="497">
        <f t="shared" si="17"/>
        <v>0</v>
      </c>
      <c r="LN25" s="496">
        <f t="shared" si="34"/>
        <v>1.0349999999999999</v>
      </c>
      <c r="LO25" s="497">
        <f t="shared" si="18"/>
        <v>0</v>
      </c>
      <c r="LP25" s="496">
        <f t="shared" si="35"/>
        <v>1.0349999999999999</v>
      </c>
      <c r="LQ25" s="497">
        <f t="shared" si="19"/>
        <v>79.175293421399999</v>
      </c>
      <c r="LR25" s="496">
        <f t="shared" si="36"/>
        <v>1.04</v>
      </c>
      <c r="LS25" s="497">
        <f t="shared" si="20"/>
        <v>9.4044953600000021</v>
      </c>
      <c r="LT25" s="499">
        <f t="shared" si="21"/>
        <v>378.31247189999993</v>
      </c>
      <c r="LU25" s="500">
        <f t="shared" si="22"/>
        <v>0</v>
      </c>
      <c r="LV25" s="501">
        <f t="shared" si="23"/>
        <v>378.31247189999993</v>
      </c>
      <c r="LW25" s="499">
        <f t="shared" si="24"/>
        <v>120.717225</v>
      </c>
      <c r="LX25" s="500">
        <f t="shared" si="25"/>
        <v>0</v>
      </c>
      <c r="LY25" s="500">
        <f t="shared" si="26"/>
        <v>74.225025000000002</v>
      </c>
      <c r="LZ25" s="502">
        <f t="shared" si="27"/>
        <v>46.492199999999997</v>
      </c>
      <c r="MA25" s="503">
        <f t="shared" si="28"/>
        <v>0</v>
      </c>
      <c r="MB25" s="504">
        <f t="shared" si="29"/>
        <v>0</v>
      </c>
    </row>
    <row r="26" spans="1:340" ht="16.5" customHeight="1">
      <c r="A26" s="505">
        <v>1</v>
      </c>
      <c r="B26" s="506">
        <v>16</v>
      </c>
      <c r="C26" s="507" t="s">
        <v>162</v>
      </c>
      <c r="D26" s="508">
        <v>5261077695</v>
      </c>
      <c r="E26" s="469">
        <f t="shared" si="3"/>
        <v>8559.6172000044044</v>
      </c>
      <c r="F26" s="470" t="s">
        <v>281</v>
      </c>
      <c r="G26" s="595">
        <v>4308.3075121000002</v>
      </c>
      <c r="H26" s="597">
        <f t="shared" si="30"/>
        <v>4251.3096879044042</v>
      </c>
      <c r="I26" s="597" t="s">
        <v>858</v>
      </c>
      <c r="J26" s="509">
        <f t="shared" si="4"/>
        <v>7133.0143333370033</v>
      </c>
      <c r="K26" s="510">
        <f t="shared" si="5"/>
        <v>3949.3342260090044</v>
      </c>
      <c r="L26" s="511">
        <f t="shared" si="6"/>
        <v>2982.1510841540044</v>
      </c>
      <c r="M26" s="512">
        <v>2982.1510841540044</v>
      </c>
      <c r="N26" s="513">
        <v>0</v>
      </c>
      <c r="O26" s="513">
        <v>0</v>
      </c>
      <c r="P26" s="514">
        <v>0</v>
      </c>
      <c r="Q26" s="515">
        <v>892.21564342500005</v>
      </c>
      <c r="R26" s="516">
        <f t="shared" si="7"/>
        <v>74.967498429999992</v>
      </c>
      <c r="S26" s="517">
        <f t="shared" si="8"/>
        <v>2258.7658033279995</v>
      </c>
      <c r="T26" s="518">
        <v>2061.2927999999997</v>
      </c>
      <c r="U26" s="519">
        <v>197.47300332799978</v>
      </c>
      <c r="V26" s="520">
        <f t="shared" si="9"/>
        <v>740.31430399999999</v>
      </c>
      <c r="W26" s="521">
        <v>628.69430399999999</v>
      </c>
      <c r="X26" s="518">
        <v>73.09999999999998</v>
      </c>
      <c r="Y26" s="522">
        <v>38.520000000000024</v>
      </c>
      <c r="Z26" s="523">
        <v>184.60000000000082</v>
      </c>
      <c r="AA26" s="524">
        <v>0</v>
      </c>
      <c r="AB26" s="486"/>
      <c r="AC26" s="525">
        <v>2982.1510841540044</v>
      </c>
      <c r="AD26" s="525">
        <v>2982.1510841540044</v>
      </c>
      <c r="AE26" s="525">
        <v>0</v>
      </c>
      <c r="AF26" s="525">
        <v>0</v>
      </c>
      <c r="AG26" s="525">
        <v>0</v>
      </c>
      <c r="AH26" s="525">
        <v>892.21564342500005</v>
      </c>
      <c r="AI26" s="525">
        <v>892.21564342500005</v>
      </c>
      <c r="AJ26" s="525">
        <v>0</v>
      </c>
      <c r="AK26" s="525">
        <v>0</v>
      </c>
      <c r="AL26" s="525">
        <v>0</v>
      </c>
      <c r="AM26" s="525">
        <v>0</v>
      </c>
      <c r="AN26" s="525">
        <v>0</v>
      </c>
      <c r="AO26" s="525">
        <v>0</v>
      </c>
      <c r="AP26" s="525">
        <v>0</v>
      </c>
      <c r="AQ26" s="525">
        <v>0</v>
      </c>
      <c r="AR26" s="525">
        <v>0</v>
      </c>
      <c r="AS26" s="525">
        <v>0</v>
      </c>
      <c r="AT26" s="525">
        <v>0</v>
      </c>
      <c r="AU26" s="525">
        <v>0</v>
      </c>
      <c r="AV26" s="525">
        <v>0</v>
      </c>
      <c r="AW26" s="525">
        <v>0</v>
      </c>
      <c r="AX26" s="525">
        <v>0</v>
      </c>
      <c r="AY26" s="525">
        <v>0</v>
      </c>
      <c r="AZ26" s="525">
        <v>0</v>
      </c>
      <c r="BA26" s="525">
        <v>892.21564342500005</v>
      </c>
      <c r="BB26" s="525">
        <v>111.2107</v>
      </c>
      <c r="BC26" s="525">
        <v>0</v>
      </c>
      <c r="BD26" s="525">
        <v>0</v>
      </c>
      <c r="BE26" s="525">
        <v>0</v>
      </c>
      <c r="BF26" s="525">
        <v>0</v>
      </c>
      <c r="BG26" s="525">
        <v>0</v>
      </c>
      <c r="BH26" s="525">
        <v>0</v>
      </c>
      <c r="BI26" s="525">
        <v>0</v>
      </c>
      <c r="BJ26" s="525">
        <v>892.21564342500005</v>
      </c>
      <c r="BK26" s="525">
        <v>8.0227500000000003</v>
      </c>
      <c r="BL26" s="525">
        <v>111.2107</v>
      </c>
      <c r="BM26" s="525">
        <v>0</v>
      </c>
      <c r="BN26" s="525">
        <v>0</v>
      </c>
      <c r="BO26" s="525">
        <v>0</v>
      </c>
      <c r="BP26" s="525">
        <v>0</v>
      </c>
      <c r="BQ26" s="525">
        <v>0</v>
      </c>
      <c r="BR26" s="525">
        <v>0</v>
      </c>
      <c r="BS26" s="525">
        <v>0</v>
      </c>
      <c r="BT26" s="525">
        <v>0</v>
      </c>
      <c r="BU26" s="525">
        <v>0</v>
      </c>
      <c r="BV26" s="525">
        <v>0</v>
      </c>
      <c r="BW26" s="525">
        <v>0</v>
      </c>
      <c r="BX26" s="525">
        <v>0</v>
      </c>
      <c r="BY26" s="525">
        <v>0</v>
      </c>
      <c r="BZ26" s="525">
        <v>0</v>
      </c>
      <c r="CA26" s="525">
        <v>0</v>
      </c>
      <c r="CB26" s="525">
        <v>0</v>
      </c>
      <c r="CC26" s="525">
        <v>0</v>
      </c>
      <c r="CD26" s="525">
        <v>0</v>
      </c>
      <c r="CE26" s="525">
        <v>0</v>
      </c>
      <c r="CF26" s="525">
        <v>0</v>
      </c>
      <c r="CG26" s="525">
        <v>0</v>
      </c>
      <c r="CH26" s="525">
        <v>0</v>
      </c>
      <c r="CI26" s="525">
        <v>0</v>
      </c>
      <c r="CJ26" s="525">
        <v>0</v>
      </c>
      <c r="CK26" s="525">
        <v>0</v>
      </c>
      <c r="CL26" s="525">
        <v>0</v>
      </c>
      <c r="CM26" s="525">
        <v>2061.2927999999997</v>
      </c>
      <c r="CN26" s="525">
        <v>1731.86</v>
      </c>
      <c r="CO26" s="525">
        <v>0</v>
      </c>
      <c r="CP26" s="525">
        <v>329.43279999999999</v>
      </c>
      <c r="CQ26" s="525">
        <v>0</v>
      </c>
      <c r="CR26" s="525">
        <v>0</v>
      </c>
      <c r="CS26" s="525">
        <v>628.69430399999999</v>
      </c>
      <c r="CT26" s="525">
        <v>528.21730000000002</v>
      </c>
      <c r="CU26" s="525">
        <v>0</v>
      </c>
      <c r="CV26" s="525">
        <v>100.47700399999999</v>
      </c>
      <c r="CW26" s="525">
        <v>0</v>
      </c>
      <c r="CX26" s="525">
        <v>0</v>
      </c>
      <c r="CY26" s="525">
        <v>74.967498429999992</v>
      </c>
      <c r="CZ26" s="526"/>
      <c r="DA26" s="525">
        <v>4.3690000000000007</v>
      </c>
      <c r="DB26" s="525">
        <v>0</v>
      </c>
      <c r="DC26" s="526"/>
      <c r="DD26" s="525">
        <v>0</v>
      </c>
      <c r="DE26" s="525">
        <v>0</v>
      </c>
      <c r="DF26" s="525">
        <v>0</v>
      </c>
      <c r="DG26" s="525">
        <v>97.468101120000014</v>
      </c>
      <c r="DH26" s="525">
        <v>59.421828160000004</v>
      </c>
      <c r="DI26" s="525">
        <v>0</v>
      </c>
      <c r="DJ26" s="525">
        <v>38.046272960000003</v>
      </c>
      <c r="DK26" s="525">
        <v>0</v>
      </c>
      <c r="DL26" s="525">
        <v>0</v>
      </c>
      <c r="DM26" s="525">
        <v>0</v>
      </c>
      <c r="DN26" s="525">
        <v>0</v>
      </c>
      <c r="DO26" s="525">
        <v>0</v>
      </c>
      <c r="DP26" s="525">
        <v>59.197632000000006</v>
      </c>
      <c r="DQ26" s="525">
        <v>0</v>
      </c>
      <c r="DR26" s="525">
        <v>0</v>
      </c>
      <c r="DS26" s="525">
        <v>0</v>
      </c>
      <c r="DT26" s="525">
        <v>59.197632000000006</v>
      </c>
      <c r="DU26" s="525">
        <v>0</v>
      </c>
      <c r="DV26" s="525">
        <v>0</v>
      </c>
      <c r="DW26" s="525">
        <v>0</v>
      </c>
      <c r="DX26" s="525">
        <v>0</v>
      </c>
      <c r="DY26" s="525">
        <v>0</v>
      </c>
      <c r="DZ26" s="525">
        <v>0</v>
      </c>
      <c r="EA26" s="525">
        <v>0</v>
      </c>
      <c r="EB26" s="525">
        <v>0</v>
      </c>
      <c r="EC26" s="525">
        <v>0</v>
      </c>
      <c r="ED26" s="525">
        <v>0</v>
      </c>
      <c r="EE26" s="525">
        <v>0</v>
      </c>
      <c r="EF26" s="525">
        <v>0</v>
      </c>
      <c r="EG26" s="525">
        <v>0</v>
      </c>
      <c r="EH26" s="525">
        <v>0</v>
      </c>
      <c r="EI26" s="525">
        <v>0</v>
      </c>
      <c r="EJ26" s="525">
        <v>0</v>
      </c>
      <c r="EK26" s="525">
        <v>0</v>
      </c>
      <c r="EL26" s="525">
        <v>0</v>
      </c>
      <c r="EM26" s="525">
        <v>12.026739424000001</v>
      </c>
      <c r="EN26" s="525">
        <v>0</v>
      </c>
      <c r="EO26" s="525">
        <v>0</v>
      </c>
      <c r="EP26" s="525">
        <v>28.780530784000003</v>
      </c>
      <c r="EQ26" s="525">
        <v>0</v>
      </c>
      <c r="ER26" s="525">
        <v>28.780530784000003</v>
      </c>
      <c r="ES26" s="525">
        <v>0</v>
      </c>
      <c r="ET26" s="525">
        <v>0</v>
      </c>
      <c r="EU26" s="525">
        <v>0</v>
      </c>
      <c r="EV26" s="525">
        <v>0</v>
      </c>
      <c r="EW26" s="525">
        <v>0</v>
      </c>
      <c r="EX26" s="525">
        <v>0</v>
      </c>
      <c r="EY26" s="525">
        <v>0</v>
      </c>
      <c r="EZ26" s="525">
        <v>0</v>
      </c>
      <c r="FA26" s="525">
        <v>0</v>
      </c>
      <c r="FB26" s="525">
        <v>38.519999999999996</v>
      </c>
      <c r="FC26" s="525">
        <v>0.13</v>
      </c>
      <c r="FD26" s="525">
        <v>15.68</v>
      </c>
      <c r="FE26" s="525">
        <v>0</v>
      </c>
      <c r="FF26" s="525">
        <v>22.709999999999997</v>
      </c>
      <c r="FG26" s="525">
        <v>0.6</v>
      </c>
      <c r="FH26" s="525">
        <v>21.29</v>
      </c>
      <c r="FI26" s="525">
        <v>0.82</v>
      </c>
      <c r="FJ26" s="525">
        <v>0</v>
      </c>
      <c r="FK26" s="525">
        <v>0</v>
      </c>
      <c r="FL26" s="525">
        <v>0</v>
      </c>
      <c r="FM26" s="525">
        <v>73.09999999999998</v>
      </c>
      <c r="FN26" s="525">
        <v>73.09999999999998</v>
      </c>
      <c r="FO26" s="525">
        <v>0</v>
      </c>
      <c r="FP26" s="525">
        <v>0</v>
      </c>
      <c r="FQ26" s="525">
        <v>0</v>
      </c>
      <c r="FR26" s="525">
        <v>0</v>
      </c>
      <c r="FS26" s="527">
        <v>6948.4143333370039</v>
      </c>
      <c r="FT26" s="525">
        <v>0</v>
      </c>
      <c r="FU26" s="525">
        <v>0</v>
      </c>
      <c r="FV26" s="525">
        <v>0</v>
      </c>
      <c r="FW26" s="525">
        <v>0</v>
      </c>
      <c r="FX26" s="525">
        <v>0</v>
      </c>
      <c r="FY26" s="525">
        <v>0</v>
      </c>
      <c r="FZ26" s="525">
        <v>0</v>
      </c>
      <c r="GA26" s="525">
        <v>0</v>
      </c>
      <c r="GB26" s="525">
        <v>0</v>
      </c>
      <c r="GC26" s="525">
        <v>0</v>
      </c>
      <c r="GD26" s="525">
        <v>0</v>
      </c>
      <c r="GE26" s="525">
        <v>0</v>
      </c>
      <c r="GF26" s="525">
        <v>0</v>
      </c>
      <c r="GG26" s="525">
        <v>0</v>
      </c>
      <c r="GH26" s="525">
        <v>0</v>
      </c>
      <c r="GI26" s="525">
        <v>0</v>
      </c>
      <c r="GJ26" s="526"/>
      <c r="GK26" s="525">
        <v>0</v>
      </c>
      <c r="GL26" s="526"/>
      <c r="GM26" s="525">
        <v>0</v>
      </c>
      <c r="GN26" s="525">
        <v>0</v>
      </c>
      <c r="GO26" s="526"/>
      <c r="GP26" s="526"/>
      <c r="GQ26" s="525">
        <v>0</v>
      </c>
      <c r="GR26" s="526"/>
      <c r="GS26" s="526"/>
      <c r="GT26" s="525">
        <v>0</v>
      </c>
      <c r="GU26" s="525">
        <v>0</v>
      </c>
      <c r="GV26" s="525">
        <v>0</v>
      </c>
      <c r="GW26" s="525">
        <v>0</v>
      </c>
      <c r="GX26" s="525">
        <v>0</v>
      </c>
      <c r="GY26" s="525">
        <v>0</v>
      </c>
      <c r="GZ26" s="525">
        <v>0</v>
      </c>
      <c r="HA26" s="525">
        <v>0</v>
      </c>
      <c r="HB26" s="525">
        <v>0</v>
      </c>
      <c r="HC26" s="525">
        <v>0</v>
      </c>
      <c r="HD26" s="525">
        <v>0</v>
      </c>
      <c r="HE26" s="525">
        <v>0</v>
      </c>
      <c r="HF26" s="525">
        <v>0</v>
      </c>
      <c r="HG26" s="525">
        <v>0</v>
      </c>
      <c r="HH26" s="525">
        <v>0</v>
      </c>
      <c r="HI26" s="525">
        <v>0</v>
      </c>
      <c r="HJ26" s="525">
        <v>0</v>
      </c>
      <c r="HK26" s="525">
        <v>0</v>
      </c>
      <c r="HL26" s="526"/>
      <c r="HM26" s="526"/>
      <c r="HN26" s="526"/>
      <c r="HO26" s="526"/>
      <c r="HP26" s="526"/>
      <c r="HQ26" s="526"/>
      <c r="HR26" s="526"/>
      <c r="HS26" s="526"/>
      <c r="HT26" s="526"/>
      <c r="HU26" s="526"/>
      <c r="HV26" s="526"/>
      <c r="HW26" s="526"/>
      <c r="HX26" s="526"/>
      <c r="HY26" s="526"/>
      <c r="HZ26" s="526"/>
      <c r="IA26" s="526"/>
      <c r="IB26" s="526"/>
      <c r="IC26" s="526"/>
      <c r="ID26" s="526"/>
      <c r="IE26" s="526"/>
      <c r="IF26" s="526"/>
      <c r="IG26" s="526"/>
      <c r="IH26" s="526"/>
      <c r="II26" s="526"/>
      <c r="IJ26" s="526"/>
      <c r="IK26" s="526"/>
      <c r="IL26" s="526"/>
      <c r="IM26" s="526"/>
      <c r="IN26" s="526"/>
      <c r="IO26" s="526"/>
      <c r="IP26" s="526"/>
      <c r="IQ26" s="526"/>
      <c r="IR26" s="526"/>
      <c r="IS26" s="526"/>
      <c r="IT26" s="526"/>
      <c r="IU26" s="526"/>
      <c r="IV26" s="526"/>
      <c r="IW26" s="526"/>
      <c r="IX26" s="526"/>
      <c r="IY26" s="526"/>
      <c r="IZ26" s="526"/>
      <c r="JA26" s="526"/>
      <c r="JB26" s="526"/>
      <c r="JC26" s="526"/>
      <c r="JD26" s="526"/>
      <c r="JE26" s="526"/>
      <c r="JF26" s="526"/>
      <c r="JG26" s="526"/>
      <c r="JH26" s="526"/>
      <c r="JI26" s="526"/>
      <c r="JJ26" s="526"/>
      <c r="JK26" s="526"/>
      <c r="JL26" s="526"/>
      <c r="JM26" s="526"/>
      <c r="JN26" s="525">
        <v>2258.7658033279995</v>
      </c>
      <c r="JO26" s="525">
        <v>740.31430399999999</v>
      </c>
      <c r="JP26" s="525">
        <v>3949.3342260090044</v>
      </c>
      <c r="JQ26" s="525">
        <v>0</v>
      </c>
      <c r="JR26" s="525">
        <v>0</v>
      </c>
      <c r="JS26" s="527">
        <v>7133.0143333370042</v>
      </c>
      <c r="JT26" s="528">
        <f t="shared" si="10"/>
        <v>184.60000000000082</v>
      </c>
      <c r="JU26" s="525">
        <v>8559.6172000044044</v>
      </c>
      <c r="JV26" s="525">
        <v>3593.9293508513219</v>
      </c>
      <c r="JW26" s="525">
        <v>4312.7152210215863</v>
      </c>
      <c r="JX26" s="525">
        <v>3884.6080000000002</v>
      </c>
      <c r="JY26" s="525">
        <v>1957.2380000000001</v>
      </c>
      <c r="JZ26" s="526"/>
      <c r="KA26" s="525">
        <v>1957.2380000000001</v>
      </c>
      <c r="KB26" s="529">
        <v>0</v>
      </c>
      <c r="KC26" s="525">
        <v>3.657024611322413</v>
      </c>
      <c r="KD26" s="525">
        <v>3590.2723262399995</v>
      </c>
      <c r="KE26" s="525">
        <v>1957.2380000000001</v>
      </c>
      <c r="KF26" s="525">
        <v>0</v>
      </c>
      <c r="KG26" s="530">
        <v>0</v>
      </c>
      <c r="KH26" s="525">
        <v>0</v>
      </c>
      <c r="KI26" s="525">
        <v>3325.4870063999997</v>
      </c>
      <c r="KJ26" s="530">
        <v>1833.9015333031864</v>
      </c>
      <c r="KK26" s="525">
        <v>1813.34</v>
      </c>
      <c r="KL26" s="525">
        <v>264.78531983999994</v>
      </c>
      <c r="KM26" s="530">
        <v>1840.0903406579657</v>
      </c>
      <c r="KN26" s="525">
        <v>143.898</v>
      </c>
      <c r="KO26" s="525">
        <v>0</v>
      </c>
      <c r="KP26" s="530">
        <v>0</v>
      </c>
      <c r="KQ26" s="525">
        <v>0</v>
      </c>
      <c r="KR26" s="526"/>
      <c r="KS26" s="526"/>
      <c r="KT26" s="531">
        <v>501.58</v>
      </c>
      <c r="KU26" s="531">
        <v>63</v>
      </c>
      <c r="KV26" s="526"/>
      <c r="KW26" s="531">
        <v>501.58</v>
      </c>
      <c r="KX26" s="531">
        <v>0.3</v>
      </c>
      <c r="KY26" s="531"/>
      <c r="KZ26" s="526"/>
      <c r="LA26" s="531">
        <v>1575.644</v>
      </c>
      <c r="LB26" s="532">
        <v>22</v>
      </c>
      <c r="LC26" s="533">
        <v>1E-3</v>
      </c>
      <c r="LD26" s="494">
        <f t="shared" si="11"/>
        <v>8811.8664563872226</v>
      </c>
      <c r="LE26" s="509">
        <f t="shared" si="12"/>
        <v>7343.2220469893527</v>
      </c>
      <c r="LF26" s="534">
        <f t="shared" si="13"/>
        <v>4073.0250059906994</v>
      </c>
      <c r="LG26" s="535">
        <f t="shared" si="14"/>
        <v>3071.6156166786245</v>
      </c>
      <c r="LH26" s="536">
        <f t="shared" si="31"/>
        <v>1.03</v>
      </c>
      <c r="LI26" s="537">
        <f t="shared" si="15"/>
        <v>3071.6156166786245</v>
      </c>
      <c r="LJ26" s="536">
        <f t="shared" si="32"/>
        <v>1.0389999999999999</v>
      </c>
      <c r="LK26" s="537">
        <f t="shared" si="16"/>
        <v>0</v>
      </c>
      <c r="LL26" s="536">
        <f t="shared" si="33"/>
        <v>1.0349999999999999</v>
      </c>
      <c r="LM26" s="537">
        <f t="shared" si="17"/>
        <v>0</v>
      </c>
      <c r="LN26" s="536">
        <f t="shared" si="34"/>
        <v>1.0349999999999999</v>
      </c>
      <c r="LO26" s="537">
        <f t="shared" si="18"/>
        <v>0</v>
      </c>
      <c r="LP26" s="536">
        <f t="shared" si="35"/>
        <v>1.0349999999999999</v>
      </c>
      <c r="LQ26" s="537">
        <f t="shared" si="19"/>
        <v>923.44319094487503</v>
      </c>
      <c r="LR26" s="536">
        <f t="shared" si="36"/>
        <v>1.04</v>
      </c>
      <c r="LS26" s="537">
        <f t="shared" si="20"/>
        <v>77.966198367199993</v>
      </c>
      <c r="LT26" s="539">
        <f t="shared" si="21"/>
        <v>2323.3890929612135</v>
      </c>
      <c r="LU26" s="540">
        <f t="shared" si="22"/>
        <v>2120.2663870079996</v>
      </c>
      <c r="LV26" s="541">
        <f t="shared" si="23"/>
        <v>203.12270595321382</v>
      </c>
      <c r="LW26" s="542">
        <f t="shared" si="24"/>
        <v>762.20794803744002</v>
      </c>
      <c r="LX26" s="540">
        <f t="shared" si="25"/>
        <v>646.68124803744001</v>
      </c>
      <c r="LY26" s="540">
        <f t="shared" si="26"/>
        <v>75.658499999999975</v>
      </c>
      <c r="LZ26" s="543">
        <f t="shared" si="27"/>
        <v>39.868200000000023</v>
      </c>
      <c r="MA26" s="544">
        <f t="shared" si="28"/>
        <v>184.60000000000082</v>
      </c>
      <c r="MB26" s="545">
        <f t="shared" si="29"/>
        <v>0</v>
      </c>
    </row>
    <row r="27" spans="1:340" ht="16.5" customHeight="1">
      <c r="A27" s="465">
        <v>1</v>
      </c>
      <c r="B27" s="466">
        <v>17</v>
      </c>
      <c r="C27" s="467" t="s">
        <v>312</v>
      </c>
      <c r="D27" s="468">
        <v>4622005001</v>
      </c>
      <c r="E27" s="469">
        <f t="shared" si="3"/>
        <v>4356.5646988578255</v>
      </c>
      <c r="F27" s="470" t="s">
        <v>287</v>
      </c>
      <c r="G27" s="595">
        <v>4356.5607599999994</v>
      </c>
      <c r="H27" s="595">
        <f t="shared" si="30"/>
        <v>3.938857826142339E-3</v>
      </c>
      <c r="I27" s="595"/>
      <c r="J27" s="471">
        <f t="shared" si="4"/>
        <v>4356.5646988578255</v>
      </c>
      <c r="K27" s="472">
        <f t="shared" si="5"/>
        <v>1875.6537888578246</v>
      </c>
      <c r="L27" s="473">
        <f t="shared" si="6"/>
        <v>1513.5826771178583</v>
      </c>
      <c r="M27" s="474">
        <v>1513.5826771178583</v>
      </c>
      <c r="N27" s="475">
        <v>0</v>
      </c>
      <c r="O27" s="475">
        <v>0</v>
      </c>
      <c r="P27" s="476">
        <v>0</v>
      </c>
      <c r="Q27" s="477">
        <v>320.95157094000007</v>
      </c>
      <c r="R27" s="478">
        <f t="shared" si="7"/>
        <v>41.119540799966224</v>
      </c>
      <c r="S27" s="479">
        <f t="shared" si="8"/>
        <v>1952.0620000000004</v>
      </c>
      <c r="T27" s="479">
        <v>1531.2050000000002</v>
      </c>
      <c r="U27" s="480">
        <v>420.8570000000002</v>
      </c>
      <c r="V27" s="481">
        <f t="shared" si="9"/>
        <v>509.88890999999995</v>
      </c>
      <c r="W27" s="482">
        <v>462.42390999999998</v>
      </c>
      <c r="X27" s="479">
        <v>0</v>
      </c>
      <c r="Y27" s="483">
        <v>47.464999999999975</v>
      </c>
      <c r="Z27" s="484">
        <v>18.960000000000719</v>
      </c>
      <c r="AA27" s="485">
        <v>0</v>
      </c>
      <c r="AB27" s="486"/>
      <c r="AC27" s="487">
        <v>1513.5826771178583</v>
      </c>
      <c r="AD27" s="487">
        <v>1513.5826771178583</v>
      </c>
      <c r="AE27" s="487">
        <v>0</v>
      </c>
      <c r="AF27" s="487">
        <v>0</v>
      </c>
      <c r="AG27" s="487">
        <v>0</v>
      </c>
      <c r="AH27" s="487">
        <v>320.95157094000007</v>
      </c>
      <c r="AI27" s="487">
        <v>320.95157094000007</v>
      </c>
      <c r="AJ27" s="487">
        <v>0</v>
      </c>
      <c r="AK27" s="487">
        <v>0</v>
      </c>
      <c r="AL27" s="487">
        <v>0</v>
      </c>
      <c r="AM27" s="487">
        <v>0</v>
      </c>
      <c r="AN27" s="487">
        <v>0</v>
      </c>
      <c r="AO27" s="487">
        <v>0</v>
      </c>
      <c r="AP27" s="487">
        <v>0</v>
      </c>
      <c r="AQ27" s="487">
        <v>0</v>
      </c>
      <c r="AR27" s="487">
        <v>0</v>
      </c>
      <c r="AS27" s="487">
        <v>0</v>
      </c>
      <c r="AT27" s="487">
        <v>0</v>
      </c>
      <c r="AU27" s="487">
        <v>0</v>
      </c>
      <c r="AV27" s="487">
        <v>0</v>
      </c>
      <c r="AW27" s="487">
        <v>0</v>
      </c>
      <c r="AX27" s="487">
        <v>0</v>
      </c>
      <c r="AY27" s="487">
        <v>0</v>
      </c>
      <c r="AZ27" s="487">
        <v>0</v>
      </c>
      <c r="BA27" s="487">
        <v>320.95157094000007</v>
      </c>
      <c r="BB27" s="487">
        <v>33.741399999999999</v>
      </c>
      <c r="BC27" s="487">
        <v>0</v>
      </c>
      <c r="BD27" s="487">
        <v>320.95157094000007</v>
      </c>
      <c r="BE27" s="487">
        <v>9.512100000000002</v>
      </c>
      <c r="BF27" s="487">
        <v>33.741399999999999</v>
      </c>
      <c r="BG27" s="487">
        <v>0</v>
      </c>
      <c r="BH27" s="487">
        <v>0</v>
      </c>
      <c r="BI27" s="487">
        <v>0</v>
      </c>
      <c r="BJ27" s="487">
        <v>0</v>
      </c>
      <c r="BK27" s="487">
        <v>0</v>
      </c>
      <c r="BL27" s="487">
        <v>0</v>
      </c>
      <c r="BM27" s="487">
        <v>0</v>
      </c>
      <c r="BN27" s="487">
        <v>0</v>
      </c>
      <c r="BO27" s="487">
        <v>0</v>
      </c>
      <c r="BP27" s="487">
        <v>0</v>
      </c>
      <c r="BQ27" s="487">
        <v>0</v>
      </c>
      <c r="BR27" s="487">
        <v>0</v>
      </c>
      <c r="BS27" s="487">
        <v>0</v>
      </c>
      <c r="BT27" s="487">
        <v>0</v>
      </c>
      <c r="BU27" s="487">
        <v>0</v>
      </c>
      <c r="BV27" s="487">
        <v>0</v>
      </c>
      <c r="BW27" s="487">
        <v>0</v>
      </c>
      <c r="BX27" s="487">
        <v>0</v>
      </c>
      <c r="BY27" s="487">
        <v>0</v>
      </c>
      <c r="BZ27" s="487">
        <v>0</v>
      </c>
      <c r="CA27" s="487">
        <v>0</v>
      </c>
      <c r="CB27" s="487">
        <v>0</v>
      </c>
      <c r="CC27" s="487">
        <v>0</v>
      </c>
      <c r="CD27" s="487">
        <v>0</v>
      </c>
      <c r="CE27" s="487">
        <v>0</v>
      </c>
      <c r="CF27" s="487">
        <v>0</v>
      </c>
      <c r="CG27" s="487">
        <v>0</v>
      </c>
      <c r="CH27" s="487">
        <v>0</v>
      </c>
      <c r="CI27" s="487">
        <v>0</v>
      </c>
      <c r="CJ27" s="487">
        <v>0</v>
      </c>
      <c r="CK27" s="487">
        <v>0</v>
      </c>
      <c r="CL27" s="487">
        <v>0</v>
      </c>
      <c r="CM27" s="487">
        <v>1531.2050000000002</v>
      </c>
      <c r="CN27" s="487">
        <v>1531.2050000000002</v>
      </c>
      <c r="CO27" s="487">
        <v>0</v>
      </c>
      <c r="CP27" s="487">
        <v>0</v>
      </c>
      <c r="CQ27" s="487">
        <v>0</v>
      </c>
      <c r="CR27" s="487">
        <v>0</v>
      </c>
      <c r="CS27" s="487">
        <v>462.42390999999998</v>
      </c>
      <c r="CT27" s="487">
        <v>462.42390999999998</v>
      </c>
      <c r="CU27" s="487">
        <v>0</v>
      </c>
      <c r="CV27" s="487">
        <v>0</v>
      </c>
      <c r="CW27" s="487">
        <v>0</v>
      </c>
      <c r="CX27" s="487">
        <v>0</v>
      </c>
      <c r="CY27" s="487">
        <v>41.119540799966224</v>
      </c>
      <c r="CZ27" s="467"/>
      <c r="DA27" s="487">
        <v>0.91512000000004456</v>
      </c>
      <c r="DB27" s="487">
        <v>0</v>
      </c>
      <c r="DC27" s="467"/>
      <c r="DD27" s="487">
        <v>0</v>
      </c>
      <c r="DE27" s="487">
        <v>0</v>
      </c>
      <c r="DF27" s="487">
        <v>0</v>
      </c>
      <c r="DG27" s="487">
        <v>142.02100000000002</v>
      </c>
      <c r="DH27" s="487">
        <v>14.1</v>
      </c>
      <c r="DI27" s="487">
        <v>0</v>
      </c>
      <c r="DJ27" s="487">
        <v>127.92100000000001</v>
      </c>
      <c r="DK27" s="487">
        <v>0</v>
      </c>
      <c r="DL27" s="487">
        <v>0</v>
      </c>
      <c r="DM27" s="487">
        <v>0</v>
      </c>
      <c r="DN27" s="487">
        <v>0</v>
      </c>
      <c r="DO27" s="487">
        <v>0</v>
      </c>
      <c r="DP27" s="487">
        <v>78.796000000000006</v>
      </c>
      <c r="DQ27" s="487">
        <v>0</v>
      </c>
      <c r="DR27" s="487">
        <v>0</v>
      </c>
      <c r="DS27" s="487">
        <v>0</v>
      </c>
      <c r="DT27" s="487">
        <v>78.796000000000006</v>
      </c>
      <c r="DU27" s="487">
        <v>147.76599999999999</v>
      </c>
      <c r="DV27" s="487">
        <v>0</v>
      </c>
      <c r="DW27" s="487">
        <v>0</v>
      </c>
      <c r="DX27" s="487">
        <v>0</v>
      </c>
      <c r="DY27" s="487">
        <v>0</v>
      </c>
      <c r="DZ27" s="487">
        <v>0</v>
      </c>
      <c r="EA27" s="487">
        <v>0</v>
      </c>
      <c r="EB27" s="487">
        <v>0</v>
      </c>
      <c r="EC27" s="487">
        <v>0</v>
      </c>
      <c r="ED27" s="487">
        <v>0</v>
      </c>
      <c r="EE27" s="487">
        <v>0</v>
      </c>
      <c r="EF27" s="487">
        <v>0</v>
      </c>
      <c r="EG27" s="487">
        <v>147.76599999999999</v>
      </c>
      <c r="EH27" s="487">
        <v>0</v>
      </c>
      <c r="EI27" s="487">
        <v>0</v>
      </c>
      <c r="EJ27" s="487">
        <v>0</v>
      </c>
      <c r="EK27" s="487">
        <v>0</v>
      </c>
      <c r="EL27" s="487">
        <v>0</v>
      </c>
      <c r="EM27" s="487">
        <v>52.274000000000001</v>
      </c>
      <c r="EN27" s="487">
        <v>0</v>
      </c>
      <c r="EO27" s="487">
        <v>0</v>
      </c>
      <c r="EP27" s="487">
        <v>0</v>
      </c>
      <c r="EQ27" s="487">
        <v>0</v>
      </c>
      <c r="ER27" s="487">
        <v>0</v>
      </c>
      <c r="ES27" s="487">
        <v>0</v>
      </c>
      <c r="ET27" s="487">
        <v>0</v>
      </c>
      <c r="EU27" s="487">
        <v>0</v>
      </c>
      <c r="EV27" s="487">
        <v>0</v>
      </c>
      <c r="EW27" s="487">
        <v>0</v>
      </c>
      <c r="EX27" s="487">
        <v>0</v>
      </c>
      <c r="EY27" s="487">
        <v>0</v>
      </c>
      <c r="EZ27" s="487">
        <v>0</v>
      </c>
      <c r="FA27" s="487">
        <v>0</v>
      </c>
      <c r="FB27" s="487">
        <v>47.464999999999996</v>
      </c>
      <c r="FC27" s="487">
        <v>0</v>
      </c>
      <c r="FD27" s="487">
        <v>4.09</v>
      </c>
      <c r="FE27" s="487">
        <v>0</v>
      </c>
      <c r="FF27" s="487">
        <v>43.375</v>
      </c>
      <c r="FG27" s="487">
        <v>0</v>
      </c>
      <c r="FH27" s="487">
        <v>0</v>
      </c>
      <c r="FI27" s="487">
        <v>0</v>
      </c>
      <c r="FJ27" s="487">
        <v>0</v>
      </c>
      <c r="FK27" s="487">
        <v>43.375</v>
      </c>
      <c r="FL27" s="487">
        <v>0</v>
      </c>
      <c r="FM27" s="487">
        <v>0</v>
      </c>
      <c r="FN27" s="487">
        <v>0</v>
      </c>
      <c r="FO27" s="487">
        <v>0</v>
      </c>
      <c r="FP27" s="487">
        <v>0</v>
      </c>
      <c r="FQ27" s="487">
        <v>0</v>
      </c>
      <c r="FR27" s="487">
        <v>0</v>
      </c>
      <c r="FS27" s="488">
        <v>4337.6046988578255</v>
      </c>
      <c r="FT27" s="487">
        <v>0</v>
      </c>
      <c r="FU27" s="487">
        <v>0</v>
      </c>
      <c r="FV27" s="487">
        <v>0</v>
      </c>
      <c r="FW27" s="487">
        <v>0</v>
      </c>
      <c r="FX27" s="487">
        <v>0</v>
      </c>
      <c r="FY27" s="487">
        <v>0</v>
      </c>
      <c r="FZ27" s="487">
        <v>0</v>
      </c>
      <c r="GA27" s="487">
        <v>0</v>
      </c>
      <c r="GB27" s="487">
        <v>0</v>
      </c>
      <c r="GC27" s="487">
        <v>0</v>
      </c>
      <c r="GD27" s="487">
        <v>0</v>
      </c>
      <c r="GE27" s="487">
        <v>0</v>
      </c>
      <c r="GF27" s="487">
        <v>0</v>
      </c>
      <c r="GG27" s="487">
        <v>0</v>
      </c>
      <c r="GH27" s="487">
        <v>0</v>
      </c>
      <c r="GI27" s="487">
        <v>0</v>
      </c>
      <c r="GJ27" s="467"/>
      <c r="GK27" s="487">
        <v>0</v>
      </c>
      <c r="GL27" s="467"/>
      <c r="GM27" s="487">
        <v>0</v>
      </c>
      <c r="GN27" s="487">
        <v>0</v>
      </c>
      <c r="GO27" s="467"/>
      <c r="GP27" s="467"/>
      <c r="GQ27" s="487">
        <v>0</v>
      </c>
      <c r="GR27" s="467"/>
      <c r="GS27" s="467"/>
      <c r="GT27" s="487">
        <v>0</v>
      </c>
      <c r="GU27" s="487">
        <v>0</v>
      </c>
      <c r="GV27" s="487">
        <v>0</v>
      </c>
      <c r="GW27" s="487">
        <v>0</v>
      </c>
      <c r="GX27" s="487">
        <v>0</v>
      </c>
      <c r="GY27" s="487">
        <v>0</v>
      </c>
      <c r="GZ27" s="487">
        <v>0</v>
      </c>
      <c r="HA27" s="487">
        <v>0</v>
      </c>
      <c r="HB27" s="487">
        <v>0</v>
      </c>
      <c r="HC27" s="487">
        <v>0</v>
      </c>
      <c r="HD27" s="487">
        <v>0</v>
      </c>
      <c r="HE27" s="487">
        <v>0</v>
      </c>
      <c r="HF27" s="487">
        <v>0</v>
      </c>
      <c r="HG27" s="487">
        <v>0</v>
      </c>
      <c r="HH27" s="487">
        <v>0</v>
      </c>
      <c r="HI27" s="487">
        <v>0</v>
      </c>
      <c r="HJ27" s="487">
        <v>0</v>
      </c>
      <c r="HK27" s="487">
        <v>0</v>
      </c>
      <c r="HL27" s="467"/>
      <c r="HM27" s="467"/>
      <c r="HN27" s="467"/>
      <c r="HO27" s="467"/>
      <c r="HP27" s="467"/>
      <c r="HQ27" s="467"/>
      <c r="HR27" s="467"/>
      <c r="HS27" s="467"/>
      <c r="HT27" s="467"/>
      <c r="HU27" s="467"/>
      <c r="HV27" s="467"/>
      <c r="HW27" s="467"/>
      <c r="HX27" s="467"/>
      <c r="HY27" s="467"/>
      <c r="HZ27" s="467"/>
      <c r="IA27" s="467"/>
      <c r="IB27" s="467"/>
      <c r="IC27" s="467"/>
      <c r="ID27" s="467"/>
      <c r="IE27" s="467"/>
      <c r="IF27" s="467"/>
      <c r="IG27" s="467"/>
      <c r="IH27" s="467"/>
      <c r="II27" s="467"/>
      <c r="IJ27" s="467"/>
      <c r="IK27" s="467"/>
      <c r="IL27" s="467"/>
      <c r="IM27" s="467"/>
      <c r="IN27" s="467"/>
      <c r="IO27" s="467"/>
      <c r="IP27" s="467"/>
      <c r="IQ27" s="467"/>
      <c r="IR27" s="467"/>
      <c r="IS27" s="467"/>
      <c r="IT27" s="467"/>
      <c r="IU27" s="467"/>
      <c r="IV27" s="467"/>
      <c r="IW27" s="467"/>
      <c r="IX27" s="467"/>
      <c r="IY27" s="467"/>
      <c r="IZ27" s="467"/>
      <c r="JA27" s="467"/>
      <c r="JB27" s="467"/>
      <c r="JC27" s="467"/>
      <c r="JD27" s="467"/>
      <c r="JE27" s="467"/>
      <c r="JF27" s="467"/>
      <c r="JG27" s="467"/>
      <c r="JH27" s="467"/>
      <c r="JI27" s="467"/>
      <c r="JJ27" s="467"/>
      <c r="JK27" s="467"/>
      <c r="JL27" s="467"/>
      <c r="JM27" s="467"/>
      <c r="JN27" s="487">
        <v>1952.0620000000004</v>
      </c>
      <c r="JO27" s="487">
        <v>509.88890999999995</v>
      </c>
      <c r="JP27" s="487">
        <v>1875.6537888578246</v>
      </c>
      <c r="JQ27" s="487">
        <v>0</v>
      </c>
      <c r="JR27" s="487">
        <v>0</v>
      </c>
      <c r="JS27" s="488">
        <v>4356.5646988578255</v>
      </c>
      <c r="JT27" s="489">
        <f t="shared" si="10"/>
        <v>18.960000000000719</v>
      </c>
      <c r="JU27" s="487">
        <v>4356.5646988578255</v>
      </c>
      <c r="JV27" s="487">
        <v>4356.5646988578255</v>
      </c>
      <c r="JW27" s="487">
        <v>4356.5646988578255</v>
      </c>
      <c r="JX27" s="487">
        <v>1348</v>
      </c>
      <c r="JY27" s="487">
        <v>1348</v>
      </c>
      <c r="JZ27" s="467"/>
      <c r="KA27" s="487">
        <v>1348</v>
      </c>
      <c r="KB27" s="490">
        <v>0</v>
      </c>
      <c r="KC27" s="487">
        <v>3.938857826142339E-3</v>
      </c>
      <c r="KD27" s="487">
        <v>4356.5607599999994</v>
      </c>
      <c r="KE27" s="487">
        <v>1348</v>
      </c>
      <c r="KF27" s="487">
        <v>0</v>
      </c>
      <c r="KG27" s="491">
        <v>0</v>
      </c>
      <c r="KH27" s="487">
        <v>0</v>
      </c>
      <c r="KI27" s="487">
        <v>3910.5626999999995</v>
      </c>
      <c r="KJ27" s="491">
        <v>3231.87</v>
      </c>
      <c r="KK27" s="487">
        <v>1210</v>
      </c>
      <c r="KL27" s="487">
        <v>445.99806000000001</v>
      </c>
      <c r="KM27" s="491">
        <v>3231.87</v>
      </c>
      <c r="KN27" s="487">
        <v>138</v>
      </c>
      <c r="KO27" s="487">
        <v>0</v>
      </c>
      <c r="KP27" s="491">
        <v>0</v>
      </c>
      <c r="KQ27" s="487">
        <v>0</v>
      </c>
      <c r="KR27" s="467"/>
      <c r="KS27" s="467"/>
      <c r="KT27" s="487">
        <v>6804</v>
      </c>
      <c r="KU27" s="487">
        <v>30</v>
      </c>
      <c r="KV27" s="467"/>
      <c r="KW27" s="487">
        <v>1307.002</v>
      </c>
      <c r="KX27" s="487">
        <v>1.3</v>
      </c>
      <c r="KY27" s="487">
        <v>1.3</v>
      </c>
      <c r="KZ27" s="467"/>
      <c r="LA27" s="487">
        <v>600</v>
      </c>
      <c r="LB27" s="492">
        <v>19</v>
      </c>
      <c r="LC27" s="493">
        <v>2.3E-2</v>
      </c>
      <c r="LD27" s="494">
        <f t="shared" si="11"/>
        <v>4485.5899826713603</v>
      </c>
      <c r="LE27" s="471">
        <f t="shared" si="12"/>
        <v>4485.5899826713603</v>
      </c>
      <c r="LF27" s="495">
        <f t="shared" si="13"/>
        <v>1933.9393557862593</v>
      </c>
      <c r="LG27" s="476">
        <f t="shared" si="14"/>
        <v>1558.9901574313942</v>
      </c>
      <c r="LH27" s="496">
        <f t="shared" si="31"/>
        <v>1.03</v>
      </c>
      <c r="LI27" s="497">
        <f t="shared" si="15"/>
        <v>1558.9901574313942</v>
      </c>
      <c r="LJ27" s="496">
        <f t="shared" si="32"/>
        <v>1.0389999999999999</v>
      </c>
      <c r="LK27" s="497">
        <f t="shared" si="16"/>
        <v>0</v>
      </c>
      <c r="LL27" s="496">
        <f t="shared" si="33"/>
        <v>1.0349999999999999</v>
      </c>
      <c r="LM27" s="497">
        <f t="shared" si="17"/>
        <v>0</v>
      </c>
      <c r="LN27" s="496">
        <f t="shared" si="34"/>
        <v>1.0349999999999999</v>
      </c>
      <c r="LO27" s="497">
        <f t="shared" si="18"/>
        <v>0</v>
      </c>
      <c r="LP27" s="496">
        <f t="shared" si="35"/>
        <v>1.0349999999999999</v>
      </c>
      <c r="LQ27" s="497">
        <f t="shared" si="19"/>
        <v>332.18487592290006</v>
      </c>
      <c r="LR27" s="496">
        <f t="shared" si="36"/>
        <v>1.04</v>
      </c>
      <c r="LS27" s="497">
        <f t="shared" si="20"/>
        <v>42.764322431964871</v>
      </c>
      <c r="LT27" s="499">
        <f t="shared" si="21"/>
        <v>2007.9104938200003</v>
      </c>
      <c r="LU27" s="500">
        <f t="shared" si="22"/>
        <v>1575.0127750500001</v>
      </c>
      <c r="LV27" s="501">
        <f t="shared" si="23"/>
        <v>432.89771877000015</v>
      </c>
      <c r="LW27" s="499">
        <f t="shared" si="24"/>
        <v>524.7801330650999</v>
      </c>
      <c r="LX27" s="500">
        <f t="shared" si="25"/>
        <v>475.65385806509994</v>
      </c>
      <c r="LY27" s="500">
        <f t="shared" si="26"/>
        <v>0</v>
      </c>
      <c r="LZ27" s="502">
        <f t="shared" si="27"/>
        <v>49.126274999999971</v>
      </c>
      <c r="MA27" s="503">
        <f t="shared" si="28"/>
        <v>18.960000000000719</v>
      </c>
      <c r="MB27" s="504">
        <f t="shared" si="29"/>
        <v>0</v>
      </c>
    </row>
    <row r="28" spans="1:340" ht="16.5" customHeight="1">
      <c r="A28" s="505">
        <v>1</v>
      </c>
      <c r="B28" s="506">
        <v>18</v>
      </c>
      <c r="C28" s="507" t="s">
        <v>313</v>
      </c>
      <c r="D28" s="508">
        <v>4633002394</v>
      </c>
      <c r="E28" s="469">
        <f t="shared" si="3"/>
        <v>1043834.839011304</v>
      </c>
      <c r="F28" s="470" t="s">
        <v>281</v>
      </c>
      <c r="G28" s="595">
        <v>1043834.8379792902</v>
      </c>
      <c r="H28" s="595">
        <f t="shared" si="30"/>
        <v>1.0320137953385711E-3</v>
      </c>
      <c r="I28" s="595"/>
      <c r="J28" s="509">
        <f t="shared" si="4"/>
        <v>869862.36584275332</v>
      </c>
      <c r="K28" s="510">
        <f t="shared" si="5"/>
        <v>636689.14585290791</v>
      </c>
      <c r="L28" s="511">
        <f t="shared" si="6"/>
        <v>496511.69110199489</v>
      </c>
      <c r="M28" s="512">
        <v>496511.69110199489</v>
      </c>
      <c r="N28" s="513">
        <v>0</v>
      </c>
      <c r="O28" s="513">
        <v>0</v>
      </c>
      <c r="P28" s="514">
        <v>0</v>
      </c>
      <c r="Q28" s="515">
        <v>135844.52157408002</v>
      </c>
      <c r="R28" s="516">
        <f t="shared" si="7"/>
        <v>4332.9331768329721</v>
      </c>
      <c r="S28" s="517">
        <f t="shared" si="8"/>
        <v>136449.42413505499</v>
      </c>
      <c r="T28" s="518">
        <v>108699.49296193699</v>
      </c>
      <c r="U28" s="519">
        <v>27749.931173117991</v>
      </c>
      <c r="V28" s="520">
        <f t="shared" si="9"/>
        <v>97551.481666029707</v>
      </c>
      <c r="W28" s="521">
        <v>33262.044846352721</v>
      </c>
      <c r="X28" s="518">
        <v>9680</v>
      </c>
      <c r="Y28" s="522">
        <v>54609.436819676986</v>
      </c>
      <c r="Z28" s="523">
        <v>-12518.604671232577</v>
      </c>
      <c r="AA28" s="524">
        <v>11690.918859993399</v>
      </c>
      <c r="AB28" s="486"/>
      <c r="AC28" s="525">
        <v>496511.69110199489</v>
      </c>
      <c r="AD28" s="525">
        <v>496511.69110199489</v>
      </c>
      <c r="AE28" s="525">
        <v>0</v>
      </c>
      <c r="AF28" s="525">
        <v>0</v>
      </c>
      <c r="AG28" s="525">
        <v>0</v>
      </c>
      <c r="AH28" s="525">
        <v>135844.52157408002</v>
      </c>
      <c r="AI28" s="525">
        <v>135844.52157408002</v>
      </c>
      <c r="AJ28" s="525">
        <v>0</v>
      </c>
      <c r="AK28" s="525">
        <v>0</v>
      </c>
      <c r="AL28" s="525">
        <v>0</v>
      </c>
      <c r="AM28" s="525">
        <v>0</v>
      </c>
      <c r="AN28" s="525">
        <v>0</v>
      </c>
      <c r="AO28" s="525">
        <v>0</v>
      </c>
      <c r="AP28" s="525">
        <v>0</v>
      </c>
      <c r="AQ28" s="525">
        <v>0</v>
      </c>
      <c r="AR28" s="525">
        <v>0</v>
      </c>
      <c r="AS28" s="525">
        <v>0</v>
      </c>
      <c r="AT28" s="525">
        <v>0</v>
      </c>
      <c r="AU28" s="525">
        <v>0</v>
      </c>
      <c r="AV28" s="525">
        <v>0</v>
      </c>
      <c r="AW28" s="525">
        <v>0</v>
      </c>
      <c r="AX28" s="525">
        <v>0</v>
      </c>
      <c r="AY28" s="525">
        <v>0</v>
      </c>
      <c r="AZ28" s="525">
        <v>0</v>
      </c>
      <c r="BA28" s="525">
        <v>135844.52157408002</v>
      </c>
      <c r="BB28" s="525">
        <v>21262.916600000004</v>
      </c>
      <c r="BC28" s="525">
        <v>0</v>
      </c>
      <c r="BD28" s="525">
        <v>0</v>
      </c>
      <c r="BE28" s="525">
        <v>0</v>
      </c>
      <c r="BF28" s="525">
        <v>0</v>
      </c>
      <c r="BG28" s="525">
        <v>0</v>
      </c>
      <c r="BH28" s="525">
        <v>0</v>
      </c>
      <c r="BI28" s="525">
        <v>0</v>
      </c>
      <c r="BJ28" s="525">
        <v>135844.52157408002</v>
      </c>
      <c r="BK28" s="525">
        <v>6.3887999999999998</v>
      </c>
      <c r="BL28" s="525">
        <v>21262.916600000004</v>
      </c>
      <c r="BM28" s="525">
        <v>0</v>
      </c>
      <c r="BN28" s="525">
        <v>0</v>
      </c>
      <c r="BO28" s="525">
        <v>0</v>
      </c>
      <c r="BP28" s="525">
        <v>0</v>
      </c>
      <c r="BQ28" s="525">
        <v>0</v>
      </c>
      <c r="BR28" s="525">
        <v>0</v>
      </c>
      <c r="BS28" s="525">
        <v>0</v>
      </c>
      <c r="BT28" s="525">
        <v>0</v>
      </c>
      <c r="BU28" s="525">
        <v>0</v>
      </c>
      <c r="BV28" s="525">
        <v>0</v>
      </c>
      <c r="BW28" s="525">
        <v>0</v>
      </c>
      <c r="BX28" s="525">
        <v>0</v>
      </c>
      <c r="BY28" s="525">
        <v>0</v>
      </c>
      <c r="BZ28" s="525">
        <v>0</v>
      </c>
      <c r="CA28" s="525">
        <v>0</v>
      </c>
      <c r="CB28" s="525">
        <v>0</v>
      </c>
      <c r="CC28" s="525">
        <v>0</v>
      </c>
      <c r="CD28" s="525">
        <v>0</v>
      </c>
      <c r="CE28" s="525">
        <v>0</v>
      </c>
      <c r="CF28" s="525">
        <v>0</v>
      </c>
      <c r="CG28" s="525">
        <v>0</v>
      </c>
      <c r="CH28" s="525">
        <v>0</v>
      </c>
      <c r="CI28" s="525">
        <v>0</v>
      </c>
      <c r="CJ28" s="525">
        <v>0</v>
      </c>
      <c r="CK28" s="525">
        <v>0</v>
      </c>
      <c r="CL28" s="525">
        <v>0</v>
      </c>
      <c r="CM28" s="525">
        <v>108699.49296193699</v>
      </c>
      <c r="CN28" s="525">
        <v>108699.49296193699</v>
      </c>
      <c r="CO28" s="525">
        <v>0</v>
      </c>
      <c r="CP28" s="525">
        <v>0</v>
      </c>
      <c r="CQ28" s="525">
        <v>0</v>
      </c>
      <c r="CR28" s="525">
        <v>0</v>
      </c>
      <c r="CS28" s="525">
        <v>33262.044846352721</v>
      </c>
      <c r="CT28" s="525">
        <v>33262.044846352721</v>
      </c>
      <c r="CU28" s="525">
        <v>0</v>
      </c>
      <c r="CV28" s="525">
        <v>0</v>
      </c>
      <c r="CW28" s="525">
        <v>0</v>
      </c>
      <c r="CX28" s="525">
        <v>0</v>
      </c>
      <c r="CY28" s="525">
        <v>3718.1556472329717</v>
      </c>
      <c r="CZ28" s="526"/>
      <c r="DA28" s="525">
        <v>281.89636973972398</v>
      </c>
      <c r="DB28" s="525">
        <v>614.77752959999998</v>
      </c>
      <c r="DC28" s="526"/>
      <c r="DD28" s="525">
        <v>37.374000000000009</v>
      </c>
      <c r="DE28" s="525">
        <v>0</v>
      </c>
      <c r="DF28" s="525">
        <v>0</v>
      </c>
      <c r="DG28" s="525">
        <v>17088.8998956984</v>
      </c>
      <c r="DH28" s="525">
        <v>921.80787819119996</v>
      </c>
      <c r="DI28" s="525">
        <v>0</v>
      </c>
      <c r="DJ28" s="525">
        <v>16167.092017507199</v>
      </c>
      <c r="DK28" s="525">
        <v>0</v>
      </c>
      <c r="DL28" s="525">
        <v>0</v>
      </c>
      <c r="DM28" s="525">
        <v>0</v>
      </c>
      <c r="DN28" s="525">
        <v>0</v>
      </c>
      <c r="DO28" s="525">
        <v>0</v>
      </c>
      <c r="DP28" s="525">
        <v>1166.3264644415999</v>
      </c>
      <c r="DQ28" s="525">
        <v>0</v>
      </c>
      <c r="DR28" s="525">
        <v>0</v>
      </c>
      <c r="DS28" s="525">
        <v>0</v>
      </c>
      <c r="DT28" s="525">
        <v>1166.3264644415999</v>
      </c>
      <c r="DU28" s="525">
        <v>8774.3267025875994</v>
      </c>
      <c r="DV28" s="525">
        <v>355.27358318760002</v>
      </c>
      <c r="DW28" s="525">
        <v>1050.6559954967997</v>
      </c>
      <c r="DX28" s="525">
        <v>1352.1731401331999</v>
      </c>
      <c r="DY28" s="525">
        <v>0</v>
      </c>
      <c r="DZ28" s="525">
        <v>621.02282513039995</v>
      </c>
      <c r="EA28" s="525">
        <v>0</v>
      </c>
      <c r="EB28" s="525">
        <v>0</v>
      </c>
      <c r="EC28" s="525">
        <v>0</v>
      </c>
      <c r="ED28" s="525">
        <v>0</v>
      </c>
      <c r="EE28" s="525">
        <v>0</v>
      </c>
      <c r="EF28" s="525">
        <v>0</v>
      </c>
      <c r="EG28" s="525">
        <v>5395.2011586396002</v>
      </c>
      <c r="EH28" s="525">
        <v>0</v>
      </c>
      <c r="EI28" s="525">
        <v>0</v>
      </c>
      <c r="EJ28" s="525">
        <v>0</v>
      </c>
      <c r="EK28" s="525">
        <v>0</v>
      </c>
      <c r="EL28" s="525">
        <v>135.2277724644</v>
      </c>
      <c r="EM28" s="525">
        <v>247.86529059599999</v>
      </c>
      <c r="EN28" s="525">
        <v>0</v>
      </c>
      <c r="EO28" s="525">
        <v>0</v>
      </c>
      <c r="EP28" s="525">
        <v>337.28504733</v>
      </c>
      <c r="EQ28" s="525">
        <v>0</v>
      </c>
      <c r="ER28" s="525">
        <v>337.28504733</v>
      </c>
      <c r="ES28" s="525">
        <v>0</v>
      </c>
      <c r="ET28" s="525">
        <v>0</v>
      </c>
      <c r="EU28" s="525">
        <v>0</v>
      </c>
      <c r="EV28" s="525">
        <v>0</v>
      </c>
      <c r="EW28" s="525">
        <v>0</v>
      </c>
      <c r="EX28" s="525">
        <v>0</v>
      </c>
      <c r="EY28" s="525">
        <v>0</v>
      </c>
      <c r="EZ28" s="525">
        <v>0</v>
      </c>
      <c r="FA28" s="525">
        <v>0</v>
      </c>
      <c r="FB28" s="525">
        <v>5573.2517010894153</v>
      </c>
      <c r="FC28" s="525">
        <v>1700</v>
      </c>
      <c r="FD28" s="525">
        <v>341.30000000000007</v>
      </c>
      <c r="FE28" s="525">
        <v>0</v>
      </c>
      <c r="FF28" s="525">
        <v>3531.9517010894156</v>
      </c>
      <c r="FG28" s="525">
        <v>2331.5</v>
      </c>
      <c r="FH28" s="525">
        <v>11.67888908941487</v>
      </c>
      <c r="FI28" s="525">
        <v>211.6</v>
      </c>
      <c r="FJ28" s="525">
        <v>0</v>
      </c>
      <c r="FK28" s="525">
        <v>977.17281200000002</v>
      </c>
      <c r="FL28" s="525">
        <v>13789.057040199999</v>
      </c>
      <c r="FM28" s="525">
        <v>9680</v>
      </c>
      <c r="FN28" s="525">
        <v>9680</v>
      </c>
      <c r="FO28" s="525">
        <v>0</v>
      </c>
      <c r="FP28" s="525">
        <v>3735.26441095891</v>
      </c>
      <c r="FQ28" s="525">
        <v>28589.133952430297</v>
      </c>
      <c r="FR28" s="525">
        <v>2922.7297149983497</v>
      </c>
      <c r="FS28" s="527">
        <v>870690.05165399262</v>
      </c>
      <c r="FT28" s="525">
        <v>0</v>
      </c>
      <c r="FU28" s="525">
        <v>0</v>
      </c>
      <c r="FV28" s="525">
        <v>0</v>
      </c>
      <c r="FW28" s="525">
        <v>0</v>
      </c>
      <c r="FX28" s="525">
        <v>0</v>
      </c>
      <c r="FY28" s="525">
        <v>0</v>
      </c>
      <c r="FZ28" s="525">
        <v>0</v>
      </c>
      <c r="GA28" s="525">
        <v>0</v>
      </c>
      <c r="GB28" s="525">
        <v>0</v>
      </c>
      <c r="GC28" s="525">
        <v>0</v>
      </c>
      <c r="GD28" s="525">
        <v>0</v>
      </c>
      <c r="GE28" s="525">
        <v>0</v>
      </c>
      <c r="GF28" s="525">
        <v>0</v>
      </c>
      <c r="GG28" s="525">
        <v>0</v>
      </c>
      <c r="GH28" s="525">
        <v>11690.918859993399</v>
      </c>
      <c r="GI28" s="525">
        <v>0</v>
      </c>
      <c r="GJ28" s="526"/>
      <c r="GK28" s="525">
        <v>11690.918859993399</v>
      </c>
      <c r="GL28" s="526"/>
      <c r="GM28" s="525">
        <v>0</v>
      </c>
      <c r="GN28" s="525">
        <v>0</v>
      </c>
      <c r="GO28" s="526"/>
      <c r="GP28" s="526"/>
      <c r="GQ28" s="525">
        <v>0</v>
      </c>
      <c r="GR28" s="526"/>
      <c r="GS28" s="526"/>
      <c r="GT28" s="525">
        <v>0</v>
      </c>
      <c r="GU28" s="525">
        <v>0</v>
      </c>
      <c r="GV28" s="525">
        <v>0</v>
      </c>
      <c r="GW28" s="525">
        <v>0</v>
      </c>
      <c r="GX28" s="525">
        <v>0</v>
      </c>
      <c r="GY28" s="525">
        <v>0</v>
      </c>
      <c r="GZ28" s="525">
        <v>0</v>
      </c>
      <c r="HA28" s="525">
        <v>0</v>
      </c>
      <c r="HB28" s="525">
        <v>0</v>
      </c>
      <c r="HC28" s="525">
        <v>0</v>
      </c>
      <c r="HD28" s="525">
        <v>0</v>
      </c>
      <c r="HE28" s="525">
        <v>0</v>
      </c>
      <c r="HF28" s="525">
        <v>0</v>
      </c>
      <c r="HG28" s="525">
        <v>0</v>
      </c>
      <c r="HH28" s="525">
        <v>0</v>
      </c>
      <c r="HI28" s="525">
        <v>0</v>
      </c>
      <c r="HJ28" s="525">
        <v>0</v>
      </c>
      <c r="HK28" s="525">
        <v>0</v>
      </c>
      <c r="HL28" s="526"/>
      <c r="HM28" s="526"/>
      <c r="HN28" s="526"/>
      <c r="HO28" s="526"/>
      <c r="HP28" s="526"/>
      <c r="HQ28" s="526"/>
      <c r="HR28" s="526"/>
      <c r="HS28" s="526"/>
      <c r="HT28" s="526"/>
      <c r="HU28" s="526"/>
      <c r="HV28" s="526"/>
      <c r="HW28" s="526"/>
      <c r="HX28" s="526"/>
      <c r="HY28" s="526"/>
      <c r="HZ28" s="526"/>
      <c r="IA28" s="526"/>
      <c r="IB28" s="526"/>
      <c r="IC28" s="526"/>
      <c r="ID28" s="526"/>
      <c r="IE28" s="526"/>
      <c r="IF28" s="526"/>
      <c r="IG28" s="526"/>
      <c r="IH28" s="526"/>
      <c r="II28" s="526"/>
      <c r="IJ28" s="526"/>
      <c r="IK28" s="526"/>
      <c r="IL28" s="526"/>
      <c r="IM28" s="526"/>
      <c r="IN28" s="526"/>
      <c r="IO28" s="526"/>
      <c r="IP28" s="526"/>
      <c r="IQ28" s="526"/>
      <c r="IR28" s="526"/>
      <c r="IS28" s="526"/>
      <c r="IT28" s="526"/>
      <c r="IU28" s="526"/>
      <c r="IV28" s="526"/>
      <c r="IW28" s="526"/>
      <c r="IX28" s="526"/>
      <c r="IY28" s="526"/>
      <c r="IZ28" s="526"/>
      <c r="JA28" s="526"/>
      <c r="JB28" s="526"/>
      <c r="JC28" s="526"/>
      <c r="JD28" s="526"/>
      <c r="JE28" s="526"/>
      <c r="JF28" s="526"/>
      <c r="JG28" s="526"/>
      <c r="JH28" s="526"/>
      <c r="JI28" s="526"/>
      <c r="JJ28" s="526"/>
      <c r="JK28" s="526"/>
      <c r="JL28" s="526"/>
      <c r="JM28" s="526"/>
      <c r="JN28" s="525">
        <v>136449.42413505499</v>
      </c>
      <c r="JO28" s="525">
        <v>97551.481666029707</v>
      </c>
      <c r="JP28" s="525">
        <v>636689.14585290791</v>
      </c>
      <c r="JQ28" s="525">
        <v>0</v>
      </c>
      <c r="JR28" s="525">
        <v>11690.918859993399</v>
      </c>
      <c r="JS28" s="527">
        <v>869862.36584275332</v>
      </c>
      <c r="JT28" s="528">
        <f t="shared" si="10"/>
        <v>-12518.604671232577</v>
      </c>
      <c r="JU28" s="525">
        <v>1043834.839011304</v>
      </c>
      <c r="JV28" s="525">
        <v>869862.36584275332</v>
      </c>
      <c r="JW28" s="525">
        <v>1043834.839011304</v>
      </c>
      <c r="JX28" s="525">
        <v>543315.58100000001</v>
      </c>
      <c r="JY28" s="525">
        <v>543315.58100000001</v>
      </c>
      <c r="JZ28" s="526"/>
      <c r="KA28" s="525">
        <v>543315.58100000001</v>
      </c>
      <c r="KB28" s="529">
        <v>1.3427187823939102</v>
      </c>
      <c r="KC28" s="525">
        <v>-0.67398050671909004</v>
      </c>
      <c r="KD28" s="525">
        <v>869863.03982326004</v>
      </c>
      <c r="KE28" s="525">
        <v>543315.58100000001</v>
      </c>
      <c r="KF28" s="525">
        <v>0</v>
      </c>
      <c r="KG28" s="530">
        <v>0</v>
      </c>
      <c r="KH28" s="525">
        <v>0</v>
      </c>
      <c r="KI28" s="525">
        <v>98766.776840000006</v>
      </c>
      <c r="KJ28" s="530">
        <v>1601.0176177662506</v>
      </c>
      <c r="KK28" s="525">
        <v>61690</v>
      </c>
      <c r="KL28" s="525">
        <v>705636.73602326005</v>
      </c>
      <c r="KM28" s="530">
        <v>1601.0432704848033</v>
      </c>
      <c r="KN28" s="525">
        <v>440735.58100000001</v>
      </c>
      <c r="KO28" s="525">
        <v>65459.526960000003</v>
      </c>
      <c r="KP28" s="530">
        <v>1600.8688422597213</v>
      </c>
      <c r="KQ28" s="525">
        <v>40890</v>
      </c>
      <c r="KR28" s="526"/>
      <c r="KS28" s="526"/>
      <c r="KT28" s="531">
        <v>124478.7</v>
      </c>
      <c r="KU28" s="531">
        <v>64.3</v>
      </c>
      <c r="KV28" s="526"/>
      <c r="KW28" s="531">
        <v>207427.8</v>
      </c>
      <c r="KX28" s="531">
        <v>111.52</v>
      </c>
      <c r="KY28" s="531">
        <v>79.52</v>
      </c>
      <c r="KZ28" s="526"/>
      <c r="LA28" s="531">
        <v>440735.58</v>
      </c>
      <c r="LB28" s="532">
        <v>95014</v>
      </c>
      <c r="LC28" s="533">
        <v>1.151</v>
      </c>
      <c r="LD28" s="494">
        <f t="shared" si="11"/>
        <v>1076640.4196811912</v>
      </c>
      <c r="LE28" s="509">
        <f t="shared" si="12"/>
        <v>897200.34973432601</v>
      </c>
      <c r="LF28" s="534">
        <f t="shared" si="13"/>
        <v>656512.37216813385</v>
      </c>
      <c r="LG28" s="535">
        <f t="shared" si="14"/>
        <v>511407.04183505476</v>
      </c>
      <c r="LH28" s="536">
        <f t="shared" si="31"/>
        <v>1.03</v>
      </c>
      <c r="LI28" s="537">
        <f t="shared" si="15"/>
        <v>511407.04183505476</v>
      </c>
      <c r="LJ28" s="536">
        <f t="shared" si="32"/>
        <v>1.0389999999999999</v>
      </c>
      <c r="LK28" s="537">
        <f t="shared" si="16"/>
        <v>0</v>
      </c>
      <c r="LL28" s="536">
        <f t="shared" si="33"/>
        <v>1.0349999999999999</v>
      </c>
      <c r="LM28" s="537">
        <f t="shared" si="17"/>
        <v>0</v>
      </c>
      <c r="LN28" s="536">
        <f t="shared" si="34"/>
        <v>1.0349999999999999</v>
      </c>
      <c r="LO28" s="537">
        <f t="shared" si="18"/>
        <v>0</v>
      </c>
      <c r="LP28" s="536">
        <f t="shared" si="35"/>
        <v>1.0349999999999999</v>
      </c>
      <c r="LQ28" s="537">
        <f t="shared" si="19"/>
        <v>140599.07982917281</v>
      </c>
      <c r="LR28" s="536">
        <f t="shared" si="36"/>
        <v>1.04</v>
      </c>
      <c r="LS28" s="537">
        <f t="shared" si="20"/>
        <v>4506.2505039062908</v>
      </c>
      <c r="LT28" s="539">
        <f t="shared" si="21"/>
        <v>140353.2421595589</v>
      </c>
      <c r="LU28" s="540">
        <f t="shared" si="22"/>
        <v>111809.38545557801</v>
      </c>
      <c r="LV28" s="541">
        <f t="shared" si="23"/>
        <v>28543.856703980895</v>
      </c>
      <c r="LW28" s="542">
        <f t="shared" si="24"/>
        <v>100753.23905777255</v>
      </c>
      <c r="LX28" s="540">
        <f t="shared" si="25"/>
        <v>34213.671949406867</v>
      </c>
      <c r="LY28" s="540">
        <f t="shared" si="26"/>
        <v>10018.799999999999</v>
      </c>
      <c r="LZ28" s="543">
        <f t="shared" si="27"/>
        <v>56520.767108365675</v>
      </c>
      <c r="MA28" s="544">
        <f t="shared" si="28"/>
        <v>-12518.604671232577</v>
      </c>
      <c r="MB28" s="545">
        <f t="shared" si="29"/>
        <v>12100.101020093167</v>
      </c>
    </row>
    <row r="29" spans="1:340" ht="16.5" customHeight="1">
      <c r="A29" s="465">
        <v>1</v>
      </c>
      <c r="B29" s="466">
        <v>19</v>
      </c>
      <c r="C29" s="467" t="s">
        <v>298</v>
      </c>
      <c r="D29" s="468">
        <v>4632000330</v>
      </c>
      <c r="E29" s="469">
        <f t="shared" si="3"/>
        <v>227450.28464090405</v>
      </c>
      <c r="F29" s="470" t="s">
        <v>281</v>
      </c>
      <c r="G29" s="595">
        <v>5753.7392</v>
      </c>
      <c r="H29" s="597">
        <f t="shared" si="30"/>
        <v>221696.54544090404</v>
      </c>
      <c r="I29" s="597" t="s">
        <v>857</v>
      </c>
      <c r="J29" s="471">
        <f t="shared" si="4"/>
        <v>189541.90386742004</v>
      </c>
      <c r="K29" s="472">
        <f t="shared" si="5"/>
        <v>103414.22404742002</v>
      </c>
      <c r="L29" s="473">
        <f t="shared" si="6"/>
        <v>85202.474175420022</v>
      </c>
      <c r="M29" s="474">
        <v>85202.474175420022</v>
      </c>
      <c r="N29" s="475">
        <v>0</v>
      </c>
      <c r="O29" s="475">
        <v>0</v>
      </c>
      <c r="P29" s="476">
        <v>0</v>
      </c>
      <c r="Q29" s="477">
        <v>17547.927752000003</v>
      </c>
      <c r="R29" s="478">
        <f t="shared" si="7"/>
        <v>663.82211999999993</v>
      </c>
      <c r="S29" s="479">
        <f t="shared" si="8"/>
        <v>62275.067800000004</v>
      </c>
      <c r="T29" s="479">
        <v>53654.51</v>
      </c>
      <c r="U29" s="480">
        <v>8620.5578000000023</v>
      </c>
      <c r="V29" s="481">
        <f t="shared" si="9"/>
        <v>22037.442019999999</v>
      </c>
      <c r="W29" s="482">
        <v>16203.66202</v>
      </c>
      <c r="X29" s="479">
        <v>3326.3499999999995</v>
      </c>
      <c r="Y29" s="483">
        <v>2507.4299999999994</v>
      </c>
      <c r="Z29" s="484">
        <v>59.790000000012469</v>
      </c>
      <c r="AA29" s="485">
        <v>1755.3800000000003</v>
      </c>
      <c r="AB29" s="486"/>
      <c r="AC29" s="487">
        <v>85202.474175420022</v>
      </c>
      <c r="AD29" s="487">
        <v>85202.474175420022</v>
      </c>
      <c r="AE29" s="487">
        <v>0</v>
      </c>
      <c r="AF29" s="487">
        <v>0</v>
      </c>
      <c r="AG29" s="487">
        <v>0</v>
      </c>
      <c r="AH29" s="487">
        <v>17547.927752000003</v>
      </c>
      <c r="AI29" s="487">
        <v>17547.927752000003</v>
      </c>
      <c r="AJ29" s="487">
        <v>0</v>
      </c>
      <c r="AK29" s="487">
        <v>0</v>
      </c>
      <c r="AL29" s="487">
        <v>0</v>
      </c>
      <c r="AM29" s="487">
        <v>0</v>
      </c>
      <c r="AN29" s="487">
        <v>0</v>
      </c>
      <c r="AO29" s="487">
        <v>0</v>
      </c>
      <c r="AP29" s="487">
        <v>0</v>
      </c>
      <c r="AQ29" s="487">
        <v>0</v>
      </c>
      <c r="AR29" s="487">
        <v>0</v>
      </c>
      <c r="AS29" s="487">
        <v>0</v>
      </c>
      <c r="AT29" s="487">
        <v>0</v>
      </c>
      <c r="AU29" s="487">
        <v>0</v>
      </c>
      <c r="AV29" s="487">
        <v>0</v>
      </c>
      <c r="AW29" s="487">
        <v>0</v>
      </c>
      <c r="AX29" s="487">
        <v>0</v>
      </c>
      <c r="AY29" s="487">
        <v>0</v>
      </c>
      <c r="AZ29" s="487">
        <v>0</v>
      </c>
      <c r="BA29" s="487">
        <v>17547.927752000003</v>
      </c>
      <c r="BB29" s="487">
        <v>2348.6800000000003</v>
      </c>
      <c r="BC29" s="487">
        <v>0</v>
      </c>
      <c r="BD29" s="487">
        <v>0</v>
      </c>
      <c r="BE29" s="487">
        <v>0</v>
      </c>
      <c r="BF29" s="487">
        <v>0</v>
      </c>
      <c r="BG29" s="487">
        <v>0</v>
      </c>
      <c r="BH29" s="487">
        <v>0</v>
      </c>
      <c r="BI29" s="487">
        <v>0</v>
      </c>
      <c r="BJ29" s="487">
        <v>17547.927752000003</v>
      </c>
      <c r="BK29" s="487">
        <v>7.4714</v>
      </c>
      <c r="BL29" s="487">
        <v>2348.6800000000003</v>
      </c>
      <c r="BM29" s="487">
        <v>0</v>
      </c>
      <c r="BN29" s="487">
        <v>0</v>
      </c>
      <c r="BO29" s="487">
        <v>0</v>
      </c>
      <c r="BP29" s="487">
        <v>0</v>
      </c>
      <c r="BQ29" s="487">
        <v>0</v>
      </c>
      <c r="BR29" s="487">
        <v>0</v>
      </c>
      <c r="BS29" s="487">
        <v>0</v>
      </c>
      <c r="BT29" s="487">
        <v>0</v>
      </c>
      <c r="BU29" s="487">
        <v>0</v>
      </c>
      <c r="BV29" s="487">
        <v>0</v>
      </c>
      <c r="BW29" s="487">
        <v>0</v>
      </c>
      <c r="BX29" s="487">
        <v>0</v>
      </c>
      <c r="BY29" s="487">
        <v>0</v>
      </c>
      <c r="BZ29" s="487">
        <v>0</v>
      </c>
      <c r="CA29" s="487">
        <v>0</v>
      </c>
      <c r="CB29" s="487">
        <v>0</v>
      </c>
      <c r="CC29" s="487">
        <v>0</v>
      </c>
      <c r="CD29" s="487">
        <v>0</v>
      </c>
      <c r="CE29" s="487">
        <v>0</v>
      </c>
      <c r="CF29" s="487">
        <v>0</v>
      </c>
      <c r="CG29" s="487">
        <v>0</v>
      </c>
      <c r="CH29" s="487">
        <v>0</v>
      </c>
      <c r="CI29" s="487">
        <v>0</v>
      </c>
      <c r="CJ29" s="487">
        <v>0</v>
      </c>
      <c r="CK29" s="487">
        <v>0</v>
      </c>
      <c r="CL29" s="487">
        <v>0</v>
      </c>
      <c r="CM29" s="487">
        <v>53654.51</v>
      </c>
      <c r="CN29" s="487">
        <v>53654.51</v>
      </c>
      <c r="CO29" s="487">
        <v>0</v>
      </c>
      <c r="CP29" s="487">
        <v>0</v>
      </c>
      <c r="CQ29" s="487">
        <v>0</v>
      </c>
      <c r="CR29" s="487">
        <v>0</v>
      </c>
      <c r="CS29" s="487">
        <v>16203.66202</v>
      </c>
      <c r="CT29" s="487">
        <v>16203.66202</v>
      </c>
      <c r="CU29" s="487">
        <v>0</v>
      </c>
      <c r="CV29" s="487">
        <v>0</v>
      </c>
      <c r="CW29" s="487">
        <v>0</v>
      </c>
      <c r="CX29" s="487">
        <v>0</v>
      </c>
      <c r="CY29" s="487">
        <v>663.82211999999993</v>
      </c>
      <c r="CZ29" s="467"/>
      <c r="DA29" s="487">
        <v>29.983999999999998</v>
      </c>
      <c r="DB29" s="487">
        <v>0</v>
      </c>
      <c r="DC29" s="467"/>
      <c r="DD29" s="487">
        <v>0</v>
      </c>
      <c r="DE29" s="487">
        <v>0</v>
      </c>
      <c r="DF29" s="487">
        <v>0</v>
      </c>
      <c r="DG29" s="487">
        <v>4428.1239999999998</v>
      </c>
      <c r="DH29" s="487">
        <v>0</v>
      </c>
      <c r="DI29" s="487">
        <v>0</v>
      </c>
      <c r="DJ29" s="487">
        <v>972.32399999999996</v>
      </c>
      <c r="DK29" s="487">
        <v>0</v>
      </c>
      <c r="DL29" s="487">
        <v>0</v>
      </c>
      <c r="DM29" s="487">
        <v>0</v>
      </c>
      <c r="DN29" s="487">
        <v>3455.8</v>
      </c>
      <c r="DO29" s="487">
        <v>0</v>
      </c>
      <c r="DP29" s="487">
        <v>8.2563999999999993</v>
      </c>
      <c r="DQ29" s="487">
        <v>0</v>
      </c>
      <c r="DR29" s="487">
        <v>0</v>
      </c>
      <c r="DS29" s="487">
        <v>0</v>
      </c>
      <c r="DT29" s="487">
        <v>8.2563999999999993</v>
      </c>
      <c r="DU29" s="487">
        <v>3960.4233999999997</v>
      </c>
      <c r="DV29" s="487">
        <v>281.10739999999998</v>
      </c>
      <c r="DW29" s="487">
        <v>0</v>
      </c>
      <c r="DX29" s="487">
        <v>78.656000000000006</v>
      </c>
      <c r="DY29" s="487">
        <v>0</v>
      </c>
      <c r="DZ29" s="487">
        <v>669.60000000000014</v>
      </c>
      <c r="EA29" s="487">
        <v>0</v>
      </c>
      <c r="EB29" s="487">
        <v>0</v>
      </c>
      <c r="EC29" s="487">
        <v>0</v>
      </c>
      <c r="ED29" s="487">
        <v>0</v>
      </c>
      <c r="EE29" s="487">
        <v>0</v>
      </c>
      <c r="EF29" s="487">
        <v>0</v>
      </c>
      <c r="EG29" s="487">
        <v>2931.06</v>
      </c>
      <c r="EH29" s="487">
        <v>0</v>
      </c>
      <c r="EI29" s="487">
        <v>0</v>
      </c>
      <c r="EJ29" s="487">
        <v>0</v>
      </c>
      <c r="EK29" s="487">
        <v>0</v>
      </c>
      <c r="EL29" s="487">
        <v>0</v>
      </c>
      <c r="EM29" s="487">
        <v>223.75399999999999</v>
      </c>
      <c r="EN29" s="487">
        <v>0</v>
      </c>
      <c r="EO29" s="487">
        <v>0</v>
      </c>
      <c r="EP29" s="487">
        <v>0</v>
      </c>
      <c r="EQ29" s="487">
        <v>0</v>
      </c>
      <c r="ER29" s="487">
        <v>0</v>
      </c>
      <c r="ES29" s="487">
        <v>0</v>
      </c>
      <c r="ET29" s="487">
        <v>0</v>
      </c>
      <c r="EU29" s="487">
        <v>0</v>
      </c>
      <c r="EV29" s="487">
        <v>0</v>
      </c>
      <c r="EW29" s="487">
        <v>0</v>
      </c>
      <c r="EX29" s="487">
        <v>0</v>
      </c>
      <c r="EY29" s="487">
        <v>0</v>
      </c>
      <c r="EZ29" s="487">
        <v>0</v>
      </c>
      <c r="FA29" s="487">
        <v>0</v>
      </c>
      <c r="FB29" s="487">
        <v>2068.6</v>
      </c>
      <c r="FC29" s="487">
        <v>7.7</v>
      </c>
      <c r="FD29" s="487">
        <v>103.8</v>
      </c>
      <c r="FE29" s="487">
        <v>0</v>
      </c>
      <c r="FF29" s="487">
        <v>1957.1000000000001</v>
      </c>
      <c r="FG29" s="487">
        <v>1887.6</v>
      </c>
      <c r="FH29" s="487">
        <v>0</v>
      </c>
      <c r="FI29" s="487">
        <v>69.5</v>
      </c>
      <c r="FJ29" s="487">
        <v>0</v>
      </c>
      <c r="FK29" s="487">
        <v>0</v>
      </c>
      <c r="FL29" s="487">
        <v>0</v>
      </c>
      <c r="FM29" s="487">
        <v>3326.3499999999995</v>
      </c>
      <c r="FN29" s="487">
        <v>3326.3499999999995</v>
      </c>
      <c r="FO29" s="487">
        <v>0</v>
      </c>
      <c r="FP29" s="487">
        <v>0</v>
      </c>
      <c r="FQ29" s="487">
        <v>0</v>
      </c>
      <c r="FR29" s="487">
        <v>438.83</v>
      </c>
      <c r="FS29" s="488">
        <v>187726.73386742003</v>
      </c>
      <c r="FT29" s="487">
        <v>0</v>
      </c>
      <c r="FU29" s="487">
        <v>0</v>
      </c>
      <c r="FV29" s="487">
        <v>0</v>
      </c>
      <c r="FW29" s="487">
        <v>0</v>
      </c>
      <c r="FX29" s="487">
        <v>0</v>
      </c>
      <c r="FY29" s="487">
        <v>0</v>
      </c>
      <c r="FZ29" s="487">
        <v>0</v>
      </c>
      <c r="GA29" s="487">
        <v>0</v>
      </c>
      <c r="GB29" s="487">
        <v>0</v>
      </c>
      <c r="GC29" s="487">
        <v>0</v>
      </c>
      <c r="GD29" s="487">
        <v>0</v>
      </c>
      <c r="GE29" s="487">
        <v>0</v>
      </c>
      <c r="GF29" s="487">
        <v>0</v>
      </c>
      <c r="GG29" s="487">
        <v>0</v>
      </c>
      <c r="GH29" s="487">
        <v>1755.3800000000003</v>
      </c>
      <c r="GI29" s="487">
        <v>0</v>
      </c>
      <c r="GJ29" s="467"/>
      <c r="GK29" s="487">
        <v>1755.3800000000003</v>
      </c>
      <c r="GL29" s="467"/>
      <c r="GM29" s="487">
        <v>0</v>
      </c>
      <c r="GN29" s="487">
        <v>0</v>
      </c>
      <c r="GO29" s="467"/>
      <c r="GP29" s="467"/>
      <c r="GQ29" s="487">
        <v>0</v>
      </c>
      <c r="GR29" s="467"/>
      <c r="GS29" s="467"/>
      <c r="GT29" s="487">
        <v>0</v>
      </c>
      <c r="GU29" s="487">
        <v>0</v>
      </c>
      <c r="GV29" s="487">
        <v>0</v>
      </c>
      <c r="GW29" s="487">
        <v>0</v>
      </c>
      <c r="GX29" s="487">
        <v>0</v>
      </c>
      <c r="GY29" s="487">
        <v>0</v>
      </c>
      <c r="GZ29" s="487">
        <v>0</v>
      </c>
      <c r="HA29" s="487">
        <v>0</v>
      </c>
      <c r="HB29" s="487">
        <v>0</v>
      </c>
      <c r="HC29" s="487">
        <v>0</v>
      </c>
      <c r="HD29" s="487">
        <v>0</v>
      </c>
      <c r="HE29" s="487">
        <v>0</v>
      </c>
      <c r="HF29" s="487">
        <v>0</v>
      </c>
      <c r="HG29" s="487">
        <v>0</v>
      </c>
      <c r="HH29" s="487">
        <v>0</v>
      </c>
      <c r="HI29" s="487">
        <v>0</v>
      </c>
      <c r="HJ29" s="487">
        <v>0</v>
      </c>
      <c r="HK29" s="487">
        <v>0</v>
      </c>
      <c r="HL29" s="467"/>
      <c r="HM29" s="467"/>
      <c r="HN29" s="467"/>
      <c r="HO29" s="467"/>
      <c r="HP29" s="467"/>
      <c r="HQ29" s="467"/>
      <c r="HR29" s="467"/>
      <c r="HS29" s="467"/>
      <c r="HT29" s="467"/>
      <c r="HU29" s="467"/>
      <c r="HV29" s="467"/>
      <c r="HW29" s="467"/>
      <c r="HX29" s="467"/>
      <c r="HY29" s="467"/>
      <c r="HZ29" s="467"/>
      <c r="IA29" s="467"/>
      <c r="IB29" s="467"/>
      <c r="IC29" s="467"/>
      <c r="ID29" s="467"/>
      <c r="IE29" s="467"/>
      <c r="IF29" s="467"/>
      <c r="IG29" s="467"/>
      <c r="IH29" s="467"/>
      <c r="II29" s="467"/>
      <c r="IJ29" s="467"/>
      <c r="IK29" s="467"/>
      <c r="IL29" s="467"/>
      <c r="IM29" s="467"/>
      <c r="IN29" s="467"/>
      <c r="IO29" s="467"/>
      <c r="IP29" s="467"/>
      <c r="IQ29" s="467"/>
      <c r="IR29" s="467"/>
      <c r="IS29" s="467"/>
      <c r="IT29" s="467"/>
      <c r="IU29" s="467"/>
      <c r="IV29" s="467"/>
      <c r="IW29" s="467"/>
      <c r="IX29" s="467"/>
      <c r="IY29" s="467"/>
      <c r="IZ29" s="467"/>
      <c r="JA29" s="467"/>
      <c r="JB29" s="467"/>
      <c r="JC29" s="467"/>
      <c r="JD29" s="467"/>
      <c r="JE29" s="467"/>
      <c r="JF29" s="467"/>
      <c r="JG29" s="467"/>
      <c r="JH29" s="467"/>
      <c r="JI29" s="467"/>
      <c r="JJ29" s="467"/>
      <c r="JK29" s="467"/>
      <c r="JL29" s="467"/>
      <c r="JM29" s="467"/>
      <c r="JN29" s="487">
        <v>62275.067800000004</v>
      </c>
      <c r="JO29" s="487">
        <v>22037.442019999999</v>
      </c>
      <c r="JP29" s="487">
        <v>103414.22404742002</v>
      </c>
      <c r="JQ29" s="487">
        <v>0</v>
      </c>
      <c r="JR29" s="487">
        <v>1755.3800000000003</v>
      </c>
      <c r="JS29" s="488">
        <v>189541.90386742004</v>
      </c>
      <c r="JT29" s="489">
        <f t="shared" si="10"/>
        <v>59.790000000012469</v>
      </c>
      <c r="JU29" s="487">
        <v>227450.28464090405</v>
      </c>
      <c r="JV29" s="487">
        <v>189541.90386742004</v>
      </c>
      <c r="JW29" s="487">
        <v>227450.28464090405</v>
      </c>
      <c r="JX29" s="487">
        <v>99179.72</v>
      </c>
      <c r="JY29" s="487">
        <v>99179.72</v>
      </c>
      <c r="JZ29" s="467"/>
      <c r="KA29" s="487">
        <v>1733</v>
      </c>
      <c r="KB29" s="490">
        <v>0.93507193346245421</v>
      </c>
      <c r="KC29" s="487">
        <v>4.9306200271530543E-3</v>
      </c>
      <c r="KD29" s="487">
        <v>189541.89893680002</v>
      </c>
      <c r="KE29" s="487">
        <v>99179.72</v>
      </c>
      <c r="KF29" s="487">
        <v>184747.11307680001</v>
      </c>
      <c r="KG29" s="491">
        <v>1895.8782099264092</v>
      </c>
      <c r="KH29" s="487">
        <v>97446.720000000001</v>
      </c>
      <c r="KI29" s="487">
        <v>1808.27998</v>
      </c>
      <c r="KJ29" s="491">
        <v>2769.1883307810108</v>
      </c>
      <c r="KK29" s="487">
        <v>653</v>
      </c>
      <c r="KL29" s="487">
        <v>1752.5932399999999</v>
      </c>
      <c r="KM29" s="491">
        <v>2764.3426498422714</v>
      </c>
      <c r="KN29" s="487">
        <v>634</v>
      </c>
      <c r="KO29" s="487">
        <v>1233.91264</v>
      </c>
      <c r="KP29" s="491">
        <v>2766.6202690582959</v>
      </c>
      <c r="KQ29" s="487">
        <v>446</v>
      </c>
      <c r="KR29" s="467"/>
      <c r="KS29" s="467"/>
      <c r="KT29" s="487">
        <v>153390.29999999999</v>
      </c>
      <c r="KU29" s="487">
        <v>28</v>
      </c>
      <c r="KV29" s="467"/>
      <c r="KW29" s="487">
        <v>389</v>
      </c>
      <c r="KX29" s="487">
        <v>1.17</v>
      </c>
      <c r="KY29" s="487">
        <v>1.17</v>
      </c>
      <c r="KZ29" s="467"/>
      <c r="LA29" s="487">
        <v>89.552000000000007</v>
      </c>
      <c r="LB29" s="492">
        <v>106</v>
      </c>
      <c r="LC29" s="493">
        <v>0.11</v>
      </c>
      <c r="LD29" s="494">
        <f t="shared" si="11"/>
        <v>234299.5266107434</v>
      </c>
      <c r="LE29" s="471">
        <f t="shared" si="12"/>
        <v>195249.60550895284</v>
      </c>
      <c r="LF29" s="495">
        <f t="shared" si="13"/>
        <v>106611.02862880263</v>
      </c>
      <c r="LG29" s="476">
        <f t="shared" si="14"/>
        <v>87758.54840068263</v>
      </c>
      <c r="LH29" s="496">
        <f t="shared" si="31"/>
        <v>1.03</v>
      </c>
      <c r="LI29" s="497">
        <f t="shared" si="15"/>
        <v>87758.54840068263</v>
      </c>
      <c r="LJ29" s="496">
        <f t="shared" si="32"/>
        <v>1.0389999999999999</v>
      </c>
      <c r="LK29" s="497">
        <f t="shared" si="16"/>
        <v>0</v>
      </c>
      <c r="LL29" s="496">
        <f t="shared" si="33"/>
        <v>1.0349999999999999</v>
      </c>
      <c r="LM29" s="497">
        <f t="shared" si="17"/>
        <v>0</v>
      </c>
      <c r="LN29" s="496">
        <f t="shared" si="34"/>
        <v>1.0349999999999999</v>
      </c>
      <c r="LO29" s="497">
        <f t="shared" si="18"/>
        <v>0</v>
      </c>
      <c r="LP29" s="496">
        <f t="shared" si="35"/>
        <v>1.0349999999999999</v>
      </c>
      <c r="LQ29" s="497">
        <f t="shared" si="19"/>
        <v>18162.105223320003</v>
      </c>
      <c r="LR29" s="496">
        <f t="shared" si="36"/>
        <v>1.04</v>
      </c>
      <c r="LS29" s="497">
        <f t="shared" si="20"/>
        <v>690.37500479999994</v>
      </c>
      <c r="LT29" s="499">
        <f t="shared" si="21"/>
        <v>64056.757489757991</v>
      </c>
      <c r="LU29" s="500">
        <f t="shared" si="22"/>
        <v>55189.565531099994</v>
      </c>
      <c r="LV29" s="501">
        <f t="shared" si="23"/>
        <v>8867.1919586580007</v>
      </c>
      <c r="LW29" s="499">
        <f t="shared" si="24"/>
        <v>22705.211090392193</v>
      </c>
      <c r="LX29" s="500">
        <f t="shared" si="25"/>
        <v>16667.248790392197</v>
      </c>
      <c r="LY29" s="500">
        <f t="shared" si="26"/>
        <v>3442.7722499999991</v>
      </c>
      <c r="LZ29" s="502">
        <f t="shared" si="27"/>
        <v>2595.1900499999992</v>
      </c>
      <c r="MA29" s="503">
        <f t="shared" si="28"/>
        <v>59.790000000012469</v>
      </c>
      <c r="MB29" s="504">
        <f t="shared" si="29"/>
        <v>1816.8183000000001</v>
      </c>
    </row>
    <row r="30" spans="1:340" ht="16.5" customHeight="1">
      <c r="A30" s="505">
        <v>1</v>
      </c>
      <c r="B30" s="506">
        <v>20</v>
      </c>
      <c r="C30" s="507" t="s">
        <v>20</v>
      </c>
      <c r="D30" s="508">
        <v>4634008455</v>
      </c>
      <c r="E30" s="469">
        <f t="shared" si="3"/>
        <v>20738.022219113096</v>
      </c>
      <c r="F30" s="470" t="s">
        <v>287</v>
      </c>
      <c r="G30" s="595">
        <v>20737.99584</v>
      </c>
      <c r="H30" s="597">
        <f t="shared" si="30"/>
        <v>2.6379113096481888E-2</v>
      </c>
      <c r="I30" s="597" t="s">
        <v>860</v>
      </c>
      <c r="J30" s="509">
        <f t="shared" si="4"/>
        <v>20738.022219113096</v>
      </c>
      <c r="K30" s="510">
        <f t="shared" si="5"/>
        <v>10672.582259113105</v>
      </c>
      <c r="L30" s="511">
        <f t="shared" si="6"/>
        <v>0</v>
      </c>
      <c r="M30" s="512">
        <v>0</v>
      </c>
      <c r="N30" s="513">
        <v>0</v>
      </c>
      <c r="O30" s="513">
        <v>0</v>
      </c>
      <c r="P30" s="514">
        <v>0</v>
      </c>
      <c r="Q30" s="515">
        <v>10512.122259113106</v>
      </c>
      <c r="R30" s="516">
        <f t="shared" si="7"/>
        <v>160.46</v>
      </c>
      <c r="S30" s="517">
        <f t="shared" si="8"/>
        <v>5498.4499999999989</v>
      </c>
      <c r="T30" s="518">
        <v>4498.7299999999996</v>
      </c>
      <c r="U30" s="519">
        <v>999.71999999999935</v>
      </c>
      <c r="V30" s="520">
        <f t="shared" si="9"/>
        <v>4114.4499599999999</v>
      </c>
      <c r="W30" s="521">
        <v>1358.6164600000002</v>
      </c>
      <c r="X30" s="518">
        <v>1074.95</v>
      </c>
      <c r="Y30" s="522">
        <v>1680.8834999999997</v>
      </c>
      <c r="Z30" s="523">
        <v>351.93999999999539</v>
      </c>
      <c r="AA30" s="524">
        <v>100.6</v>
      </c>
      <c r="AB30" s="486"/>
      <c r="AC30" s="525">
        <v>0</v>
      </c>
      <c r="AD30" s="525">
        <v>0</v>
      </c>
      <c r="AE30" s="525">
        <v>0</v>
      </c>
      <c r="AF30" s="525">
        <v>0</v>
      </c>
      <c r="AG30" s="525">
        <v>0</v>
      </c>
      <c r="AH30" s="525">
        <v>10512.122259113106</v>
      </c>
      <c r="AI30" s="525">
        <v>10512.122259113106</v>
      </c>
      <c r="AJ30" s="525">
        <v>9201.3347391131065</v>
      </c>
      <c r="AK30" s="525">
        <v>9201.3347391131065</v>
      </c>
      <c r="AL30" s="525">
        <v>9201.3347391131065</v>
      </c>
      <c r="AM30" s="525">
        <v>32.192999999999998</v>
      </c>
      <c r="AN30" s="525">
        <v>285.8178715594417</v>
      </c>
      <c r="AO30" s="525">
        <v>0</v>
      </c>
      <c r="AP30" s="525">
        <v>0</v>
      </c>
      <c r="AQ30" s="525">
        <v>0</v>
      </c>
      <c r="AR30" s="525">
        <v>0</v>
      </c>
      <c r="AS30" s="525">
        <v>0</v>
      </c>
      <c r="AT30" s="525">
        <v>0</v>
      </c>
      <c r="AU30" s="525">
        <v>0</v>
      </c>
      <c r="AV30" s="525">
        <v>0</v>
      </c>
      <c r="AW30" s="525">
        <v>0</v>
      </c>
      <c r="AX30" s="525">
        <v>0</v>
      </c>
      <c r="AY30" s="525">
        <v>0</v>
      </c>
      <c r="AZ30" s="525">
        <v>0</v>
      </c>
      <c r="BA30" s="525">
        <v>1310.7875199999999</v>
      </c>
      <c r="BB30" s="525">
        <v>154.57399999999998</v>
      </c>
      <c r="BC30" s="525">
        <v>0</v>
      </c>
      <c r="BD30" s="525">
        <v>1310.7875199999999</v>
      </c>
      <c r="BE30" s="525">
        <v>8.48</v>
      </c>
      <c r="BF30" s="525">
        <v>154.57399999999998</v>
      </c>
      <c r="BG30" s="525">
        <v>0</v>
      </c>
      <c r="BH30" s="525">
        <v>0</v>
      </c>
      <c r="BI30" s="525">
        <v>0</v>
      </c>
      <c r="BJ30" s="525">
        <v>0</v>
      </c>
      <c r="BK30" s="525">
        <v>0</v>
      </c>
      <c r="BL30" s="525">
        <v>0</v>
      </c>
      <c r="BM30" s="525">
        <v>0</v>
      </c>
      <c r="BN30" s="525">
        <v>0</v>
      </c>
      <c r="BO30" s="525">
        <v>0</v>
      </c>
      <c r="BP30" s="525">
        <v>0</v>
      </c>
      <c r="BQ30" s="525">
        <v>0</v>
      </c>
      <c r="BR30" s="525">
        <v>0</v>
      </c>
      <c r="BS30" s="525">
        <v>0</v>
      </c>
      <c r="BT30" s="525">
        <v>0</v>
      </c>
      <c r="BU30" s="525">
        <v>0</v>
      </c>
      <c r="BV30" s="525">
        <v>0</v>
      </c>
      <c r="BW30" s="525">
        <v>0</v>
      </c>
      <c r="BX30" s="525">
        <v>0</v>
      </c>
      <c r="BY30" s="525">
        <v>0</v>
      </c>
      <c r="BZ30" s="525">
        <v>0</v>
      </c>
      <c r="CA30" s="525">
        <v>0</v>
      </c>
      <c r="CB30" s="525">
        <v>0</v>
      </c>
      <c r="CC30" s="525">
        <v>0</v>
      </c>
      <c r="CD30" s="525">
        <v>0</v>
      </c>
      <c r="CE30" s="525">
        <v>0</v>
      </c>
      <c r="CF30" s="525">
        <v>0</v>
      </c>
      <c r="CG30" s="525">
        <v>0</v>
      </c>
      <c r="CH30" s="525">
        <v>0</v>
      </c>
      <c r="CI30" s="525">
        <v>0</v>
      </c>
      <c r="CJ30" s="525">
        <v>0</v>
      </c>
      <c r="CK30" s="525">
        <v>0</v>
      </c>
      <c r="CL30" s="525">
        <v>0</v>
      </c>
      <c r="CM30" s="525">
        <v>4498.7299999999996</v>
      </c>
      <c r="CN30" s="525">
        <v>1912.9999999999998</v>
      </c>
      <c r="CO30" s="525">
        <v>0</v>
      </c>
      <c r="CP30" s="525">
        <v>256.83</v>
      </c>
      <c r="CQ30" s="525">
        <v>2328.9</v>
      </c>
      <c r="CR30" s="525">
        <v>0</v>
      </c>
      <c r="CS30" s="525">
        <v>1358.6164600000002</v>
      </c>
      <c r="CT30" s="525">
        <v>577.726</v>
      </c>
      <c r="CU30" s="525">
        <v>0</v>
      </c>
      <c r="CV30" s="525">
        <v>77.562659999999994</v>
      </c>
      <c r="CW30" s="525">
        <v>703.32780000000002</v>
      </c>
      <c r="CX30" s="525">
        <v>0</v>
      </c>
      <c r="CY30" s="525">
        <v>0</v>
      </c>
      <c r="CZ30" s="526"/>
      <c r="DA30" s="525">
        <v>0</v>
      </c>
      <c r="DB30" s="525">
        <v>0</v>
      </c>
      <c r="DC30" s="526"/>
      <c r="DD30" s="525">
        <v>0</v>
      </c>
      <c r="DE30" s="525">
        <v>160.46</v>
      </c>
      <c r="DF30" s="525">
        <v>0</v>
      </c>
      <c r="DG30" s="525">
        <v>234.12</v>
      </c>
      <c r="DH30" s="525">
        <v>0</v>
      </c>
      <c r="DI30" s="525">
        <v>0</v>
      </c>
      <c r="DJ30" s="525">
        <v>234.12</v>
      </c>
      <c r="DK30" s="525">
        <v>0</v>
      </c>
      <c r="DL30" s="525">
        <v>0</v>
      </c>
      <c r="DM30" s="525">
        <v>0</v>
      </c>
      <c r="DN30" s="525">
        <v>0</v>
      </c>
      <c r="DO30" s="525">
        <v>0</v>
      </c>
      <c r="DP30" s="525">
        <v>604.9</v>
      </c>
      <c r="DQ30" s="525">
        <v>0</v>
      </c>
      <c r="DR30" s="525">
        <v>0</v>
      </c>
      <c r="DS30" s="525">
        <v>0</v>
      </c>
      <c r="DT30" s="525">
        <v>604.9</v>
      </c>
      <c r="DU30" s="525">
        <v>0</v>
      </c>
      <c r="DV30" s="525">
        <v>0</v>
      </c>
      <c r="DW30" s="525">
        <v>0</v>
      </c>
      <c r="DX30" s="525">
        <v>0</v>
      </c>
      <c r="DY30" s="525">
        <v>0</v>
      </c>
      <c r="DZ30" s="525">
        <v>0</v>
      </c>
      <c r="EA30" s="525">
        <v>0</v>
      </c>
      <c r="EB30" s="525">
        <v>0</v>
      </c>
      <c r="EC30" s="525">
        <v>0</v>
      </c>
      <c r="ED30" s="525">
        <v>0</v>
      </c>
      <c r="EE30" s="525">
        <v>0</v>
      </c>
      <c r="EF30" s="525">
        <v>0</v>
      </c>
      <c r="EG30" s="525">
        <v>0</v>
      </c>
      <c r="EH30" s="525">
        <v>17.999999999999996</v>
      </c>
      <c r="EI30" s="525">
        <v>0</v>
      </c>
      <c r="EJ30" s="525">
        <v>17.999999999999996</v>
      </c>
      <c r="EK30" s="525">
        <v>0</v>
      </c>
      <c r="EL30" s="525">
        <v>0</v>
      </c>
      <c r="EM30" s="525">
        <v>7.4</v>
      </c>
      <c r="EN30" s="525">
        <v>0</v>
      </c>
      <c r="EO30" s="525">
        <v>0</v>
      </c>
      <c r="EP30" s="525">
        <v>153.30000000000001</v>
      </c>
      <c r="EQ30" s="525">
        <v>0</v>
      </c>
      <c r="ER30" s="525">
        <v>153.30000000000001</v>
      </c>
      <c r="ES30" s="525">
        <v>0</v>
      </c>
      <c r="ET30" s="525">
        <v>17.999999999999996</v>
      </c>
      <c r="EU30" s="525">
        <v>17.999999999999996</v>
      </c>
      <c r="EV30" s="525">
        <v>0</v>
      </c>
      <c r="EW30" s="525">
        <v>0</v>
      </c>
      <c r="EX30" s="525">
        <v>0</v>
      </c>
      <c r="EY30" s="525">
        <v>0</v>
      </c>
      <c r="EZ30" s="525">
        <v>0</v>
      </c>
      <c r="FA30" s="525">
        <v>0</v>
      </c>
      <c r="FB30" s="525">
        <v>418.62349999999998</v>
      </c>
      <c r="FC30" s="525">
        <v>12.286499999999998</v>
      </c>
      <c r="FD30" s="525">
        <v>8.1620000000000008</v>
      </c>
      <c r="FE30" s="525">
        <v>389.03499999999997</v>
      </c>
      <c r="FF30" s="525">
        <v>9.14</v>
      </c>
      <c r="FG30" s="525">
        <v>0</v>
      </c>
      <c r="FH30" s="525">
        <v>0</v>
      </c>
      <c r="FI30" s="525">
        <v>9.14</v>
      </c>
      <c r="FJ30" s="525">
        <v>0</v>
      </c>
      <c r="FK30" s="525">
        <v>0</v>
      </c>
      <c r="FL30" s="525">
        <v>0</v>
      </c>
      <c r="FM30" s="525">
        <v>1074.95</v>
      </c>
      <c r="FN30" s="525">
        <v>1074.95</v>
      </c>
      <c r="FO30" s="525">
        <v>0</v>
      </c>
      <c r="FP30" s="525">
        <v>0</v>
      </c>
      <c r="FQ30" s="525">
        <v>0</v>
      </c>
      <c r="FR30" s="525">
        <v>1244.26</v>
      </c>
      <c r="FS30" s="527">
        <v>20285.482219113102</v>
      </c>
      <c r="FT30" s="525">
        <v>0</v>
      </c>
      <c r="FU30" s="525">
        <v>0</v>
      </c>
      <c r="FV30" s="525">
        <v>0</v>
      </c>
      <c r="FW30" s="525">
        <v>0</v>
      </c>
      <c r="FX30" s="525">
        <v>0</v>
      </c>
      <c r="FY30" s="525">
        <v>0</v>
      </c>
      <c r="FZ30" s="525">
        <v>0</v>
      </c>
      <c r="GA30" s="525">
        <v>0</v>
      </c>
      <c r="GB30" s="525">
        <v>0</v>
      </c>
      <c r="GC30" s="525">
        <v>0</v>
      </c>
      <c r="GD30" s="525">
        <v>0</v>
      </c>
      <c r="GE30" s="525">
        <v>0</v>
      </c>
      <c r="GF30" s="525">
        <v>0</v>
      </c>
      <c r="GG30" s="525">
        <v>0</v>
      </c>
      <c r="GH30" s="525">
        <v>100.6</v>
      </c>
      <c r="GI30" s="525">
        <v>0</v>
      </c>
      <c r="GJ30" s="526"/>
      <c r="GK30" s="525">
        <v>100.6</v>
      </c>
      <c r="GL30" s="526"/>
      <c r="GM30" s="525">
        <v>0</v>
      </c>
      <c r="GN30" s="525">
        <v>0</v>
      </c>
      <c r="GO30" s="526"/>
      <c r="GP30" s="526"/>
      <c r="GQ30" s="525">
        <v>0</v>
      </c>
      <c r="GR30" s="526"/>
      <c r="GS30" s="526"/>
      <c r="GT30" s="525">
        <v>0</v>
      </c>
      <c r="GU30" s="525">
        <v>0</v>
      </c>
      <c r="GV30" s="525">
        <v>0</v>
      </c>
      <c r="GW30" s="525">
        <v>0</v>
      </c>
      <c r="GX30" s="525">
        <v>0</v>
      </c>
      <c r="GY30" s="525">
        <v>0</v>
      </c>
      <c r="GZ30" s="525">
        <v>0</v>
      </c>
      <c r="HA30" s="525">
        <v>0</v>
      </c>
      <c r="HB30" s="525">
        <v>0</v>
      </c>
      <c r="HC30" s="525">
        <v>0</v>
      </c>
      <c r="HD30" s="525">
        <v>0</v>
      </c>
      <c r="HE30" s="525">
        <v>0</v>
      </c>
      <c r="HF30" s="525">
        <v>0</v>
      </c>
      <c r="HG30" s="525">
        <v>0</v>
      </c>
      <c r="HH30" s="525">
        <v>0</v>
      </c>
      <c r="HI30" s="525">
        <v>0</v>
      </c>
      <c r="HJ30" s="525">
        <v>0</v>
      </c>
      <c r="HK30" s="525">
        <v>0</v>
      </c>
      <c r="HL30" s="526"/>
      <c r="HM30" s="526"/>
      <c r="HN30" s="526"/>
      <c r="HO30" s="526"/>
      <c r="HP30" s="526"/>
      <c r="HQ30" s="526"/>
      <c r="HR30" s="526"/>
      <c r="HS30" s="526"/>
      <c r="HT30" s="526"/>
      <c r="HU30" s="526"/>
      <c r="HV30" s="526"/>
      <c r="HW30" s="526"/>
      <c r="HX30" s="526"/>
      <c r="HY30" s="526"/>
      <c r="HZ30" s="526"/>
      <c r="IA30" s="526"/>
      <c r="IB30" s="526"/>
      <c r="IC30" s="526"/>
      <c r="ID30" s="526"/>
      <c r="IE30" s="526"/>
      <c r="IF30" s="526"/>
      <c r="IG30" s="526"/>
      <c r="IH30" s="526"/>
      <c r="II30" s="526"/>
      <c r="IJ30" s="526"/>
      <c r="IK30" s="526"/>
      <c r="IL30" s="526"/>
      <c r="IM30" s="526"/>
      <c r="IN30" s="526"/>
      <c r="IO30" s="526"/>
      <c r="IP30" s="526"/>
      <c r="IQ30" s="526"/>
      <c r="IR30" s="526"/>
      <c r="IS30" s="526"/>
      <c r="IT30" s="526"/>
      <c r="IU30" s="526"/>
      <c r="IV30" s="526"/>
      <c r="IW30" s="526"/>
      <c r="IX30" s="526"/>
      <c r="IY30" s="526"/>
      <c r="IZ30" s="526"/>
      <c r="JA30" s="526"/>
      <c r="JB30" s="526"/>
      <c r="JC30" s="526"/>
      <c r="JD30" s="526"/>
      <c r="JE30" s="526"/>
      <c r="JF30" s="526"/>
      <c r="JG30" s="526"/>
      <c r="JH30" s="526"/>
      <c r="JI30" s="526"/>
      <c r="JJ30" s="526"/>
      <c r="JK30" s="526"/>
      <c r="JL30" s="526"/>
      <c r="JM30" s="526"/>
      <c r="JN30" s="525">
        <v>5498.4499999999989</v>
      </c>
      <c r="JO30" s="525">
        <v>4114.4499599999999</v>
      </c>
      <c r="JP30" s="525">
        <v>10672.582259113105</v>
      </c>
      <c r="JQ30" s="525">
        <v>0</v>
      </c>
      <c r="JR30" s="525">
        <v>100.6</v>
      </c>
      <c r="JS30" s="527">
        <v>20738.0222191131</v>
      </c>
      <c r="JT30" s="528">
        <f t="shared" si="10"/>
        <v>351.93999999999539</v>
      </c>
      <c r="JU30" s="525">
        <v>20738.0222191131</v>
      </c>
      <c r="JV30" s="525">
        <v>20738.0222191131</v>
      </c>
      <c r="JW30" s="525">
        <v>20738.0222191131</v>
      </c>
      <c r="JX30" s="525">
        <v>28761.9999999998</v>
      </c>
      <c r="JY30" s="525">
        <v>28761.9999999998</v>
      </c>
      <c r="JZ30" s="526"/>
      <c r="KA30" s="525">
        <v>28761.9999999998</v>
      </c>
      <c r="KB30" s="529">
        <v>0.49592116624772214</v>
      </c>
      <c r="KC30" s="525">
        <v>2.6379113249276998E-2</v>
      </c>
      <c r="KD30" s="525">
        <v>20737.99583999985</v>
      </c>
      <c r="KE30" s="525">
        <v>28761.9999999998</v>
      </c>
      <c r="KF30" s="525">
        <v>0</v>
      </c>
      <c r="KG30" s="530">
        <v>0</v>
      </c>
      <c r="KH30" s="525">
        <v>0</v>
      </c>
      <c r="KI30" s="525">
        <v>2231.0641799999999</v>
      </c>
      <c r="KJ30" s="530">
        <v>718.07665915674272</v>
      </c>
      <c r="KK30" s="525">
        <v>3107</v>
      </c>
      <c r="KL30" s="525">
        <v>4073.2783799998529</v>
      </c>
      <c r="KM30" s="530">
        <v>722.5968387440123</v>
      </c>
      <c r="KN30" s="525">
        <v>5636.9999999997999</v>
      </c>
      <c r="KO30" s="525">
        <v>14433.65328</v>
      </c>
      <c r="KP30" s="530">
        <v>721.03373363972435</v>
      </c>
      <c r="KQ30" s="525">
        <v>20018</v>
      </c>
      <c r="KR30" s="526"/>
      <c r="KS30" s="526"/>
      <c r="KT30" s="531"/>
      <c r="KU30" s="531"/>
      <c r="KV30" s="526"/>
      <c r="KW30" s="531">
        <v>57.454099999999997</v>
      </c>
      <c r="KX30" s="531">
        <v>29.226800000000001</v>
      </c>
      <c r="KY30" s="531">
        <v>15.693200000000001</v>
      </c>
      <c r="KZ30" s="526"/>
      <c r="LA30" s="531">
        <v>5428.9</v>
      </c>
      <c r="LB30" s="532">
        <v>1140</v>
      </c>
      <c r="LC30" s="533">
        <v>0.505</v>
      </c>
      <c r="LD30" s="494">
        <f t="shared" si="11"/>
        <v>21408.520742102657</v>
      </c>
      <c r="LE30" s="509">
        <f t="shared" si="12"/>
        <v>21408.520742102657</v>
      </c>
      <c r="LF30" s="534">
        <f t="shared" si="13"/>
        <v>11046.924938182065</v>
      </c>
      <c r="LG30" s="535">
        <f t="shared" si="14"/>
        <v>0</v>
      </c>
      <c r="LH30" s="536">
        <f t="shared" si="31"/>
        <v>1.03</v>
      </c>
      <c r="LI30" s="537">
        <f t="shared" si="15"/>
        <v>0</v>
      </c>
      <c r="LJ30" s="536">
        <f t="shared" si="32"/>
        <v>1.0389999999999999</v>
      </c>
      <c r="LK30" s="537">
        <f t="shared" si="16"/>
        <v>0</v>
      </c>
      <c r="LL30" s="536">
        <f t="shared" si="33"/>
        <v>1.0349999999999999</v>
      </c>
      <c r="LM30" s="537">
        <f t="shared" si="17"/>
        <v>0</v>
      </c>
      <c r="LN30" s="536">
        <f t="shared" si="34"/>
        <v>1.0349999999999999</v>
      </c>
      <c r="LO30" s="537">
        <f t="shared" si="18"/>
        <v>0</v>
      </c>
      <c r="LP30" s="536">
        <f t="shared" si="35"/>
        <v>1.0349999999999999</v>
      </c>
      <c r="LQ30" s="537">
        <f t="shared" si="19"/>
        <v>10880.046538182065</v>
      </c>
      <c r="LR30" s="536">
        <f t="shared" si="36"/>
        <v>1.04</v>
      </c>
      <c r="LS30" s="537">
        <f t="shared" si="20"/>
        <v>166.87840000000003</v>
      </c>
      <c r="LT30" s="539">
        <f t="shared" si="21"/>
        <v>5655.7606544999981</v>
      </c>
      <c r="LU30" s="540">
        <f t="shared" si="22"/>
        <v>4627.4386652999992</v>
      </c>
      <c r="LV30" s="541">
        <f t="shared" si="23"/>
        <v>1028.3219891999993</v>
      </c>
      <c r="LW30" s="542">
        <f t="shared" si="24"/>
        <v>4249.7741494205993</v>
      </c>
      <c r="LX30" s="540">
        <f t="shared" si="25"/>
        <v>1397.4864769206001</v>
      </c>
      <c r="LY30" s="540">
        <f t="shared" si="26"/>
        <v>1112.5732499999999</v>
      </c>
      <c r="LZ30" s="543">
        <f t="shared" si="27"/>
        <v>1739.7144224999995</v>
      </c>
      <c r="MA30" s="544">
        <f t="shared" si="28"/>
        <v>351.93999999999539</v>
      </c>
      <c r="MB30" s="545">
        <f t="shared" si="29"/>
        <v>104.12099999999998</v>
      </c>
    </row>
    <row r="31" spans="1:340" ht="16.5" customHeight="1">
      <c r="A31" s="465">
        <v>1</v>
      </c>
      <c r="B31" s="466">
        <v>21</v>
      </c>
      <c r="C31" s="467" t="s">
        <v>299</v>
      </c>
      <c r="D31" s="468">
        <v>4634002573</v>
      </c>
      <c r="E31" s="469">
        <f t="shared" si="3"/>
        <v>212293.20878574596</v>
      </c>
      <c r="F31" s="470" t="s">
        <v>281</v>
      </c>
      <c r="G31" s="595">
        <v>212292.94775329999</v>
      </c>
      <c r="H31" s="595">
        <f t="shared" si="30"/>
        <v>0.26103244596743025</v>
      </c>
      <c r="I31" s="595"/>
      <c r="J31" s="471">
        <f t="shared" si="4"/>
        <v>176911.00732145496</v>
      </c>
      <c r="K31" s="472">
        <f t="shared" si="5"/>
        <v>89922.741621454901</v>
      </c>
      <c r="L31" s="473">
        <f t="shared" si="6"/>
        <v>0</v>
      </c>
      <c r="M31" s="474">
        <v>0</v>
      </c>
      <c r="N31" s="475">
        <v>0</v>
      </c>
      <c r="O31" s="475">
        <v>0</v>
      </c>
      <c r="P31" s="476">
        <v>0</v>
      </c>
      <c r="Q31" s="477">
        <v>89922.741621454901</v>
      </c>
      <c r="R31" s="478">
        <f t="shared" si="7"/>
        <v>0</v>
      </c>
      <c r="S31" s="479">
        <f t="shared" si="8"/>
        <v>48666.469999999994</v>
      </c>
      <c r="T31" s="479">
        <v>39277.599999999999</v>
      </c>
      <c r="U31" s="480">
        <v>9388.8699999999953</v>
      </c>
      <c r="V31" s="481">
        <f t="shared" si="9"/>
        <v>37231.015700000047</v>
      </c>
      <c r="W31" s="482">
        <v>11861.8352</v>
      </c>
      <c r="X31" s="479">
        <v>21160.00000000004</v>
      </c>
      <c r="Y31" s="483">
        <v>4209.1805000000058</v>
      </c>
      <c r="Z31" s="484">
        <v>-237.81999999998652</v>
      </c>
      <c r="AA31" s="485">
        <v>1328.6</v>
      </c>
      <c r="AB31" s="486"/>
      <c r="AC31" s="487">
        <v>0</v>
      </c>
      <c r="AD31" s="487">
        <v>0</v>
      </c>
      <c r="AE31" s="487">
        <v>0</v>
      </c>
      <c r="AF31" s="487">
        <v>0</v>
      </c>
      <c r="AG31" s="487">
        <v>0</v>
      </c>
      <c r="AH31" s="487">
        <v>89922.741621454901</v>
      </c>
      <c r="AI31" s="487">
        <v>89922.741621454901</v>
      </c>
      <c r="AJ31" s="487">
        <v>80002.654994723998</v>
      </c>
      <c r="AK31" s="487">
        <v>80002.654994723998</v>
      </c>
      <c r="AL31" s="487">
        <v>80002.654994723998</v>
      </c>
      <c r="AM31" s="487">
        <v>336.40512000000001</v>
      </c>
      <c r="AN31" s="487">
        <v>237.81640123290632</v>
      </c>
      <c r="AO31" s="487">
        <v>0</v>
      </c>
      <c r="AP31" s="487">
        <v>0</v>
      </c>
      <c r="AQ31" s="487">
        <v>0</v>
      </c>
      <c r="AR31" s="487">
        <v>0</v>
      </c>
      <c r="AS31" s="487">
        <v>0</v>
      </c>
      <c r="AT31" s="487">
        <v>0</v>
      </c>
      <c r="AU31" s="487">
        <v>0</v>
      </c>
      <c r="AV31" s="487">
        <v>0</v>
      </c>
      <c r="AW31" s="487">
        <v>0</v>
      </c>
      <c r="AX31" s="487">
        <v>0</v>
      </c>
      <c r="AY31" s="487">
        <v>0</v>
      </c>
      <c r="AZ31" s="487">
        <v>2811.7299999999996</v>
      </c>
      <c r="BA31" s="487">
        <v>7108.3566267309125</v>
      </c>
      <c r="BB31" s="487">
        <v>863.59999999998831</v>
      </c>
      <c r="BC31" s="487">
        <v>0</v>
      </c>
      <c r="BD31" s="487">
        <v>0</v>
      </c>
      <c r="BE31" s="487">
        <v>0</v>
      </c>
      <c r="BF31" s="487">
        <v>0</v>
      </c>
      <c r="BG31" s="487">
        <v>0</v>
      </c>
      <c r="BH31" s="487">
        <v>0</v>
      </c>
      <c r="BI31" s="487">
        <v>0</v>
      </c>
      <c r="BJ31" s="487">
        <v>7108.3566267309125</v>
      </c>
      <c r="BK31" s="487">
        <v>8.2310752972800003</v>
      </c>
      <c r="BL31" s="487">
        <v>863.59999999998831</v>
      </c>
      <c r="BM31" s="487">
        <v>0</v>
      </c>
      <c r="BN31" s="487">
        <v>0</v>
      </c>
      <c r="BO31" s="487">
        <v>0</v>
      </c>
      <c r="BP31" s="487">
        <v>0</v>
      </c>
      <c r="BQ31" s="487">
        <v>0</v>
      </c>
      <c r="BR31" s="487">
        <v>0</v>
      </c>
      <c r="BS31" s="487">
        <v>0</v>
      </c>
      <c r="BT31" s="487">
        <v>0</v>
      </c>
      <c r="BU31" s="487">
        <v>0</v>
      </c>
      <c r="BV31" s="487">
        <v>0</v>
      </c>
      <c r="BW31" s="487">
        <v>0</v>
      </c>
      <c r="BX31" s="487">
        <v>0</v>
      </c>
      <c r="BY31" s="487">
        <v>0</v>
      </c>
      <c r="BZ31" s="487">
        <v>0</v>
      </c>
      <c r="CA31" s="487">
        <v>0</v>
      </c>
      <c r="CB31" s="487">
        <v>0</v>
      </c>
      <c r="CC31" s="487">
        <v>0</v>
      </c>
      <c r="CD31" s="487">
        <v>0</v>
      </c>
      <c r="CE31" s="487">
        <v>0</v>
      </c>
      <c r="CF31" s="487">
        <v>0</v>
      </c>
      <c r="CG31" s="487">
        <v>0</v>
      </c>
      <c r="CH31" s="487">
        <v>0</v>
      </c>
      <c r="CI31" s="487">
        <v>0</v>
      </c>
      <c r="CJ31" s="487">
        <v>0</v>
      </c>
      <c r="CK31" s="487">
        <v>0</v>
      </c>
      <c r="CL31" s="487">
        <v>0</v>
      </c>
      <c r="CM31" s="487">
        <v>39277.599999999999</v>
      </c>
      <c r="CN31" s="487">
        <v>39277.599999999999</v>
      </c>
      <c r="CO31" s="487">
        <v>0</v>
      </c>
      <c r="CP31" s="487">
        <v>0</v>
      </c>
      <c r="CQ31" s="487">
        <v>0</v>
      </c>
      <c r="CR31" s="487">
        <v>0</v>
      </c>
      <c r="CS31" s="487">
        <v>11861.8352</v>
      </c>
      <c r="CT31" s="487">
        <v>11861.8352</v>
      </c>
      <c r="CU31" s="487">
        <v>0</v>
      </c>
      <c r="CV31" s="487">
        <v>0</v>
      </c>
      <c r="CW31" s="487">
        <v>0</v>
      </c>
      <c r="CX31" s="487">
        <v>0</v>
      </c>
      <c r="CY31" s="487">
        <v>0</v>
      </c>
      <c r="CZ31" s="467"/>
      <c r="DA31" s="487">
        <v>0</v>
      </c>
      <c r="DB31" s="487">
        <v>0</v>
      </c>
      <c r="DC31" s="467"/>
      <c r="DD31" s="487">
        <v>0</v>
      </c>
      <c r="DE31" s="487">
        <v>0</v>
      </c>
      <c r="DF31" s="487">
        <v>0</v>
      </c>
      <c r="DG31" s="487">
        <v>2292.6999999999998</v>
      </c>
      <c r="DH31" s="487">
        <v>0</v>
      </c>
      <c r="DI31" s="487">
        <v>0</v>
      </c>
      <c r="DJ31" s="487">
        <v>2292.6999999999998</v>
      </c>
      <c r="DK31" s="487">
        <v>0</v>
      </c>
      <c r="DL31" s="487">
        <v>0</v>
      </c>
      <c r="DM31" s="487">
        <v>0</v>
      </c>
      <c r="DN31" s="487">
        <v>0</v>
      </c>
      <c r="DO31" s="487">
        <v>0</v>
      </c>
      <c r="DP31" s="487">
        <v>2539.8299999999995</v>
      </c>
      <c r="DQ31" s="487">
        <v>0</v>
      </c>
      <c r="DR31" s="487">
        <v>0</v>
      </c>
      <c r="DS31" s="487">
        <v>0</v>
      </c>
      <c r="DT31" s="487">
        <v>2539.8299999999995</v>
      </c>
      <c r="DU31" s="487">
        <v>354.01999999999992</v>
      </c>
      <c r="DV31" s="487">
        <v>174.87</v>
      </c>
      <c r="DW31" s="487">
        <v>0</v>
      </c>
      <c r="DX31" s="487">
        <v>0</v>
      </c>
      <c r="DY31" s="487">
        <v>0</v>
      </c>
      <c r="DZ31" s="487">
        <v>0</v>
      </c>
      <c r="EA31" s="487">
        <v>179.15</v>
      </c>
      <c r="EB31" s="487">
        <v>0</v>
      </c>
      <c r="EC31" s="487">
        <v>0</v>
      </c>
      <c r="ED31" s="487">
        <v>0</v>
      </c>
      <c r="EE31" s="487">
        <v>0</v>
      </c>
      <c r="EF31" s="487">
        <v>0</v>
      </c>
      <c r="EG31" s="487">
        <v>0</v>
      </c>
      <c r="EH31" s="487">
        <v>25.62</v>
      </c>
      <c r="EI31" s="487">
        <v>0</v>
      </c>
      <c r="EJ31" s="487">
        <v>25.62</v>
      </c>
      <c r="EK31" s="487">
        <v>0</v>
      </c>
      <c r="EL31" s="487">
        <v>13.18</v>
      </c>
      <c r="EM31" s="487">
        <v>175.18</v>
      </c>
      <c r="EN31" s="487">
        <v>0</v>
      </c>
      <c r="EO31" s="487">
        <v>254.20000000000002</v>
      </c>
      <c r="EP31" s="487">
        <v>3759.7599999999998</v>
      </c>
      <c r="EQ31" s="487">
        <v>0</v>
      </c>
      <c r="ER31" s="487">
        <v>3759.7599999999998</v>
      </c>
      <c r="ES31" s="487">
        <v>0</v>
      </c>
      <c r="ET31" s="487">
        <v>25.62</v>
      </c>
      <c r="EU31" s="487">
        <v>25.62</v>
      </c>
      <c r="EV31" s="487">
        <v>0</v>
      </c>
      <c r="EW31" s="487">
        <v>0</v>
      </c>
      <c r="EX31" s="487">
        <v>0</v>
      </c>
      <c r="EY31" s="487">
        <v>0</v>
      </c>
      <c r="EZ31" s="487">
        <v>0</v>
      </c>
      <c r="FA31" s="487">
        <v>0</v>
      </c>
      <c r="FB31" s="487">
        <v>2476.8000000000043</v>
      </c>
      <c r="FC31" s="487">
        <v>24.5</v>
      </c>
      <c r="FD31" s="487">
        <v>170.50000000000756</v>
      </c>
      <c r="FE31" s="487">
        <v>0</v>
      </c>
      <c r="FF31" s="487">
        <v>2281.799999999997</v>
      </c>
      <c r="FG31" s="487">
        <v>2151.5999999999967</v>
      </c>
      <c r="FH31" s="487">
        <v>0</v>
      </c>
      <c r="FI31" s="487">
        <v>130.19999999999999</v>
      </c>
      <c r="FJ31" s="487">
        <v>0</v>
      </c>
      <c r="FK31" s="487">
        <v>0</v>
      </c>
      <c r="FL31" s="487">
        <v>0</v>
      </c>
      <c r="FM31" s="487">
        <v>21160.00000000004</v>
      </c>
      <c r="FN31" s="487">
        <v>21160.00000000004</v>
      </c>
      <c r="FO31" s="487">
        <v>0</v>
      </c>
      <c r="FP31" s="487">
        <v>0</v>
      </c>
      <c r="FQ31" s="487">
        <v>1374.6105</v>
      </c>
      <c r="FR31" s="487">
        <v>332.15</v>
      </c>
      <c r="FS31" s="488">
        <v>175820.22732145496</v>
      </c>
      <c r="FT31" s="487">
        <v>0</v>
      </c>
      <c r="FU31" s="487">
        <v>0</v>
      </c>
      <c r="FV31" s="487">
        <v>0</v>
      </c>
      <c r="FW31" s="487">
        <v>0</v>
      </c>
      <c r="FX31" s="487">
        <v>0</v>
      </c>
      <c r="FY31" s="487">
        <v>0</v>
      </c>
      <c r="FZ31" s="487">
        <v>0</v>
      </c>
      <c r="GA31" s="487">
        <v>0</v>
      </c>
      <c r="GB31" s="487">
        <v>0</v>
      </c>
      <c r="GC31" s="487">
        <v>0</v>
      </c>
      <c r="GD31" s="487">
        <v>0</v>
      </c>
      <c r="GE31" s="487">
        <v>0</v>
      </c>
      <c r="GF31" s="487">
        <v>0</v>
      </c>
      <c r="GG31" s="487">
        <v>0</v>
      </c>
      <c r="GH31" s="487">
        <v>1328.6</v>
      </c>
      <c r="GI31" s="487">
        <v>0</v>
      </c>
      <c r="GJ31" s="467"/>
      <c r="GK31" s="487">
        <v>1328.6</v>
      </c>
      <c r="GL31" s="467"/>
      <c r="GM31" s="487">
        <v>0</v>
      </c>
      <c r="GN31" s="487">
        <v>0</v>
      </c>
      <c r="GO31" s="467"/>
      <c r="GP31" s="467"/>
      <c r="GQ31" s="487">
        <v>0</v>
      </c>
      <c r="GR31" s="467"/>
      <c r="GS31" s="467"/>
      <c r="GT31" s="487">
        <v>0</v>
      </c>
      <c r="GU31" s="487">
        <v>0</v>
      </c>
      <c r="GV31" s="487">
        <v>0</v>
      </c>
      <c r="GW31" s="487">
        <v>0</v>
      </c>
      <c r="GX31" s="487">
        <v>0</v>
      </c>
      <c r="GY31" s="487">
        <v>0</v>
      </c>
      <c r="GZ31" s="487">
        <v>0</v>
      </c>
      <c r="HA31" s="487">
        <v>0</v>
      </c>
      <c r="HB31" s="487">
        <v>0</v>
      </c>
      <c r="HC31" s="487">
        <v>0</v>
      </c>
      <c r="HD31" s="487">
        <v>0</v>
      </c>
      <c r="HE31" s="487">
        <v>0</v>
      </c>
      <c r="HF31" s="487">
        <v>0</v>
      </c>
      <c r="HG31" s="487">
        <v>0</v>
      </c>
      <c r="HH31" s="487">
        <v>0</v>
      </c>
      <c r="HI31" s="487">
        <v>0</v>
      </c>
      <c r="HJ31" s="487">
        <v>0</v>
      </c>
      <c r="HK31" s="487">
        <v>0</v>
      </c>
      <c r="HL31" s="467"/>
      <c r="HM31" s="467"/>
      <c r="HN31" s="467"/>
      <c r="HO31" s="467"/>
      <c r="HP31" s="467"/>
      <c r="HQ31" s="467"/>
      <c r="HR31" s="467"/>
      <c r="HS31" s="467"/>
      <c r="HT31" s="467"/>
      <c r="HU31" s="467"/>
      <c r="HV31" s="467"/>
      <c r="HW31" s="467"/>
      <c r="HX31" s="467"/>
      <c r="HY31" s="467"/>
      <c r="HZ31" s="467"/>
      <c r="IA31" s="467"/>
      <c r="IB31" s="467"/>
      <c r="IC31" s="467"/>
      <c r="ID31" s="467"/>
      <c r="IE31" s="467"/>
      <c r="IF31" s="467"/>
      <c r="IG31" s="467"/>
      <c r="IH31" s="467"/>
      <c r="II31" s="467"/>
      <c r="IJ31" s="467"/>
      <c r="IK31" s="467"/>
      <c r="IL31" s="467"/>
      <c r="IM31" s="467"/>
      <c r="IN31" s="467"/>
      <c r="IO31" s="467"/>
      <c r="IP31" s="467"/>
      <c r="IQ31" s="467"/>
      <c r="IR31" s="467"/>
      <c r="IS31" s="467"/>
      <c r="IT31" s="467"/>
      <c r="IU31" s="467"/>
      <c r="IV31" s="467"/>
      <c r="IW31" s="467"/>
      <c r="IX31" s="467"/>
      <c r="IY31" s="467"/>
      <c r="IZ31" s="467"/>
      <c r="JA31" s="467"/>
      <c r="JB31" s="467"/>
      <c r="JC31" s="467"/>
      <c r="JD31" s="467"/>
      <c r="JE31" s="467"/>
      <c r="JF31" s="467"/>
      <c r="JG31" s="467"/>
      <c r="JH31" s="467"/>
      <c r="JI31" s="467"/>
      <c r="JJ31" s="467"/>
      <c r="JK31" s="467"/>
      <c r="JL31" s="467"/>
      <c r="JM31" s="467"/>
      <c r="JN31" s="487">
        <v>48666.469999999994</v>
      </c>
      <c r="JO31" s="487">
        <v>37231.015700000047</v>
      </c>
      <c r="JP31" s="487">
        <v>89922.741621454901</v>
      </c>
      <c r="JQ31" s="487">
        <v>0</v>
      </c>
      <c r="JR31" s="487">
        <v>1328.6</v>
      </c>
      <c r="JS31" s="488">
        <v>176911.00732145496</v>
      </c>
      <c r="JT31" s="489">
        <f t="shared" si="10"/>
        <v>-237.81999999998652</v>
      </c>
      <c r="JU31" s="487">
        <v>212293.20878574596</v>
      </c>
      <c r="JV31" s="487">
        <v>176911.00732145496</v>
      </c>
      <c r="JW31" s="487">
        <v>212293.20878574596</v>
      </c>
      <c r="JX31" s="487">
        <v>299499.99799999996</v>
      </c>
      <c r="JY31" s="487">
        <v>299499.99799999996</v>
      </c>
      <c r="JZ31" s="467"/>
      <c r="KA31" s="487">
        <v>299499.99799999996</v>
      </c>
      <c r="KB31" s="490">
        <v>0.75565821989918092</v>
      </c>
      <c r="KC31" s="487">
        <v>-4.4178250118420692E-3</v>
      </c>
      <c r="KD31" s="487">
        <v>176911.01173927999</v>
      </c>
      <c r="KE31" s="487">
        <v>299499.99799999996</v>
      </c>
      <c r="KF31" s="487">
        <v>0</v>
      </c>
      <c r="KG31" s="491">
        <v>0</v>
      </c>
      <c r="KH31" s="487">
        <v>0</v>
      </c>
      <c r="KI31" s="487">
        <v>22777.550568599996</v>
      </c>
      <c r="KJ31" s="491">
        <v>590.0308405502019</v>
      </c>
      <c r="KK31" s="487">
        <v>38604</v>
      </c>
      <c r="KL31" s="487">
        <v>129525.20959107998</v>
      </c>
      <c r="KM31" s="491">
        <v>590.85731065634616</v>
      </c>
      <c r="KN31" s="487">
        <v>219215.71799999999</v>
      </c>
      <c r="KO31" s="487">
        <v>24608.251579600001</v>
      </c>
      <c r="KP31" s="491">
        <v>590.40514074281646</v>
      </c>
      <c r="KQ31" s="487">
        <v>41680.28</v>
      </c>
      <c r="KR31" s="467"/>
      <c r="KS31" s="467"/>
      <c r="KT31" s="487"/>
      <c r="KU31" s="487"/>
      <c r="KV31" s="467"/>
      <c r="KW31" s="487">
        <v>329169.8</v>
      </c>
      <c r="KX31" s="487">
        <v>70.08</v>
      </c>
      <c r="KY31" s="487">
        <v>38.299999999999997</v>
      </c>
      <c r="KZ31" s="467"/>
      <c r="LA31" s="487">
        <v>7089.88</v>
      </c>
      <c r="LB31" s="492">
        <v>40811</v>
      </c>
      <c r="LC31" s="493">
        <v>0.4</v>
      </c>
      <c r="LD31" s="494">
        <f t="shared" si="11"/>
        <v>219269.32848897344</v>
      </c>
      <c r="LE31" s="471">
        <f t="shared" si="12"/>
        <v>182724.44040747787</v>
      </c>
      <c r="LF31" s="495">
        <f t="shared" si="13"/>
        <v>93070.037578205811</v>
      </c>
      <c r="LG31" s="476">
        <f t="shared" si="14"/>
        <v>0</v>
      </c>
      <c r="LH31" s="496">
        <f t="shared" si="31"/>
        <v>1.03</v>
      </c>
      <c r="LI31" s="497">
        <f t="shared" si="15"/>
        <v>0</v>
      </c>
      <c r="LJ31" s="496">
        <f t="shared" si="32"/>
        <v>1.0389999999999999</v>
      </c>
      <c r="LK31" s="497">
        <f t="shared" si="16"/>
        <v>0</v>
      </c>
      <c r="LL31" s="496">
        <f t="shared" si="33"/>
        <v>1.0349999999999999</v>
      </c>
      <c r="LM31" s="497">
        <f t="shared" si="17"/>
        <v>0</v>
      </c>
      <c r="LN31" s="496">
        <f t="shared" si="34"/>
        <v>1.0349999999999999</v>
      </c>
      <c r="LO31" s="497">
        <f t="shared" si="18"/>
        <v>0</v>
      </c>
      <c r="LP31" s="496">
        <f t="shared" si="35"/>
        <v>1.0349999999999999</v>
      </c>
      <c r="LQ31" s="497">
        <f t="shared" si="19"/>
        <v>93070.037578205811</v>
      </c>
      <c r="LR31" s="496">
        <f t="shared" si="36"/>
        <v>1.04</v>
      </c>
      <c r="LS31" s="497">
        <f t="shared" si="20"/>
        <v>0</v>
      </c>
      <c r="LT31" s="499">
        <f t="shared" si="21"/>
        <v>50058.817706699992</v>
      </c>
      <c r="LU31" s="500">
        <f t="shared" si="22"/>
        <v>40401.332135999997</v>
      </c>
      <c r="LV31" s="501">
        <f t="shared" si="23"/>
        <v>9657.4855706999952</v>
      </c>
      <c r="LW31" s="499">
        <f t="shared" si="24"/>
        <v>38458.304122572044</v>
      </c>
      <c r="LX31" s="500">
        <f t="shared" si="25"/>
        <v>12201.202305072</v>
      </c>
      <c r="LY31" s="500">
        <f t="shared" si="26"/>
        <v>21900.600000000039</v>
      </c>
      <c r="LZ31" s="502">
        <f t="shared" si="27"/>
        <v>4356.5018175000059</v>
      </c>
      <c r="MA31" s="503">
        <f t="shared" si="28"/>
        <v>-237.81999999998652</v>
      </c>
      <c r="MB31" s="504">
        <f t="shared" si="29"/>
        <v>1375.1009999999999</v>
      </c>
    </row>
    <row r="32" spans="1:340" ht="16.5" customHeight="1">
      <c r="A32" s="505">
        <v>1</v>
      </c>
      <c r="B32" s="506">
        <v>22</v>
      </c>
      <c r="C32" s="507" t="s">
        <v>300</v>
      </c>
      <c r="D32" s="508">
        <v>4623002116</v>
      </c>
      <c r="E32" s="469">
        <f t="shared" si="3"/>
        <v>21661.261490235847</v>
      </c>
      <c r="F32" s="470" t="s">
        <v>287</v>
      </c>
      <c r="G32" s="595">
        <v>21661.267019999999</v>
      </c>
      <c r="H32" s="595">
        <f t="shared" si="30"/>
        <v>-5.5297641520155594E-3</v>
      </c>
      <c r="I32" s="595"/>
      <c r="J32" s="509">
        <f t="shared" si="4"/>
        <v>21661.261490235847</v>
      </c>
      <c r="K32" s="510">
        <f t="shared" si="5"/>
        <v>11445.255656507847</v>
      </c>
      <c r="L32" s="511">
        <f t="shared" si="6"/>
        <v>9481.2504468138704</v>
      </c>
      <c r="M32" s="512">
        <v>9481.2504468138704</v>
      </c>
      <c r="N32" s="513">
        <v>0</v>
      </c>
      <c r="O32" s="513">
        <v>0</v>
      </c>
      <c r="P32" s="514">
        <v>0</v>
      </c>
      <c r="Q32" s="515">
        <v>1950.8382136944488</v>
      </c>
      <c r="R32" s="516">
        <f t="shared" si="7"/>
        <v>13.166995999527014</v>
      </c>
      <c r="S32" s="517">
        <f t="shared" si="8"/>
        <v>7864.9736857280004</v>
      </c>
      <c r="T32" s="518">
        <v>6949.9740000000002</v>
      </c>
      <c r="U32" s="519">
        <v>914.99968572800026</v>
      </c>
      <c r="V32" s="520">
        <f t="shared" si="9"/>
        <v>3673.9521480000003</v>
      </c>
      <c r="W32" s="521">
        <v>2098.8921480000004</v>
      </c>
      <c r="X32" s="518">
        <v>262.64</v>
      </c>
      <c r="Y32" s="522">
        <v>1312.42</v>
      </c>
      <c r="Z32" s="523">
        <v>-2487.3500000000004</v>
      </c>
      <c r="AA32" s="524">
        <v>1164.43</v>
      </c>
      <c r="AB32" s="486"/>
      <c r="AC32" s="525">
        <v>9481.2504468138704</v>
      </c>
      <c r="AD32" s="525">
        <v>9481.2504468138704</v>
      </c>
      <c r="AE32" s="525">
        <v>0</v>
      </c>
      <c r="AF32" s="525">
        <v>0</v>
      </c>
      <c r="AG32" s="525">
        <v>0</v>
      </c>
      <c r="AH32" s="525">
        <v>1950.8382136944488</v>
      </c>
      <c r="AI32" s="525">
        <v>1950.8382136944488</v>
      </c>
      <c r="AJ32" s="525">
        <v>0</v>
      </c>
      <c r="AK32" s="525">
        <v>0</v>
      </c>
      <c r="AL32" s="525">
        <v>0</v>
      </c>
      <c r="AM32" s="525">
        <v>0</v>
      </c>
      <c r="AN32" s="525">
        <v>0</v>
      </c>
      <c r="AO32" s="525">
        <v>0</v>
      </c>
      <c r="AP32" s="525">
        <v>0</v>
      </c>
      <c r="AQ32" s="525">
        <v>0</v>
      </c>
      <c r="AR32" s="525">
        <v>0</v>
      </c>
      <c r="AS32" s="525">
        <v>0</v>
      </c>
      <c r="AT32" s="525">
        <v>0</v>
      </c>
      <c r="AU32" s="525">
        <v>0</v>
      </c>
      <c r="AV32" s="525">
        <v>0</v>
      </c>
      <c r="AW32" s="525">
        <v>0</v>
      </c>
      <c r="AX32" s="525">
        <v>0</v>
      </c>
      <c r="AY32" s="525">
        <v>0</v>
      </c>
      <c r="AZ32" s="525">
        <v>0</v>
      </c>
      <c r="BA32" s="525">
        <v>1950.8382136944488</v>
      </c>
      <c r="BB32" s="525">
        <v>218.05114888109009</v>
      </c>
      <c r="BC32" s="525">
        <v>0</v>
      </c>
      <c r="BD32" s="525">
        <v>1950.8382136944488</v>
      </c>
      <c r="BE32" s="525">
        <v>8.9466999999999999</v>
      </c>
      <c r="BF32" s="525">
        <v>218.05114888109009</v>
      </c>
      <c r="BG32" s="525">
        <v>0</v>
      </c>
      <c r="BH32" s="525">
        <v>0</v>
      </c>
      <c r="BI32" s="525">
        <v>0</v>
      </c>
      <c r="BJ32" s="525">
        <v>0</v>
      </c>
      <c r="BK32" s="525">
        <v>0</v>
      </c>
      <c r="BL32" s="525">
        <v>0</v>
      </c>
      <c r="BM32" s="525">
        <v>0</v>
      </c>
      <c r="BN32" s="525">
        <v>0</v>
      </c>
      <c r="BO32" s="525">
        <v>0</v>
      </c>
      <c r="BP32" s="525">
        <v>0</v>
      </c>
      <c r="BQ32" s="525">
        <v>0</v>
      </c>
      <c r="BR32" s="525">
        <v>0</v>
      </c>
      <c r="BS32" s="525">
        <v>0</v>
      </c>
      <c r="BT32" s="525">
        <v>0</v>
      </c>
      <c r="BU32" s="525">
        <v>0</v>
      </c>
      <c r="BV32" s="525">
        <v>0</v>
      </c>
      <c r="BW32" s="525">
        <v>0</v>
      </c>
      <c r="BX32" s="525">
        <v>0</v>
      </c>
      <c r="BY32" s="525">
        <v>0</v>
      </c>
      <c r="BZ32" s="525">
        <v>0</v>
      </c>
      <c r="CA32" s="525">
        <v>0</v>
      </c>
      <c r="CB32" s="525">
        <v>0</v>
      </c>
      <c r="CC32" s="525">
        <v>0</v>
      </c>
      <c r="CD32" s="525">
        <v>0</v>
      </c>
      <c r="CE32" s="525">
        <v>0</v>
      </c>
      <c r="CF32" s="525">
        <v>0</v>
      </c>
      <c r="CG32" s="525">
        <v>0</v>
      </c>
      <c r="CH32" s="525">
        <v>0</v>
      </c>
      <c r="CI32" s="525">
        <v>0</v>
      </c>
      <c r="CJ32" s="525">
        <v>0</v>
      </c>
      <c r="CK32" s="525">
        <v>0</v>
      </c>
      <c r="CL32" s="525">
        <v>0</v>
      </c>
      <c r="CM32" s="525">
        <v>6949.9740000000002</v>
      </c>
      <c r="CN32" s="525">
        <v>3650.94</v>
      </c>
      <c r="CO32" s="525">
        <v>0</v>
      </c>
      <c r="CP32" s="525">
        <v>1574.7439999999999</v>
      </c>
      <c r="CQ32" s="525">
        <v>1724.29</v>
      </c>
      <c r="CR32" s="525">
        <v>0</v>
      </c>
      <c r="CS32" s="525">
        <v>2098.8921480000004</v>
      </c>
      <c r="CT32" s="525">
        <v>1102.5838800000001</v>
      </c>
      <c r="CU32" s="525">
        <v>0</v>
      </c>
      <c r="CV32" s="525">
        <v>475.57268799999997</v>
      </c>
      <c r="CW32" s="525">
        <v>520.73558000000003</v>
      </c>
      <c r="CX32" s="525">
        <v>0</v>
      </c>
      <c r="CY32" s="525">
        <v>13.166995999527014</v>
      </c>
      <c r="CZ32" s="526"/>
      <c r="DA32" s="525">
        <v>0.28779999998889316</v>
      </c>
      <c r="DB32" s="525">
        <v>0</v>
      </c>
      <c r="DC32" s="526"/>
      <c r="DD32" s="525">
        <v>0</v>
      </c>
      <c r="DE32" s="525">
        <v>0</v>
      </c>
      <c r="DF32" s="525">
        <v>0</v>
      </c>
      <c r="DG32" s="525">
        <v>637.80012800000009</v>
      </c>
      <c r="DH32" s="525">
        <v>39.126640000000002</v>
      </c>
      <c r="DI32" s="525">
        <v>0</v>
      </c>
      <c r="DJ32" s="525">
        <v>598.67348800000002</v>
      </c>
      <c r="DK32" s="525">
        <v>0</v>
      </c>
      <c r="DL32" s="525">
        <v>0</v>
      </c>
      <c r="DM32" s="525">
        <v>0</v>
      </c>
      <c r="DN32" s="525">
        <v>0</v>
      </c>
      <c r="DO32" s="525">
        <v>0</v>
      </c>
      <c r="DP32" s="525">
        <v>0</v>
      </c>
      <c r="DQ32" s="525">
        <v>0</v>
      </c>
      <c r="DR32" s="525">
        <v>0</v>
      </c>
      <c r="DS32" s="525">
        <v>0</v>
      </c>
      <c r="DT32" s="525">
        <v>0</v>
      </c>
      <c r="DU32" s="525">
        <v>140.77180480000001</v>
      </c>
      <c r="DV32" s="525">
        <v>50.623616000000005</v>
      </c>
      <c r="DW32" s="525">
        <v>0</v>
      </c>
      <c r="DX32" s="525">
        <v>0</v>
      </c>
      <c r="DY32" s="525">
        <v>0</v>
      </c>
      <c r="DZ32" s="525">
        <v>0</v>
      </c>
      <c r="EA32" s="525">
        <v>0</v>
      </c>
      <c r="EB32" s="525">
        <v>0</v>
      </c>
      <c r="EC32" s="525">
        <v>0</v>
      </c>
      <c r="ED32" s="525">
        <v>0</v>
      </c>
      <c r="EE32" s="525">
        <v>0</v>
      </c>
      <c r="EF32" s="525">
        <v>0</v>
      </c>
      <c r="EG32" s="525">
        <v>90.1481888</v>
      </c>
      <c r="EH32" s="525">
        <v>85.57</v>
      </c>
      <c r="EI32" s="525">
        <v>0</v>
      </c>
      <c r="EJ32" s="525">
        <v>85.57</v>
      </c>
      <c r="EK32" s="525">
        <v>0</v>
      </c>
      <c r="EL32" s="525">
        <v>18.860784000000002</v>
      </c>
      <c r="EM32" s="525">
        <v>28.255280000000003</v>
      </c>
      <c r="EN32" s="525">
        <v>0</v>
      </c>
      <c r="EO32" s="525">
        <v>0</v>
      </c>
      <c r="EP32" s="525">
        <v>89.311688928000024</v>
      </c>
      <c r="EQ32" s="525">
        <v>0</v>
      </c>
      <c r="ER32" s="525">
        <v>89.311688928000024</v>
      </c>
      <c r="ES32" s="525">
        <v>0</v>
      </c>
      <c r="ET32" s="525">
        <v>85.56</v>
      </c>
      <c r="EU32" s="525">
        <v>85.56</v>
      </c>
      <c r="EV32" s="525">
        <v>0</v>
      </c>
      <c r="EW32" s="525">
        <v>0</v>
      </c>
      <c r="EX32" s="525">
        <v>0</v>
      </c>
      <c r="EY32" s="525">
        <v>0</v>
      </c>
      <c r="EZ32" s="525">
        <v>0</v>
      </c>
      <c r="FA32" s="525">
        <v>0</v>
      </c>
      <c r="FB32" s="525">
        <v>889.46</v>
      </c>
      <c r="FC32" s="525">
        <v>0</v>
      </c>
      <c r="FD32" s="525">
        <v>26.48</v>
      </c>
      <c r="FE32" s="525">
        <v>0</v>
      </c>
      <c r="FF32" s="525">
        <v>862.98</v>
      </c>
      <c r="FG32" s="525">
        <v>0</v>
      </c>
      <c r="FH32" s="525">
        <v>17.2</v>
      </c>
      <c r="FI32" s="525">
        <v>8.68</v>
      </c>
      <c r="FJ32" s="525">
        <v>0</v>
      </c>
      <c r="FK32" s="525">
        <v>837.1</v>
      </c>
      <c r="FL32" s="525">
        <v>0</v>
      </c>
      <c r="FM32" s="525">
        <v>262.64</v>
      </c>
      <c r="FN32" s="525">
        <v>262.64</v>
      </c>
      <c r="FO32" s="525">
        <v>0</v>
      </c>
      <c r="FP32" s="525">
        <v>0</v>
      </c>
      <c r="FQ32" s="525">
        <v>120.75</v>
      </c>
      <c r="FR32" s="525">
        <v>216.65</v>
      </c>
      <c r="FS32" s="527">
        <v>22984.181490235846</v>
      </c>
      <c r="FT32" s="525">
        <v>0</v>
      </c>
      <c r="FU32" s="525">
        <v>0</v>
      </c>
      <c r="FV32" s="525">
        <v>0</v>
      </c>
      <c r="FW32" s="525">
        <v>0</v>
      </c>
      <c r="FX32" s="525">
        <v>0</v>
      </c>
      <c r="FY32" s="525">
        <v>0</v>
      </c>
      <c r="FZ32" s="525">
        <v>0</v>
      </c>
      <c r="GA32" s="525">
        <v>0</v>
      </c>
      <c r="GB32" s="525">
        <v>0</v>
      </c>
      <c r="GC32" s="525">
        <v>0</v>
      </c>
      <c r="GD32" s="525">
        <v>0</v>
      </c>
      <c r="GE32" s="525">
        <v>0</v>
      </c>
      <c r="GF32" s="525">
        <v>0</v>
      </c>
      <c r="GG32" s="525">
        <v>0</v>
      </c>
      <c r="GH32" s="525">
        <v>1164.43</v>
      </c>
      <c r="GI32" s="525">
        <v>0</v>
      </c>
      <c r="GJ32" s="526"/>
      <c r="GK32" s="525">
        <v>1164.43</v>
      </c>
      <c r="GL32" s="526"/>
      <c r="GM32" s="525">
        <v>0</v>
      </c>
      <c r="GN32" s="525">
        <v>0</v>
      </c>
      <c r="GO32" s="526"/>
      <c r="GP32" s="526"/>
      <c r="GQ32" s="525">
        <v>0</v>
      </c>
      <c r="GR32" s="526"/>
      <c r="GS32" s="526"/>
      <c r="GT32" s="525">
        <v>0</v>
      </c>
      <c r="GU32" s="525">
        <v>0</v>
      </c>
      <c r="GV32" s="525">
        <v>0</v>
      </c>
      <c r="GW32" s="525">
        <v>0</v>
      </c>
      <c r="GX32" s="525">
        <v>0</v>
      </c>
      <c r="GY32" s="525">
        <v>0</v>
      </c>
      <c r="GZ32" s="525">
        <v>0</v>
      </c>
      <c r="HA32" s="525">
        <v>0</v>
      </c>
      <c r="HB32" s="525">
        <v>0</v>
      </c>
      <c r="HC32" s="525">
        <v>0</v>
      </c>
      <c r="HD32" s="525">
        <v>0</v>
      </c>
      <c r="HE32" s="525">
        <v>0</v>
      </c>
      <c r="HF32" s="525">
        <v>0</v>
      </c>
      <c r="HG32" s="525">
        <v>0</v>
      </c>
      <c r="HH32" s="525">
        <v>0</v>
      </c>
      <c r="HI32" s="525">
        <v>0</v>
      </c>
      <c r="HJ32" s="525">
        <v>0</v>
      </c>
      <c r="HK32" s="525">
        <v>0</v>
      </c>
      <c r="HL32" s="526"/>
      <c r="HM32" s="526"/>
      <c r="HN32" s="526"/>
      <c r="HO32" s="526"/>
      <c r="HP32" s="526"/>
      <c r="HQ32" s="526"/>
      <c r="HR32" s="526"/>
      <c r="HS32" s="526"/>
      <c r="HT32" s="526"/>
      <c r="HU32" s="526"/>
      <c r="HV32" s="526"/>
      <c r="HW32" s="526"/>
      <c r="HX32" s="526"/>
      <c r="HY32" s="526"/>
      <c r="HZ32" s="526"/>
      <c r="IA32" s="526"/>
      <c r="IB32" s="526"/>
      <c r="IC32" s="526"/>
      <c r="ID32" s="526"/>
      <c r="IE32" s="526"/>
      <c r="IF32" s="526"/>
      <c r="IG32" s="526"/>
      <c r="IH32" s="526"/>
      <c r="II32" s="526"/>
      <c r="IJ32" s="526"/>
      <c r="IK32" s="526"/>
      <c r="IL32" s="526"/>
      <c r="IM32" s="526"/>
      <c r="IN32" s="526"/>
      <c r="IO32" s="526"/>
      <c r="IP32" s="526"/>
      <c r="IQ32" s="526"/>
      <c r="IR32" s="526"/>
      <c r="IS32" s="526"/>
      <c r="IT32" s="526"/>
      <c r="IU32" s="526"/>
      <c r="IV32" s="526"/>
      <c r="IW32" s="526"/>
      <c r="IX32" s="526"/>
      <c r="IY32" s="526"/>
      <c r="IZ32" s="526"/>
      <c r="JA32" s="526"/>
      <c r="JB32" s="526"/>
      <c r="JC32" s="526"/>
      <c r="JD32" s="526"/>
      <c r="JE32" s="526"/>
      <c r="JF32" s="526"/>
      <c r="JG32" s="526"/>
      <c r="JH32" s="526"/>
      <c r="JI32" s="526"/>
      <c r="JJ32" s="526"/>
      <c r="JK32" s="526"/>
      <c r="JL32" s="526"/>
      <c r="JM32" s="526"/>
      <c r="JN32" s="525">
        <v>7864.9736857280004</v>
      </c>
      <c r="JO32" s="525">
        <v>3673.9521480000003</v>
      </c>
      <c r="JP32" s="525">
        <v>11445.255656507847</v>
      </c>
      <c r="JQ32" s="525">
        <v>0</v>
      </c>
      <c r="JR32" s="525">
        <v>1164.43</v>
      </c>
      <c r="JS32" s="527">
        <v>21661.261490235847</v>
      </c>
      <c r="JT32" s="528">
        <f t="shared" si="10"/>
        <v>-2487.3500000000004</v>
      </c>
      <c r="JU32" s="525">
        <v>21661.261490235847</v>
      </c>
      <c r="JV32" s="525">
        <v>21661.261490235847</v>
      </c>
      <c r="JW32" s="525">
        <v>21661.261490235847</v>
      </c>
      <c r="JX32" s="525">
        <v>7192</v>
      </c>
      <c r="JY32" s="525">
        <v>7192</v>
      </c>
      <c r="JZ32" s="526"/>
      <c r="KA32" s="525">
        <v>7192</v>
      </c>
      <c r="KB32" s="529">
        <v>5.066223482853518</v>
      </c>
      <c r="KC32" s="525">
        <v>-5.5297641520155594E-3</v>
      </c>
      <c r="KD32" s="525">
        <v>21661.267019999999</v>
      </c>
      <c r="KE32" s="525">
        <v>7192</v>
      </c>
      <c r="KF32" s="525">
        <v>0</v>
      </c>
      <c r="KG32" s="530">
        <v>0</v>
      </c>
      <c r="KH32" s="525">
        <v>0</v>
      </c>
      <c r="KI32" s="525">
        <v>21358.013944999999</v>
      </c>
      <c r="KJ32" s="530">
        <v>3011.7766262426849</v>
      </c>
      <c r="KK32" s="525">
        <v>7091.5</v>
      </c>
      <c r="KL32" s="525">
        <v>131.140355</v>
      </c>
      <c r="KM32" s="530">
        <v>3014.7208045977013</v>
      </c>
      <c r="KN32" s="525">
        <v>43.5</v>
      </c>
      <c r="KO32" s="525">
        <v>172.11272</v>
      </c>
      <c r="KP32" s="530">
        <v>3019.521403508772</v>
      </c>
      <c r="KQ32" s="525">
        <v>57</v>
      </c>
      <c r="KR32" s="526"/>
      <c r="KS32" s="526"/>
      <c r="KT32" s="531">
        <v>10851</v>
      </c>
      <c r="KU32" s="531">
        <v>80</v>
      </c>
      <c r="KV32" s="526"/>
      <c r="KW32" s="531">
        <v>2687</v>
      </c>
      <c r="KX32" s="531">
        <v>3.4620000000000002</v>
      </c>
      <c r="KY32" s="531">
        <v>0.02</v>
      </c>
      <c r="KZ32" s="526"/>
      <c r="LA32" s="531">
        <v>2905</v>
      </c>
      <c r="LB32" s="532">
        <v>11</v>
      </c>
      <c r="LC32" s="533">
        <v>7.0000000000000001E-3</v>
      </c>
      <c r="LD32" s="494">
        <f t="shared" si="11"/>
        <v>22395.453372462507</v>
      </c>
      <c r="LE32" s="509">
        <f t="shared" si="12"/>
        <v>22395.453372462507</v>
      </c>
      <c r="LF32" s="534">
        <f t="shared" si="13"/>
        <v>11798.49918723155</v>
      </c>
      <c r="LG32" s="535">
        <f t="shared" si="14"/>
        <v>9765.6879602182871</v>
      </c>
      <c r="LH32" s="536">
        <f t="shared" si="31"/>
        <v>1.03</v>
      </c>
      <c r="LI32" s="537">
        <f t="shared" si="15"/>
        <v>9765.6879602182871</v>
      </c>
      <c r="LJ32" s="536">
        <f t="shared" si="32"/>
        <v>1.0389999999999999</v>
      </c>
      <c r="LK32" s="537">
        <f t="shared" si="16"/>
        <v>0</v>
      </c>
      <c r="LL32" s="536">
        <f t="shared" si="33"/>
        <v>1.0349999999999999</v>
      </c>
      <c r="LM32" s="537">
        <f t="shared" si="17"/>
        <v>0</v>
      </c>
      <c r="LN32" s="536">
        <f t="shared" si="34"/>
        <v>1.0349999999999999</v>
      </c>
      <c r="LO32" s="537">
        <f t="shared" si="18"/>
        <v>0</v>
      </c>
      <c r="LP32" s="536">
        <f t="shared" si="35"/>
        <v>1.0349999999999999</v>
      </c>
      <c r="LQ32" s="537">
        <f t="shared" si="19"/>
        <v>2019.1175511737542</v>
      </c>
      <c r="LR32" s="536">
        <f t="shared" si="36"/>
        <v>1.04</v>
      </c>
      <c r="LS32" s="537">
        <f t="shared" si="20"/>
        <v>13.693675839508096</v>
      </c>
      <c r="LT32" s="539">
        <f t="shared" si="21"/>
        <v>8089.9905828766778</v>
      </c>
      <c r="LU32" s="540">
        <f t="shared" si="22"/>
        <v>7148.8127561399997</v>
      </c>
      <c r="LV32" s="541">
        <f t="shared" si="23"/>
        <v>941.1778267366783</v>
      </c>
      <c r="LW32" s="542">
        <f t="shared" si="24"/>
        <v>3789.1285523542797</v>
      </c>
      <c r="LX32" s="540">
        <f t="shared" si="25"/>
        <v>2158.94145235428</v>
      </c>
      <c r="LY32" s="540">
        <f t="shared" si="26"/>
        <v>271.83239999999995</v>
      </c>
      <c r="LZ32" s="543">
        <f t="shared" si="27"/>
        <v>1358.3546999999999</v>
      </c>
      <c r="MA32" s="544">
        <f t="shared" si="28"/>
        <v>-2487.3500000000004</v>
      </c>
      <c r="MB32" s="545">
        <f t="shared" si="29"/>
        <v>1205.18505</v>
      </c>
    </row>
    <row r="33" spans="1:340" ht="16.5" customHeight="1">
      <c r="A33" s="465">
        <v>1</v>
      </c>
      <c r="B33" s="466">
        <v>23</v>
      </c>
      <c r="C33" s="467" t="s">
        <v>301</v>
      </c>
      <c r="D33" s="468">
        <v>4611013586</v>
      </c>
      <c r="E33" s="469">
        <f t="shared" si="3"/>
        <v>4348.8877757227201</v>
      </c>
      <c r="F33" s="470" t="s">
        <v>287</v>
      </c>
      <c r="G33" s="595">
        <v>4348.8892561000002</v>
      </c>
      <c r="H33" s="595">
        <f t="shared" si="30"/>
        <v>-1.4803772801315063E-3</v>
      </c>
      <c r="I33" s="595"/>
      <c r="J33" s="471">
        <f t="shared" si="4"/>
        <v>4348.8877757227201</v>
      </c>
      <c r="K33" s="472">
        <f t="shared" si="5"/>
        <v>1601.0301094315198</v>
      </c>
      <c r="L33" s="473">
        <f t="shared" si="6"/>
        <v>1240.9648485839998</v>
      </c>
      <c r="M33" s="474">
        <v>1240.9648485839998</v>
      </c>
      <c r="N33" s="475">
        <v>0</v>
      </c>
      <c r="O33" s="475">
        <v>0</v>
      </c>
      <c r="P33" s="476">
        <v>0</v>
      </c>
      <c r="Q33" s="477">
        <v>341.47888984752001</v>
      </c>
      <c r="R33" s="478">
        <f t="shared" si="7"/>
        <v>18.586371</v>
      </c>
      <c r="S33" s="479">
        <f t="shared" si="8"/>
        <v>1335.4380110912</v>
      </c>
      <c r="T33" s="479">
        <v>1066.1876</v>
      </c>
      <c r="U33" s="480">
        <v>269.25041109120002</v>
      </c>
      <c r="V33" s="481">
        <f t="shared" si="9"/>
        <v>781.31965519999994</v>
      </c>
      <c r="W33" s="482">
        <v>321.98865519999998</v>
      </c>
      <c r="X33" s="479">
        <v>422.15099999999995</v>
      </c>
      <c r="Y33" s="483">
        <v>37.180000000000007</v>
      </c>
      <c r="Z33" s="484">
        <v>631.10000000000059</v>
      </c>
      <c r="AA33" s="485">
        <v>0</v>
      </c>
      <c r="AB33" s="486"/>
      <c r="AC33" s="487">
        <v>1240.9648485839998</v>
      </c>
      <c r="AD33" s="487">
        <v>1240.9648485839998</v>
      </c>
      <c r="AE33" s="487">
        <v>0</v>
      </c>
      <c r="AF33" s="487">
        <v>0</v>
      </c>
      <c r="AG33" s="487">
        <v>0</v>
      </c>
      <c r="AH33" s="487">
        <v>341.47888984752001</v>
      </c>
      <c r="AI33" s="487">
        <v>341.47888984752001</v>
      </c>
      <c r="AJ33" s="487">
        <v>0</v>
      </c>
      <c r="AK33" s="487">
        <v>0</v>
      </c>
      <c r="AL33" s="487">
        <v>0</v>
      </c>
      <c r="AM33" s="487">
        <v>0</v>
      </c>
      <c r="AN33" s="487">
        <v>0</v>
      </c>
      <c r="AO33" s="487">
        <v>0</v>
      </c>
      <c r="AP33" s="487">
        <v>0</v>
      </c>
      <c r="AQ33" s="487">
        <v>0</v>
      </c>
      <c r="AR33" s="487">
        <v>0</v>
      </c>
      <c r="AS33" s="487">
        <v>0</v>
      </c>
      <c r="AT33" s="487">
        <v>0</v>
      </c>
      <c r="AU33" s="487">
        <v>0</v>
      </c>
      <c r="AV33" s="487">
        <v>0</v>
      </c>
      <c r="AW33" s="487">
        <v>0</v>
      </c>
      <c r="AX33" s="487">
        <v>0</v>
      </c>
      <c r="AY33" s="487">
        <v>0</v>
      </c>
      <c r="AZ33" s="487">
        <v>0</v>
      </c>
      <c r="BA33" s="487">
        <v>341.47888984752001</v>
      </c>
      <c r="BB33" s="487">
        <v>34.762819999999998</v>
      </c>
      <c r="BC33" s="487">
        <v>0</v>
      </c>
      <c r="BD33" s="487">
        <v>341.47888984752001</v>
      </c>
      <c r="BE33" s="487">
        <v>9.8231066940921377</v>
      </c>
      <c r="BF33" s="487">
        <v>34.762819999999998</v>
      </c>
      <c r="BG33" s="487">
        <v>0</v>
      </c>
      <c r="BH33" s="487">
        <v>0</v>
      </c>
      <c r="BI33" s="487">
        <v>0</v>
      </c>
      <c r="BJ33" s="487">
        <v>0</v>
      </c>
      <c r="BK33" s="487">
        <v>0</v>
      </c>
      <c r="BL33" s="487">
        <v>0</v>
      </c>
      <c r="BM33" s="487">
        <v>0</v>
      </c>
      <c r="BN33" s="487">
        <v>0</v>
      </c>
      <c r="BO33" s="487">
        <v>0</v>
      </c>
      <c r="BP33" s="487">
        <v>0</v>
      </c>
      <c r="BQ33" s="487">
        <v>0</v>
      </c>
      <c r="BR33" s="487">
        <v>0</v>
      </c>
      <c r="BS33" s="487">
        <v>0</v>
      </c>
      <c r="BT33" s="487">
        <v>0</v>
      </c>
      <c r="BU33" s="487">
        <v>0</v>
      </c>
      <c r="BV33" s="487">
        <v>0</v>
      </c>
      <c r="BW33" s="487">
        <v>0</v>
      </c>
      <c r="BX33" s="487">
        <v>0</v>
      </c>
      <c r="BY33" s="487">
        <v>0</v>
      </c>
      <c r="BZ33" s="487">
        <v>0</v>
      </c>
      <c r="CA33" s="487">
        <v>0</v>
      </c>
      <c r="CB33" s="487">
        <v>0</v>
      </c>
      <c r="CC33" s="487">
        <v>0</v>
      </c>
      <c r="CD33" s="487">
        <v>0</v>
      </c>
      <c r="CE33" s="487">
        <v>0</v>
      </c>
      <c r="CF33" s="487">
        <v>0</v>
      </c>
      <c r="CG33" s="487">
        <v>0</v>
      </c>
      <c r="CH33" s="487">
        <v>0</v>
      </c>
      <c r="CI33" s="487">
        <v>0</v>
      </c>
      <c r="CJ33" s="487">
        <v>0</v>
      </c>
      <c r="CK33" s="487">
        <v>0</v>
      </c>
      <c r="CL33" s="487">
        <v>0</v>
      </c>
      <c r="CM33" s="487">
        <v>1066.1876</v>
      </c>
      <c r="CN33" s="487">
        <v>937.83339999999998</v>
      </c>
      <c r="CO33" s="487">
        <v>0</v>
      </c>
      <c r="CP33" s="487">
        <v>128.35419999999999</v>
      </c>
      <c r="CQ33" s="487">
        <v>0</v>
      </c>
      <c r="CR33" s="487">
        <v>0</v>
      </c>
      <c r="CS33" s="487">
        <v>321.98865519999998</v>
      </c>
      <c r="CT33" s="487">
        <v>283.22568680000001</v>
      </c>
      <c r="CU33" s="487">
        <v>0</v>
      </c>
      <c r="CV33" s="487">
        <v>38.762968399999998</v>
      </c>
      <c r="CW33" s="487">
        <v>0</v>
      </c>
      <c r="CX33" s="487">
        <v>0</v>
      </c>
      <c r="CY33" s="487">
        <v>18.586371</v>
      </c>
      <c r="CZ33" s="467"/>
      <c r="DA33" s="487">
        <v>0.5051000000000001</v>
      </c>
      <c r="DB33" s="487">
        <v>0</v>
      </c>
      <c r="DC33" s="467"/>
      <c r="DD33" s="487">
        <v>0</v>
      </c>
      <c r="DE33" s="487">
        <v>0</v>
      </c>
      <c r="DF33" s="487">
        <v>0</v>
      </c>
      <c r="DG33" s="487">
        <v>176.02376697280002</v>
      </c>
      <c r="DH33" s="487">
        <v>0</v>
      </c>
      <c r="DI33" s="487">
        <v>0</v>
      </c>
      <c r="DJ33" s="487">
        <v>176.02376697280002</v>
      </c>
      <c r="DK33" s="487">
        <v>0</v>
      </c>
      <c r="DL33" s="487">
        <v>0</v>
      </c>
      <c r="DM33" s="487">
        <v>0</v>
      </c>
      <c r="DN33" s="487">
        <v>0</v>
      </c>
      <c r="DO33" s="487">
        <v>0</v>
      </c>
      <c r="DP33" s="487">
        <v>93.226644118400003</v>
      </c>
      <c r="DQ33" s="487">
        <v>0</v>
      </c>
      <c r="DR33" s="487">
        <v>0</v>
      </c>
      <c r="DS33" s="487">
        <v>0</v>
      </c>
      <c r="DT33" s="487">
        <v>93.226644118400003</v>
      </c>
      <c r="DU33" s="487">
        <v>0</v>
      </c>
      <c r="DV33" s="487">
        <v>0</v>
      </c>
      <c r="DW33" s="487">
        <v>0</v>
      </c>
      <c r="DX33" s="487">
        <v>0</v>
      </c>
      <c r="DY33" s="487">
        <v>0</v>
      </c>
      <c r="DZ33" s="487">
        <v>0</v>
      </c>
      <c r="EA33" s="487">
        <v>0</v>
      </c>
      <c r="EB33" s="487">
        <v>0</v>
      </c>
      <c r="EC33" s="487">
        <v>0</v>
      </c>
      <c r="ED33" s="487">
        <v>0</v>
      </c>
      <c r="EE33" s="487">
        <v>0</v>
      </c>
      <c r="EF33" s="487">
        <v>0</v>
      </c>
      <c r="EG33" s="487">
        <v>0</v>
      </c>
      <c r="EH33" s="487">
        <v>0</v>
      </c>
      <c r="EI33" s="487">
        <v>0</v>
      </c>
      <c r="EJ33" s="487">
        <v>0</v>
      </c>
      <c r="EK33" s="487">
        <v>0</v>
      </c>
      <c r="EL33" s="487">
        <v>0</v>
      </c>
      <c r="EM33" s="487">
        <v>0</v>
      </c>
      <c r="EN33" s="487">
        <v>0</v>
      </c>
      <c r="EO33" s="487">
        <v>0</v>
      </c>
      <c r="EP33" s="487">
        <v>0</v>
      </c>
      <c r="EQ33" s="487">
        <v>0</v>
      </c>
      <c r="ER33" s="487">
        <v>0</v>
      </c>
      <c r="ES33" s="487">
        <v>0</v>
      </c>
      <c r="ET33" s="487">
        <v>0</v>
      </c>
      <c r="EU33" s="487">
        <v>0</v>
      </c>
      <c r="EV33" s="487">
        <v>0</v>
      </c>
      <c r="EW33" s="487">
        <v>0</v>
      </c>
      <c r="EX33" s="487">
        <v>0</v>
      </c>
      <c r="EY33" s="487">
        <v>0</v>
      </c>
      <c r="EZ33" s="487">
        <v>0</v>
      </c>
      <c r="FA33" s="487">
        <v>0</v>
      </c>
      <c r="FB33" s="487">
        <v>0</v>
      </c>
      <c r="FC33" s="487">
        <v>0</v>
      </c>
      <c r="FD33" s="487">
        <v>0</v>
      </c>
      <c r="FE33" s="487">
        <v>0</v>
      </c>
      <c r="FF33" s="487">
        <v>0</v>
      </c>
      <c r="FG33" s="487">
        <v>0</v>
      </c>
      <c r="FH33" s="487">
        <v>0</v>
      </c>
      <c r="FI33" s="487">
        <v>0</v>
      </c>
      <c r="FJ33" s="487">
        <v>0</v>
      </c>
      <c r="FK33" s="487">
        <v>0</v>
      </c>
      <c r="FL33" s="487">
        <v>0</v>
      </c>
      <c r="FM33" s="487">
        <v>422.15099999999995</v>
      </c>
      <c r="FN33" s="487">
        <v>422.15099999999995</v>
      </c>
      <c r="FO33" s="487">
        <v>0</v>
      </c>
      <c r="FP33" s="487">
        <v>0</v>
      </c>
      <c r="FQ33" s="487">
        <v>37.18</v>
      </c>
      <c r="FR33" s="487">
        <v>0</v>
      </c>
      <c r="FS33" s="488">
        <v>3717.7877757227197</v>
      </c>
      <c r="FT33" s="487">
        <v>0</v>
      </c>
      <c r="FU33" s="487">
        <v>0</v>
      </c>
      <c r="FV33" s="487">
        <v>0</v>
      </c>
      <c r="FW33" s="487">
        <v>0</v>
      </c>
      <c r="FX33" s="487">
        <v>0</v>
      </c>
      <c r="FY33" s="487">
        <v>0</v>
      </c>
      <c r="FZ33" s="487">
        <v>0</v>
      </c>
      <c r="GA33" s="487">
        <v>0</v>
      </c>
      <c r="GB33" s="487">
        <v>0</v>
      </c>
      <c r="GC33" s="487">
        <v>0</v>
      </c>
      <c r="GD33" s="487">
        <v>0</v>
      </c>
      <c r="GE33" s="487">
        <v>0</v>
      </c>
      <c r="GF33" s="487">
        <v>0</v>
      </c>
      <c r="GG33" s="487">
        <v>0</v>
      </c>
      <c r="GH33" s="487">
        <v>0</v>
      </c>
      <c r="GI33" s="487">
        <v>0</v>
      </c>
      <c r="GJ33" s="467"/>
      <c r="GK33" s="487">
        <v>0</v>
      </c>
      <c r="GL33" s="467"/>
      <c r="GM33" s="487">
        <v>0</v>
      </c>
      <c r="GN33" s="487">
        <v>0</v>
      </c>
      <c r="GO33" s="467"/>
      <c r="GP33" s="467"/>
      <c r="GQ33" s="487">
        <v>0</v>
      </c>
      <c r="GR33" s="467"/>
      <c r="GS33" s="467"/>
      <c r="GT33" s="487">
        <v>0</v>
      </c>
      <c r="GU33" s="487">
        <v>0</v>
      </c>
      <c r="GV33" s="487">
        <v>0</v>
      </c>
      <c r="GW33" s="487">
        <v>0</v>
      </c>
      <c r="GX33" s="487">
        <v>0</v>
      </c>
      <c r="GY33" s="487">
        <v>0</v>
      </c>
      <c r="GZ33" s="487">
        <v>0</v>
      </c>
      <c r="HA33" s="487">
        <v>0</v>
      </c>
      <c r="HB33" s="487">
        <v>0</v>
      </c>
      <c r="HC33" s="487">
        <v>0</v>
      </c>
      <c r="HD33" s="487">
        <v>0</v>
      </c>
      <c r="HE33" s="487">
        <v>0</v>
      </c>
      <c r="HF33" s="487">
        <v>0</v>
      </c>
      <c r="HG33" s="487">
        <v>0</v>
      </c>
      <c r="HH33" s="487">
        <v>0</v>
      </c>
      <c r="HI33" s="487">
        <v>0</v>
      </c>
      <c r="HJ33" s="487">
        <v>0</v>
      </c>
      <c r="HK33" s="487">
        <v>0</v>
      </c>
      <c r="HL33" s="467"/>
      <c r="HM33" s="467"/>
      <c r="HN33" s="467"/>
      <c r="HO33" s="467"/>
      <c r="HP33" s="467"/>
      <c r="HQ33" s="467"/>
      <c r="HR33" s="467"/>
      <c r="HS33" s="467"/>
      <c r="HT33" s="467"/>
      <c r="HU33" s="467"/>
      <c r="HV33" s="467"/>
      <c r="HW33" s="467"/>
      <c r="HX33" s="467"/>
      <c r="HY33" s="467"/>
      <c r="HZ33" s="467"/>
      <c r="IA33" s="467"/>
      <c r="IB33" s="467"/>
      <c r="IC33" s="467"/>
      <c r="ID33" s="467"/>
      <c r="IE33" s="467"/>
      <c r="IF33" s="467"/>
      <c r="IG33" s="467"/>
      <c r="IH33" s="467"/>
      <c r="II33" s="467"/>
      <c r="IJ33" s="467"/>
      <c r="IK33" s="467"/>
      <c r="IL33" s="467"/>
      <c r="IM33" s="467"/>
      <c r="IN33" s="467"/>
      <c r="IO33" s="467"/>
      <c r="IP33" s="467"/>
      <c r="IQ33" s="467"/>
      <c r="IR33" s="467"/>
      <c r="IS33" s="467"/>
      <c r="IT33" s="467"/>
      <c r="IU33" s="467"/>
      <c r="IV33" s="467"/>
      <c r="IW33" s="467"/>
      <c r="IX33" s="467"/>
      <c r="IY33" s="467"/>
      <c r="IZ33" s="467"/>
      <c r="JA33" s="467"/>
      <c r="JB33" s="467"/>
      <c r="JC33" s="467"/>
      <c r="JD33" s="467"/>
      <c r="JE33" s="467"/>
      <c r="JF33" s="467"/>
      <c r="JG33" s="467"/>
      <c r="JH33" s="467"/>
      <c r="JI33" s="467"/>
      <c r="JJ33" s="467"/>
      <c r="JK33" s="467"/>
      <c r="JL33" s="467"/>
      <c r="JM33" s="467"/>
      <c r="JN33" s="487">
        <v>1335.4380110912</v>
      </c>
      <c r="JO33" s="487">
        <v>781.31965519999994</v>
      </c>
      <c r="JP33" s="487">
        <v>1601.0301094315198</v>
      </c>
      <c r="JQ33" s="487">
        <v>0</v>
      </c>
      <c r="JR33" s="487">
        <v>0</v>
      </c>
      <c r="JS33" s="488">
        <v>4348.8877757227201</v>
      </c>
      <c r="JT33" s="489">
        <f t="shared" si="10"/>
        <v>631.10000000000059</v>
      </c>
      <c r="JU33" s="487">
        <v>4348.8877757227201</v>
      </c>
      <c r="JV33" s="487">
        <v>4348.8877757227201</v>
      </c>
      <c r="JW33" s="487">
        <v>4348.8877757227201</v>
      </c>
      <c r="JX33" s="487">
        <v>1262.8910000000001</v>
      </c>
      <c r="JY33" s="487">
        <v>1262.8910000000001</v>
      </c>
      <c r="JZ33" s="467"/>
      <c r="KA33" s="487">
        <v>1262.8910000000001</v>
      </c>
      <c r="KB33" s="490">
        <v>0</v>
      </c>
      <c r="KC33" s="487">
        <v>-2.8890576672803263</v>
      </c>
      <c r="KD33" s="487">
        <v>4351.7768333900003</v>
      </c>
      <c r="KE33" s="487">
        <v>1262.8910000000001</v>
      </c>
      <c r="KF33" s="487">
        <v>0</v>
      </c>
      <c r="KG33" s="491">
        <v>0</v>
      </c>
      <c r="KH33" s="487">
        <v>0</v>
      </c>
      <c r="KI33" s="487">
        <v>0</v>
      </c>
      <c r="KJ33" s="491">
        <v>0</v>
      </c>
      <c r="KK33" s="487">
        <v>0</v>
      </c>
      <c r="KL33" s="487">
        <v>4351.7768333900003</v>
      </c>
      <c r="KM33" s="491">
        <v>3445.8847464983123</v>
      </c>
      <c r="KN33" s="487">
        <v>1262.8910000000001</v>
      </c>
      <c r="KO33" s="487">
        <v>0</v>
      </c>
      <c r="KP33" s="491">
        <v>0</v>
      </c>
      <c r="KQ33" s="487">
        <v>0</v>
      </c>
      <c r="KR33" s="467"/>
      <c r="KS33" s="467"/>
      <c r="KT33" s="487">
        <v>10087.36</v>
      </c>
      <c r="KU33" s="487">
        <v>59</v>
      </c>
      <c r="KV33" s="467"/>
      <c r="KW33" s="487"/>
      <c r="KX33" s="487">
        <v>0.45300000000000001</v>
      </c>
      <c r="KY33" s="487"/>
      <c r="KZ33" s="467"/>
      <c r="LA33" s="487">
        <v>747.28</v>
      </c>
      <c r="LB33" s="492">
        <v>258</v>
      </c>
      <c r="LC33" s="493">
        <v>0.14000000000000001</v>
      </c>
      <c r="LD33" s="494">
        <f t="shared" si="11"/>
        <v>4462.3074990874948</v>
      </c>
      <c r="LE33" s="471">
        <f t="shared" si="12"/>
        <v>4462.3074990874948</v>
      </c>
      <c r="LF33" s="495">
        <f t="shared" si="13"/>
        <v>1650.9542708737031</v>
      </c>
      <c r="LG33" s="476">
        <f t="shared" si="14"/>
        <v>1278.1937940415198</v>
      </c>
      <c r="LH33" s="496">
        <f t="shared" si="31"/>
        <v>1.03</v>
      </c>
      <c r="LI33" s="497">
        <f t="shared" si="15"/>
        <v>1278.1937940415198</v>
      </c>
      <c r="LJ33" s="496">
        <f t="shared" si="32"/>
        <v>1.0389999999999999</v>
      </c>
      <c r="LK33" s="497">
        <f t="shared" si="16"/>
        <v>0</v>
      </c>
      <c r="LL33" s="496">
        <f t="shared" si="33"/>
        <v>1.0349999999999999</v>
      </c>
      <c r="LM33" s="497">
        <f t="shared" si="17"/>
        <v>0</v>
      </c>
      <c r="LN33" s="496">
        <f t="shared" si="34"/>
        <v>1.0349999999999999</v>
      </c>
      <c r="LO33" s="497">
        <f t="shared" si="18"/>
        <v>0</v>
      </c>
      <c r="LP33" s="496">
        <f t="shared" si="35"/>
        <v>1.0349999999999999</v>
      </c>
      <c r="LQ33" s="497">
        <f t="shared" si="19"/>
        <v>353.43065099218319</v>
      </c>
      <c r="LR33" s="496">
        <f t="shared" si="36"/>
        <v>1.04</v>
      </c>
      <c r="LS33" s="497">
        <f t="shared" si="20"/>
        <v>19.329825840000002</v>
      </c>
      <c r="LT33" s="499">
        <f t="shared" si="21"/>
        <v>1373.644892588519</v>
      </c>
      <c r="LU33" s="500">
        <f t="shared" si="22"/>
        <v>1096.6912272359998</v>
      </c>
      <c r="LV33" s="501">
        <f t="shared" si="23"/>
        <v>276.95366535251924</v>
      </c>
      <c r="LW33" s="499">
        <f t="shared" si="24"/>
        <v>806.60833562527193</v>
      </c>
      <c r="LX33" s="500">
        <f t="shared" si="25"/>
        <v>331.20075062527195</v>
      </c>
      <c r="LY33" s="500">
        <f t="shared" si="26"/>
        <v>436.92628499999989</v>
      </c>
      <c r="LZ33" s="502">
        <f t="shared" si="27"/>
        <v>38.481300000000005</v>
      </c>
      <c r="MA33" s="503">
        <f t="shared" si="28"/>
        <v>631.10000000000059</v>
      </c>
      <c r="MB33" s="504">
        <f t="shared" si="29"/>
        <v>0</v>
      </c>
    </row>
    <row r="34" spans="1:340" ht="16.5" customHeight="1">
      <c r="A34" s="505">
        <v>1</v>
      </c>
      <c r="B34" s="506">
        <v>24</v>
      </c>
      <c r="C34" s="507" t="s">
        <v>302</v>
      </c>
      <c r="D34" s="508">
        <v>4610006900</v>
      </c>
      <c r="E34" s="469">
        <f t="shared" si="3"/>
        <v>15444.243362600851</v>
      </c>
      <c r="F34" s="470" t="s">
        <v>287</v>
      </c>
      <c r="G34" s="595">
        <v>15444.247116659999</v>
      </c>
      <c r="H34" s="595">
        <f t="shared" si="30"/>
        <v>-3.7540591474680696E-3</v>
      </c>
      <c r="I34" s="595"/>
      <c r="J34" s="509">
        <f t="shared" si="4"/>
        <v>15444.243362600851</v>
      </c>
      <c r="K34" s="510">
        <f t="shared" si="5"/>
        <v>9806.1297426008477</v>
      </c>
      <c r="L34" s="511">
        <f t="shared" si="6"/>
        <v>7140.050390600848</v>
      </c>
      <c r="M34" s="512">
        <v>7140.050390600848</v>
      </c>
      <c r="N34" s="513">
        <v>0</v>
      </c>
      <c r="O34" s="513">
        <v>0</v>
      </c>
      <c r="P34" s="514">
        <v>0</v>
      </c>
      <c r="Q34" s="515">
        <v>2665.5809519999998</v>
      </c>
      <c r="R34" s="516">
        <f t="shared" si="7"/>
        <v>0.49840000000000001</v>
      </c>
      <c r="S34" s="517">
        <f t="shared" si="8"/>
        <v>4410.2200000000012</v>
      </c>
      <c r="T34" s="518">
        <v>3445.3100000000004</v>
      </c>
      <c r="U34" s="519">
        <v>964.91000000000076</v>
      </c>
      <c r="V34" s="520">
        <f t="shared" si="9"/>
        <v>1227.8936199999998</v>
      </c>
      <c r="W34" s="521">
        <v>1040.48362</v>
      </c>
      <c r="X34" s="518">
        <v>0</v>
      </c>
      <c r="Y34" s="522">
        <v>187.40999999999985</v>
      </c>
      <c r="Z34" s="523">
        <v>1.8189894035458565E-12</v>
      </c>
      <c r="AA34" s="524">
        <v>0</v>
      </c>
      <c r="AB34" s="486"/>
      <c r="AC34" s="525">
        <v>7140.050390600848</v>
      </c>
      <c r="AD34" s="525">
        <v>7140.050390600848</v>
      </c>
      <c r="AE34" s="525">
        <v>0</v>
      </c>
      <c r="AF34" s="525">
        <v>0</v>
      </c>
      <c r="AG34" s="525">
        <v>0</v>
      </c>
      <c r="AH34" s="525">
        <v>2665.5809519999998</v>
      </c>
      <c r="AI34" s="525">
        <v>2665.5809519999998</v>
      </c>
      <c r="AJ34" s="525">
        <v>0</v>
      </c>
      <c r="AK34" s="525">
        <v>0</v>
      </c>
      <c r="AL34" s="525">
        <v>0</v>
      </c>
      <c r="AM34" s="525">
        <v>0</v>
      </c>
      <c r="AN34" s="525">
        <v>0</v>
      </c>
      <c r="AO34" s="525">
        <v>0</v>
      </c>
      <c r="AP34" s="525">
        <v>0</v>
      </c>
      <c r="AQ34" s="525">
        <v>0</v>
      </c>
      <c r="AR34" s="525">
        <v>0</v>
      </c>
      <c r="AS34" s="525">
        <v>0</v>
      </c>
      <c r="AT34" s="525">
        <v>0</v>
      </c>
      <c r="AU34" s="525">
        <v>0</v>
      </c>
      <c r="AV34" s="525">
        <v>0</v>
      </c>
      <c r="AW34" s="525">
        <v>0</v>
      </c>
      <c r="AX34" s="525">
        <v>0</v>
      </c>
      <c r="AY34" s="525">
        <v>0</v>
      </c>
      <c r="AZ34" s="525">
        <v>0</v>
      </c>
      <c r="BA34" s="525">
        <v>2665.5809519999998</v>
      </c>
      <c r="BB34" s="525">
        <v>298.69799999999998</v>
      </c>
      <c r="BC34" s="525">
        <v>0</v>
      </c>
      <c r="BD34" s="525">
        <v>2665.5809519999998</v>
      </c>
      <c r="BE34" s="525">
        <v>8.9239999999999995</v>
      </c>
      <c r="BF34" s="525">
        <v>298.69799999999998</v>
      </c>
      <c r="BG34" s="525">
        <v>0</v>
      </c>
      <c r="BH34" s="525">
        <v>0</v>
      </c>
      <c r="BI34" s="525">
        <v>0</v>
      </c>
      <c r="BJ34" s="525">
        <v>0</v>
      </c>
      <c r="BK34" s="525">
        <v>0</v>
      </c>
      <c r="BL34" s="525">
        <v>0</v>
      </c>
      <c r="BM34" s="525">
        <v>0</v>
      </c>
      <c r="BN34" s="525">
        <v>0</v>
      </c>
      <c r="BO34" s="525">
        <v>0</v>
      </c>
      <c r="BP34" s="525">
        <v>0</v>
      </c>
      <c r="BQ34" s="525">
        <v>0</v>
      </c>
      <c r="BR34" s="525">
        <v>0</v>
      </c>
      <c r="BS34" s="525">
        <v>0</v>
      </c>
      <c r="BT34" s="525">
        <v>0</v>
      </c>
      <c r="BU34" s="525">
        <v>0</v>
      </c>
      <c r="BV34" s="525">
        <v>0</v>
      </c>
      <c r="BW34" s="525">
        <v>0</v>
      </c>
      <c r="BX34" s="525">
        <v>0</v>
      </c>
      <c r="BY34" s="525">
        <v>0</v>
      </c>
      <c r="BZ34" s="525">
        <v>0</v>
      </c>
      <c r="CA34" s="525">
        <v>0</v>
      </c>
      <c r="CB34" s="525">
        <v>0</v>
      </c>
      <c r="CC34" s="525">
        <v>0</v>
      </c>
      <c r="CD34" s="525">
        <v>0</v>
      </c>
      <c r="CE34" s="525">
        <v>0</v>
      </c>
      <c r="CF34" s="525">
        <v>0</v>
      </c>
      <c r="CG34" s="525">
        <v>0</v>
      </c>
      <c r="CH34" s="525">
        <v>0</v>
      </c>
      <c r="CI34" s="525">
        <v>0</v>
      </c>
      <c r="CJ34" s="525">
        <v>0</v>
      </c>
      <c r="CK34" s="525">
        <v>0</v>
      </c>
      <c r="CL34" s="525">
        <v>0</v>
      </c>
      <c r="CM34" s="525">
        <v>3445.3100000000004</v>
      </c>
      <c r="CN34" s="525">
        <v>2170.31</v>
      </c>
      <c r="CO34" s="525">
        <v>0</v>
      </c>
      <c r="CP34" s="525">
        <v>0</v>
      </c>
      <c r="CQ34" s="525">
        <v>1275</v>
      </c>
      <c r="CR34" s="525">
        <v>0</v>
      </c>
      <c r="CS34" s="525">
        <v>1040.48362</v>
      </c>
      <c r="CT34" s="525">
        <v>655.43361999999991</v>
      </c>
      <c r="CU34" s="525">
        <v>0</v>
      </c>
      <c r="CV34" s="525">
        <v>0</v>
      </c>
      <c r="CW34" s="525">
        <v>385.05000000000007</v>
      </c>
      <c r="CX34" s="525">
        <v>0</v>
      </c>
      <c r="CY34" s="525">
        <v>0.49840000000000001</v>
      </c>
      <c r="CZ34" s="526"/>
      <c r="DA34" s="525">
        <v>8.0000000000000002E-3</v>
      </c>
      <c r="DB34" s="525">
        <v>0</v>
      </c>
      <c r="DC34" s="526"/>
      <c r="DD34" s="525">
        <v>0</v>
      </c>
      <c r="DE34" s="525">
        <v>0</v>
      </c>
      <c r="DF34" s="525">
        <v>0</v>
      </c>
      <c r="DG34" s="525">
        <v>390.18000000000006</v>
      </c>
      <c r="DH34" s="525">
        <v>204.34000000000003</v>
      </c>
      <c r="DI34" s="525">
        <v>0</v>
      </c>
      <c r="DJ34" s="525">
        <v>185.84</v>
      </c>
      <c r="DK34" s="525">
        <v>0</v>
      </c>
      <c r="DL34" s="525">
        <v>0</v>
      </c>
      <c r="DM34" s="525">
        <v>0</v>
      </c>
      <c r="DN34" s="525">
        <v>0</v>
      </c>
      <c r="DO34" s="525">
        <v>0</v>
      </c>
      <c r="DP34" s="525">
        <v>250</v>
      </c>
      <c r="DQ34" s="525">
        <v>0</v>
      </c>
      <c r="DR34" s="525">
        <v>0</v>
      </c>
      <c r="DS34" s="525">
        <v>0</v>
      </c>
      <c r="DT34" s="525">
        <v>250</v>
      </c>
      <c r="DU34" s="525">
        <v>80.97</v>
      </c>
      <c r="DV34" s="525">
        <v>0</v>
      </c>
      <c r="DW34" s="525">
        <v>0</v>
      </c>
      <c r="DX34" s="525">
        <v>0</v>
      </c>
      <c r="DY34" s="525">
        <v>0</v>
      </c>
      <c r="DZ34" s="525">
        <v>0</v>
      </c>
      <c r="EA34" s="525">
        <v>26.67</v>
      </c>
      <c r="EB34" s="525">
        <v>0</v>
      </c>
      <c r="EC34" s="525">
        <v>0</v>
      </c>
      <c r="ED34" s="525">
        <v>44.999999999999993</v>
      </c>
      <c r="EE34" s="525">
        <v>0</v>
      </c>
      <c r="EF34" s="525">
        <v>0</v>
      </c>
      <c r="EG34" s="525">
        <v>9.3000000000000007</v>
      </c>
      <c r="EH34" s="525">
        <v>0</v>
      </c>
      <c r="EI34" s="525">
        <v>0</v>
      </c>
      <c r="EJ34" s="525">
        <v>0</v>
      </c>
      <c r="EK34" s="525">
        <v>0</v>
      </c>
      <c r="EL34" s="525">
        <v>0</v>
      </c>
      <c r="EM34" s="525">
        <v>62.5</v>
      </c>
      <c r="EN34" s="525">
        <v>0</v>
      </c>
      <c r="EO34" s="525">
        <v>0</v>
      </c>
      <c r="EP34" s="525">
        <v>181.26</v>
      </c>
      <c r="EQ34" s="525">
        <v>0</v>
      </c>
      <c r="ER34" s="525">
        <v>181.26</v>
      </c>
      <c r="ES34" s="525">
        <v>28.56</v>
      </c>
      <c r="ET34" s="525">
        <v>0</v>
      </c>
      <c r="EU34" s="525">
        <v>0</v>
      </c>
      <c r="EV34" s="525">
        <v>0</v>
      </c>
      <c r="EW34" s="525">
        <v>0</v>
      </c>
      <c r="EX34" s="525">
        <v>0</v>
      </c>
      <c r="EY34" s="525">
        <v>0</v>
      </c>
      <c r="EZ34" s="525">
        <v>0</v>
      </c>
      <c r="FA34" s="525">
        <v>0</v>
      </c>
      <c r="FB34" s="525">
        <v>158.85000000000002</v>
      </c>
      <c r="FC34" s="525">
        <v>0.41</v>
      </c>
      <c r="FD34" s="525">
        <v>4</v>
      </c>
      <c r="FE34" s="525">
        <v>0</v>
      </c>
      <c r="FF34" s="525">
        <v>154.44</v>
      </c>
      <c r="FG34" s="525">
        <v>0</v>
      </c>
      <c r="FH34" s="525">
        <v>0</v>
      </c>
      <c r="FI34" s="525">
        <v>0</v>
      </c>
      <c r="FJ34" s="525">
        <v>0</v>
      </c>
      <c r="FK34" s="525">
        <v>154.44</v>
      </c>
      <c r="FL34" s="525">
        <v>0</v>
      </c>
      <c r="FM34" s="525">
        <v>0</v>
      </c>
      <c r="FN34" s="525">
        <v>0</v>
      </c>
      <c r="FO34" s="525">
        <v>0</v>
      </c>
      <c r="FP34" s="525">
        <v>0</v>
      </c>
      <c r="FQ34" s="525">
        <v>0</v>
      </c>
      <c r="FR34" s="525">
        <v>0</v>
      </c>
      <c r="FS34" s="527">
        <v>15444.24336260085</v>
      </c>
      <c r="FT34" s="525">
        <v>0</v>
      </c>
      <c r="FU34" s="525">
        <v>0</v>
      </c>
      <c r="FV34" s="525">
        <v>0</v>
      </c>
      <c r="FW34" s="525">
        <v>0</v>
      </c>
      <c r="FX34" s="525">
        <v>0</v>
      </c>
      <c r="FY34" s="525">
        <v>0</v>
      </c>
      <c r="FZ34" s="525">
        <v>0</v>
      </c>
      <c r="GA34" s="525">
        <v>0</v>
      </c>
      <c r="GB34" s="525">
        <v>0</v>
      </c>
      <c r="GC34" s="525">
        <v>0</v>
      </c>
      <c r="GD34" s="525">
        <v>0</v>
      </c>
      <c r="GE34" s="525">
        <v>0</v>
      </c>
      <c r="GF34" s="525">
        <v>0</v>
      </c>
      <c r="GG34" s="525">
        <v>0</v>
      </c>
      <c r="GH34" s="525">
        <v>0</v>
      </c>
      <c r="GI34" s="525">
        <v>0</v>
      </c>
      <c r="GJ34" s="526"/>
      <c r="GK34" s="525">
        <v>0</v>
      </c>
      <c r="GL34" s="526"/>
      <c r="GM34" s="525">
        <v>0</v>
      </c>
      <c r="GN34" s="525">
        <v>0</v>
      </c>
      <c r="GO34" s="526"/>
      <c r="GP34" s="526"/>
      <c r="GQ34" s="525">
        <v>0</v>
      </c>
      <c r="GR34" s="526"/>
      <c r="GS34" s="526"/>
      <c r="GT34" s="525">
        <v>0</v>
      </c>
      <c r="GU34" s="525">
        <v>0</v>
      </c>
      <c r="GV34" s="525">
        <v>0</v>
      </c>
      <c r="GW34" s="525">
        <v>0</v>
      </c>
      <c r="GX34" s="525">
        <v>0</v>
      </c>
      <c r="GY34" s="525">
        <v>0</v>
      </c>
      <c r="GZ34" s="525">
        <v>0</v>
      </c>
      <c r="HA34" s="525">
        <v>0</v>
      </c>
      <c r="HB34" s="525">
        <v>0</v>
      </c>
      <c r="HC34" s="525">
        <v>0</v>
      </c>
      <c r="HD34" s="525">
        <v>0</v>
      </c>
      <c r="HE34" s="525">
        <v>0</v>
      </c>
      <c r="HF34" s="525">
        <v>0</v>
      </c>
      <c r="HG34" s="525">
        <v>0</v>
      </c>
      <c r="HH34" s="525">
        <v>0</v>
      </c>
      <c r="HI34" s="525">
        <v>0</v>
      </c>
      <c r="HJ34" s="525">
        <v>0</v>
      </c>
      <c r="HK34" s="525">
        <v>0</v>
      </c>
      <c r="HL34" s="526"/>
      <c r="HM34" s="526"/>
      <c r="HN34" s="526"/>
      <c r="HO34" s="526"/>
      <c r="HP34" s="526"/>
      <c r="HQ34" s="526"/>
      <c r="HR34" s="526"/>
      <c r="HS34" s="526"/>
      <c r="HT34" s="526"/>
      <c r="HU34" s="526"/>
      <c r="HV34" s="526"/>
      <c r="HW34" s="526"/>
      <c r="HX34" s="526"/>
      <c r="HY34" s="526"/>
      <c r="HZ34" s="526"/>
      <c r="IA34" s="526"/>
      <c r="IB34" s="526"/>
      <c r="IC34" s="526"/>
      <c r="ID34" s="526"/>
      <c r="IE34" s="526"/>
      <c r="IF34" s="526"/>
      <c r="IG34" s="526"/>
      <c r="IH34" s="526"/>
      <c r="II34" s="526"/>
      <c r="IJ34" s="526"/>
      <c r="IK34" s="526"/>
      <c r="IL34" s="526"/>
      <c r="IM34" s="526"/>
      <c r="IN34" s="526"/>
      <c r="IO34" s="526"/>
      <c r="IP34" s="526"/>
      <c r="IQ34" s="526"/>
      <c r="IR34" s="526"/>
      <c r="IS34" s="526"/>
      <c r="IT34" s="526"/>
      <c r="IU34" s="526"/>
      <c r="IV34" s="526"/>
      <c r="IW34" s="526"/>
      <c r="IX34" s="526"/>
      <c r="IY34" s="526"/>
      <c r="IZ34" s="526"/>
      <c r="JA34" s="526"/>
      <c r="JB34" s="526"/>
      <c r="JC34" s="526"/>
      <c r="JD34" s="526"/>
      <c r="JE34" s="526"/>
      <c r="JF34" s="526"/>
      <c r="JG34" s="526"/>
      <c r="JH34" s="526"/>
      <c r="JI34" s="526"/>
      <c r="JJ34" s="526"/>
      <c r="JK34" s="526"/>
      <c r="JL34" s="526"/>
      <c r="JM34" s="526"/>
      <c r="JN34" s="525">
        <v>4410.2200000000012</v>
      </c>
      <c r="JO34" s="525">
        <v>1227.8936199999998</v>
      </c>
      <c r="JP34" s="525">
        <v>9806.1297426008477</v>
      </c>
      <c r="JQ34" s="525">
        <v>0</v>
      </c>
      <c r="JR34" s="525">
        <v>0</v>
      </c>
      <c r="JS34" s="527">
        <v>15444.24336260085</v>
      </c>
      <c r="JT34" s="528">
        <f t="shared" si="10"/>
        <v>1.8189894035458565E-12</v>
      </c>
      <c r="JU34" s="525">
        <v>15444.24336260085</v>
      </c>
      <c r="JV34" s="525">
        <v>15444.24336260085</v>
      </c>
      <c r="JW34" s="525">
        <v>15444.24336260085</v>
      </c>
      <c r="JX34" s="525">
        <v>5453.2629999999999</v>
      </c>
      <c r="JY34" s="525">
        <v>5453.2629999999999</v>
      </c>
      <c r="JZ34" s="526"/>
      <c r="KA34" s="525">
        <v>5453.2629999999999</v>
      </c>
      <c r="KB34" s="529">
        <v>0</v>
      </c>
      <c r="KC34" s="525">
        <v>-1.2914219149024575E-2</v>
      </c>
      <c r="KD34" s="525">
        <v>15444.256276819999</v>
      </c>
      <c r="KE34" s="525">
        <v>5453.2629999999999</v>
      </c>
      <c r="KF34" s="525">
        <v>0</v>
      </c>
      <c r="KG34" s="530">
        <v>0</v>
      </c>
      <c r="KH34" s="525">
        <v>0</v>
      </c>
      <c r="KI34" s="525">
        <v>8428.1374029999988</v>
      </c>
      <c r="KJ34" s="530">
        <v>2833.8446598971113</v>
      </c>
      <c r="KK34" s="525">
        <v>2974.1</v>
      </c>
      <c r="KL34" s="525">
        <v>5946.6998397199995</v>
      </c>
      <c r="KM34" s="530">
        <v>2831.4611542298126</v>
      </c>
      <c r="KN34" s="525">
        <v>2100.223</v>
      </c>
      <c r="KO34" s="525">
        <v>1069.4190340999999</v>
      </c>
      <c r="KP34" s="530">
        <v>2822.1328814588055</v>
      </c>
      <c r="KQ34" s="525">
        <v>378.94</v>
      </c>
      <c r="KR34" s="526"/>
      <c r="KS34" s="526"/>
      <c r="KT34" s="531">
        <v>2400</v>
      </c>
      <c r="KU34" s="531">
        <v>80</v>
      </c>
      <c r="KV34" s="526"/>
      <c r="KW34" s="531">
        <v>4085.3</v>
      </c>
      <c r="KX34" s="531">
        <v>4.0452000000000004</v>
      </c>
      <c r="KY34" s="531">
        <v>2.1</v>
      </c>
      <c r="KZ34" s="526"/>
      <c r="LA34" s="531">
        <v>1129</v>
      </c>
      <c r="LB34" s="532">
        <v>620</v>
      </c>
      <c r="LC34" s="533">
        <v>1.6E-2</v>
      </c>
      <c r="LD34" s="494">
        <f t="shared" si="11"/>
        <v>15914.264124207075</v>
      </c>
      <c r="LE34" s="509">
        <f t="shared" si="12"/>
        <v>15914.264124207075</v>
      </c>
      <c r="LF34" s="534">
        <f t="shared" si="13"/>
        <v>10113.646523638872</v>
      </c>
      <c r="LG34" s="535">
        <f t="shared" si="14"/>
        <v>7354.2519023188734</v>
      </c>
      <c r="LH34" s="536">
        <f t="shared" si="31"/>
        <v>1.03</v>
      </c>
      <c r="LI34" s="537">
        <f t="shared" si="15"/>
        <v>7354.2519023188734</v>
      </c>
      <c r="LJ34" s="536">
        <f t="shared" si="32"/>
        <v>1.0389999999999999</v>
      </c>
      <c r="LK34" s="537">
        <f t="shared" si="16"/>
        <v>0</v>
      </c>
      <c r="LL34" s="536">
        <f t="shared" si="33"/>
        <v>1.0349999999999999</v>
      </c>
      <c r="LM34" s="537">
        <f t="shared" si="17"/>
        <v>0</v>
      </c>
      <c r="LN34" s="536">
        <f t="shared" si="34"/>
        <v>1.0349999999999999</v>
      </c>
      <c r="LO34" s="537">
        <f t="shared" si="18"/>
        <v>0</v>
      </c>
      <c r="LP34" s="536">
        <f t="shared" si="35"/>
        <v>1.0349999999999999</v>
      </c>
      <c r="LQ34" s="537">
        <f t="shared" si="19"/>
        <v>2758.8762853199996</v>
      </c>
      <c r="LR34" s="536">
        <f t="shared" si="36"/>
        <v>1.04</v>
      </c>
      <c r="LS34" s="537">
        <f t="shared" si="20"/>
        <v>0.51833600000000002</v>
      </c>
      <c r="LT34" s="539">
        <f t="shared" si="21"/>
        <v>4536.3963942000009</v>
      </c>
      <c r="LU34" s="540">
        <f t="shared" si="22"/>
        <v>3543.8803191000002</v>
      </c>
      <c r="LV34" s="541">
        <f t="shared" si="23"/>
        <v>992.51607510000076</v>
      </c>
      <c r="LW34" s="542">
        <f t="shared" si="24"/>
        <v>1264.2212063681995</v>
      </c>
      <c r="LX34" s="540">
        <f t="shared" si="25"/>
        <v>1070.2518563681997</v>
      </c>
      <c r="LY34" s="540">
        <f t="shared" si="26"/>
        <v>0</v>
      </c>
      <c r="LZ34" s="543">
        <f t="shared" si="27"/>
        <v>193.96934999999982</v>
      </c>
      <c r="MA34" s="544">
        <f t="shared" si="28"/>
        <v>1.8189894035458565E-12</v>
      </c>
      <c r="MB34" s="545">
        <f t="shared" si="29"/>
        <v>0</v>
      </c>
    </row>
    <row r="35" spans="1:340" ht="16.5" customHeight="1">
      <c r="A35" s="465">
        <v>1</v>
      </c>
      <c r="B35" s="466">
        <v>25</v>
      </c>
      <c r="C35" s="467" t="s">
        <v>137</v>
      </c>
      <c r="D35" s="468">
        <v>4632001454</v>
      </c>
      <c r="E35" s="469">
        <f t="shared" si="3"/>
        <v>22929.780256367962</v>
      </c>
      <c r="F35" s="470" t="s">
        <v>281</v>
      </c>
      <c r="G35" s="595">
        <v>2232.5220799999997</v>
      </c>
      <c r="H35" s="597">
        <f t="shared" si="30"/>
        <v>20697.258176367963</v>
      </c>
      <c r="I35" s="597" t="s">
        <v>859</v>
      </c>
      <c r="J35" s="471">
        <f t="shared" si="4"/>
        <v>19108.150213639969</v>
      </c>
      <c r="K35" s="472">
        <f t="shared" si="5"/>
        <v>17870.146788039969</v>
      </c>
      <c r="L35" s="473">
        <f t="shared" si="6"/>
        <v>0</v>
      </c>
      <c r="M35" s="474">
        <v>0</v>
      </c>
      <c r="N35" s="475">
        <v>0</v>
      </c>
      <c r="O35" s="475">
        <v>0</v>
      </c>
      <c r="P35" s="476">
        <v>0</v>
      </c>
      <c r="Q35" s="477">
        <v>17870.146788039969</v>
      </c>
      <c r="R35" s="478">
        <f t="shared" si="7"/>
        <v>0</v>
      </c>
      <c r="S35" s="479">
        <f t="shared" si="8"/>
        <v>713.4944256</v>
      </c>
      <c r="T35" s="479">
        <v>510.04</v>
      </c>
      <c r="U35" s="480">
        <v>203.45442559999998</v>
      </c>
      <c r="V35" s="481">
        <f t="shared" si="9"/>
        <v>256.35239999999999</v>
      </c>
      <c r="W35" s="482">
        <v>158.11239999999998</v>
      </c>
      <c r="X35" s="479">
        <v>93.066000000000003</v>
      </c>
      <c r="Y35" s="483">
        <v>5.1740000000000066</v>
      </c>
      <c r="Z35" s="484">
        <v>219.02999999999844</v>
      </c>
      <c r="AA35" s="485">
        <v>49.126600000000003</v>
      </c>
      <c r="AB35" s="486"/>
      <c r="AC35" s="487">
        <v>0</v>
      </c>
      <c r="AD35" s="487">
        <v>0</v>
      </c>
      <c r="AE35" s="487">
        <v>0</v>
      </c>
      <c r="AF35" s="487">
        <v>0</v>
      </c>
      <c r="AG35" s="487">
        <v>0</v>
      </c>
      <c r="AH35" s="487">
        <v>17870.146788039969</v>
      </c>
      <c r="AI35" s="487">
        <v>17794.736693439969</v>
      </c>
      <c r="AJ35" s="487">
        <v>17794.736693439969</v>
      </c>
      <c r="AK35" s="487">
        <v>0</v>
      </c>
      <c r="AL35" s="487">
        <v>0</v>
      </c>
      <c r="AM35" s="487">
        <v>0</v>
      </c>
      <c r="AN35" s="487">
        <v>0</v>
      </c>
      <c r="AO35" s="487">
        <v>17794.736693439969</v>
      </c>
      <c r="AP35" s="487">
        <v>17794.736693439969</v>
      </c>
      <c r="AQ35" s="487">
        <v>11.14</v>
      </c>
      <c r="AR35" s="487">
        <v>1597.3731322657063</v>
      </c>
      <c r="AS35" s="487">
        <v>0</v>
      </c>
      <c r="AT35" s="487">
        <v>0</v>
      </c>
      <c r="AU35" s="487">
        <v>0</v>
      </c>
      <c r="AV35" s="487">
        <v>0</v>
      </c>
      <c r="AW35" s="487">
        <v>0</v>
      </c>
      <c r="AX35" s="487">
        <v>0</v>
      </c>
      <c r="AY35" s="487">
        <v>0</v>
      </c>
      <c r="AZ35" s="487">
        <v>0</v>
      </c>
      <c r="BA35" s="487">
        <v>0</v>
      </c>
      <c r="BB35" s="487">
        <v>0</v>
      </c>
      <c r="BC35" s="487">
        <v>0</v>
      </c>
      <c r="BD35" s="487">
        <v>0</v>
      </c>
      <c r="BE35" s="487">
        <v>0</v>
      </c>
      <c r="BF35" s="487">
        <v>0</v>
      </c>
      <c r="BG35" s="487">
        <v>0</v>
      </c>
      <c r="BH35" s="487">
        <v>0</v>
      </c>
      <c r="BI35" s="487">
        <v>0</v>
      </c>
      <c r="BJ35" s="487">
        <v>0</v>
      </c>
      <c r="BK35" s="487">
        <v>0</v>
      </c>
      <c r="BL35" s="487">
        <v>0</v>
      </c>
      <c r="BM35" s="487">
        <v>0</v>
      </c>
      <c r="BN35" s="487">
        <v>0</v>
      </c>
      <c r="BO35" s="487">
        <v>0</v>
      </c>
      <c r="BP35" s="487">
        <v>0</v>
      </c>
      <c r="BQ35" s="487">
        <v>0</v>
      </c>
      <c r="BR35" s="487">
        <v>0</v>
      </c>
      <c r="BS35" s="487">
        <v>0</v>
      </c>
      <c r="BT35" s="487">
        <v>0</v>
      </c>
      <c r="BU35" s="487">
        <v>0</v>
      </c>
      <c r="BV35" s="487">
        <v>0</v>
      </c>
      <c r="BW35" s="487">
        <v>0</v>
      </c>
      <c r="BX35" s="487">
        <v>0</v>
      </c>
      <c r="BY35" s="487">
        <v>0</v>
      </c>
      <c r="BZ35" s="487">
        <v>0</v>
      </c>
      <c r="CA35" s="487">
        <v>0</v>
      </c>
      <c r="CB35" s="487">
        <v>75.410094599999994</v>
      </c>
      <c r="CC35" s="487">
        <v>0</v>
      </c>
      <c r="CD35" s="487">
        <v>75.410094599999994</v>
      </c>
      <c r="CE35" s="487">
        <v>0</v>
      </c>
      <c r="CF35" s="487">
        <v>16.481999999999999</v>
      </c>
      <c r="CG35" s="487">
        <v>0</v>
      </c>
      <c r="CH35" s="487">
        <v>0</v>
      </c>
      <c r="CI35" s="487">
        <v>0</v>
      </c>
      <c r="CJ35" s="487">
        <v>75.410094599999994</v>
      </c>
      <c r="CK35" s="487">
        <v>4.5752999999999995</v>
      </c>
      <c r="CL35" s="487">
        <v>16.481999999999999</v>
      </c>
      <c r="CM35" s="487">
        <v>510.04</v>
      </c>
      <c r="CN35" s="487">
        <v>510.04</v>
      </c>
      <c r="CO35" s="487">
        <v>0</v>
      </c>
      <c r="CP35" s="487">
        <v>0</v>
      </c>
      <c r="CQ35" s="487">
        <v>0</v>
      </c>
      <c r="CR35" s="487">
        <v>0</v>
      </c>
      <c r="CS35" s="487">
        <v>158.11239999999998</v>
      </c>
      <c r="CT35" s="487">
        <v>158.11239999999998</v>
      </c>
      <c r="CU35" s="487">
        <v>0</v>
      </c>
      <c r="CV35" s="487">
        <v>0</v>
      </c>
      <c r="CW35" s="487">
        <v>0</v>
      </c>
      <c r="CX35" s="487">
        <v>0</v>
      </c>
      <c r="CY35" s="487">
        <v>0</v>
      </c>
      <c r="CZ35" s="467"/>
      <c r="DA35" s="487">
        <v>0</v>
      </c>
      <c r="DB35" s="487">
        <v>0</v>
      </c>
      <c r="DC35" s="467"/>
      <c r="DD35" s="487">
        <v>0</v>
      </c>
      <c r="DE35" s="487">
        <v>0</v>
      </c>
      <c r="DF35" s="487">
        <v>0</v>
      </c>
      <c r="DG35" s="487">
        <v>103.32509760000001</v>
      </c>
      <c r="DH35" s="487">
        <v>79.585534400000014</v>
      </c>
      <c r="DI35" s="487">
        <v>0</v>
      </c>
      <c r="DJ35" s="487">
        <v>23.739563199999999</v>
      </c>
      <c r="DK35" s="487">
        <v>0</v>
      </c>
      <c r="DL35" s="487">
        <v>0</v>
      </c>
      <c r="DM35" s="487">
        <v>0</v>
      </c>
      <c r="DN35" s="487">
        <v>0</v>
      </c>
      <c r="DO35" s="487">
        <v>0</v>
      </c>
      <c r="DP35" s="487">
        <v>33.225132480000006</v>
      </c>
      <c r="DQ35" s="487">
        <v>0</v>
      </c>
      <c r="DR35" s="487">
        <v>0</v>
      </c>
      <c r="DS35" s="487">
        <v>0</v>
      </c>
      <c r="DT35" s="487">
        <v>33.225132480000006</v>
      </c>
      <c r="DU35" s="487">
        <v>58.004448960000005</v>
      </c>
      <c r="DV35" s="487">
        <v>1.1816963199999999</v>
      </c>
      <c r="DW35" s="487">
        <v>5.0929244799999998</v>
      </c>
      <c r="DX35" s="487">
        <v>6.5989155200000003</v>
      </c>
      <c r="DY35" s="487">
        <v>0</v>
      </c>
      <c r="DZ35" s="487">
        <v>0</v>
      </c>
      <c r="EA35" s="487">
        <v>0.23014464000000001</v>
      </c>
      <c r="EB35" s="487">
        <v>0</v>
      </c>
      <c r="EC35" s="487">
        <v>0</v>
      </c>
      <c r="ED35" s="487">
        <v>0</v>
      </c>
      <c r="EE35" s="487">
        <v>0</v>
      </c>
      <c r="EF35" s="487">
        <v>0</v>
      </c>
      <c r="EG35" s="487">
        <v>44.900767999999999</v>
      </c>
      <c r="EH35" s="487">
        <v>0</v>
      </c>
      <c r="EI35" s="487">
        <v>0</v>
      </c>
      <c r="EJ35" s="487">
        <v>0</v>
      </c>
      <c r="EK35" s="487">
        <v>0</v>
      </c>
      <c r="EL35" s="487">
        <v>0</v>
      </c>
      <c r="EM35" s="487">
        <v>0</v>
      </c>
      <c r="EN35" s="487">
        <v>0</v>
      </c>
      <c r="EO35" s="487">
        <v>0</v>
      </c>
      <c r="EP35" s="487">
        <v>8.8997465600000005</v>
      </c>
      <c r="EQ35" s="487">
        <v>0</v>
      </c>
      <c r="ER35" s="487">
        <v>8.8997465600000005</v>
      </c>
      <c r="ES35" s="487">
        <v>0</v>
      </c>
      <c r="ET35" s="487">
        <v>0</v>
      </c>
      <c r="EU35" s="487">
        <v>0</v>
      </c>
      <c r="EV35" s="487">
        <v>0</v>
      </c>
      <c r="EW35" s="487">
        <v>0</v>
      </c>
      <c r="EX35" s="487">
        <v>0</v>
      </c>
      <c r="EY35" s="487">
        <v>0</v>
      </c>
      <c r="EZ35" s="487">
        <v>0</v>
      </c>
      <c r="FA35" s="487">
        <v>0</v>
      </c>
      <c r="FB35" s="487">
        <v>5.1739999999999995</v>
      </c>
      <c r="FC35" s="487">
        <v>0</v>
      </c>
      <c r="FD35" s="487">
        <v>0</v>
      </c>
      <c r="FE35" s="487">
        <v>0</v>
      </c>
      <c r="FF35" s="487">
        <v>5.1739999999999995</v>
      </c>
      <c r="FG35" s="487">
        <v>2.2599999999999998</v>
      </c>
      <c r="FH35" s="487">
        <v>2.48</v>
      </c>
      <c r="FI35" s="487">
        <v>8.7999999999999995E-2</v>
      </c>
      <c r="FJ35" s="487">
        <v>0</v>
      </c>
      <c r="FK35" s="487">
        <v>0.34599999999999997</v>
      </c>
      <c r="FL35" s="487">
        <v>0</v>
      </c>
      <c r="FM35" s="487">
        <v>93.066000000000003</v>
      </c>
      <c r="FN35" s="487">
        <v>0</v>
      </c>
      <c r="FO35" s="487">
        <v>93.066000000000003</v>
      </c>
      <c r="FP35" s="487">
        <v>0</v>
      </c>
      <c r="FQ35" s="487">
        <v>0</v>
      </c>
      <c r="FR35" s="487">
        <v>0</v>
      </c>
      <c r="FS35" s="488">
        <v>18839.99361363997</v>
      </c>
      <c r="FT35" s="487">
        <v>0</v>
      </c>
      <c r="FU35" s="487">
        <v>0</v>
      </c>
      <c r="FV35" s="487">
        <v>0</v>
      </c>
      <c r="FW35" s="487">
        <v>0</v>
      </c>
      <c r="FX35" s="487">
        <v>0</v>
      </c>
      <c r="FY35" s="487">
        <v>0</v>
      </c>
      <c r="FZ35" s="487">
        <v>0</v>
      </c>
      <c r="GA35" s="487">
        <v>0</v>
      </c>
      <c r="GB35" s="487">
        <v>0</v>
      </c>
      <c r="GC35" s="487">
        <v>0</v>
      </c>
      <c r="GD35" s="487">
        <v>0</v>
      </c>
      <c r="GE35" s="487">
        <v>0</v>
      </c>
      <c r="GF35" s="487">
        <v>0</v>
      </c>
      <c r="GG35" s="487">
        <v>0</v>
      </c>
      <c r="GH35" s="487">
        <v>49.126600000000003</v>
      </c>
      <c r="GI35" s="487">
        <v>49.126600000000003</v>
      </c>
      <c r="GJ35" s="467"/>
      <c r="GK35" s="487">
        <v>0</v>
      </c>
      <c r="GL35" s="467"/>
      <c r="GM35" s="487">
        <v>0</v>
      </c>
      <c r="GN35" s="487">
        <v>0</v>
      </c>
      <c r="GO35" s="467"/>
      <c r="GP35" s="467"/>
      <c r="GQ35" s="487">
        <v>0</v>
      </c>
      <c r="GR35" s="467"/>
      <c r="GS35" s="467"/>
      <c r="GT35" s="487">
        <v>0</v>
      </c>
      <c r="GU35" s="487">
        <v>0</v>
      </c>
      <c r="GV35" s="487">
        <v>0</v>
      </c>
      <c r="GW35" s="487">
        <v>0</v>
      </c>
      <c r="GX35" s="487">
        <v>0</v>
      </c>
      <c r="GY35" s="487">
        <v>0</v>
      </c>
      <c r="GZ35" s="487">
        <v>0</v>
      </c>
      <c r="HA35" s="487">
        <v>0</v>
      </c>
      <c r="HB35" s="487">
        <v>0</v>
      </c>
      <c r="HC35" s="487">
        <v>0</v>
      </c>
      <c r="HD35" s="487">
        <v>0</v>
      </c>
      <c r="HE35" s="487">
        <v>0</v>
      </c>
      <c r="HF35" s="487">
        <v>0</v>
      </c>
      <c r="HG35" s="487">
        <v>0</v>
      </c>
      <c r="HH35" s="487">
        <v>0</v>
      </c>
      <c r="HI35" s="487">
        <v>0</v>
      </c>
      <c r="HJ35" s="487">
        <v>0</v>
      </c>
      <c r="HK35" s="487">
        <v>0</v>
      </c>
      <c r="HL35" s="467"/>
      <c r="HM35" s="467"/>
      <c r="HN35" s="467"/>
      <c r="HO35" s="467"/>
      <c r="HP35" s="467"/>
      <c r="HQ35" s="467"/>
      <c r="HR35" s="467"/>
      <c r="HS35" s="467"/>
      <c r="HT35" s="467"/>
      <c r="HU35" s="467"/>
      <c r="HV35" s="467"/>
      <c r="HW35" s="467"/>
      <c r="HX35" s="467"/>
      <c r="HY35" s="467"/>
      <c r="HZ35" s="467"/>
      <c r="IA35" s="467"/>
      <c r="IB35" s="467"/>
      <c r="IC35" s="467"/>
      <c r="ID35" s="467"/>
      <c r="IE35" s="467"/>
      <c r="IF35" s="467"/>
      <c r="IG35" s="467"/>
      <c r="IH35" s="467"/>
      <c r="II35" s="467"/>
      <c r="IJ35" s="467"/>
      <c r="IK35" s="467"/>
      <c r="IL35" s="467"/>
      <c r="IM35" s="467"/>
      <c r="IN35" s="467"/>
      <c r="IO35" s="467"/>
      <c r="IP35" s="467"/>
      <c r="IQ35" s="467"/>
      <c r="IR35" s="467"/>
      <c r="IS35" s="467"/>
      <c r="IT35" s="467"/>
      <c r="IU35" s="467"/>
      <c r="IV35" s="467"/>
      <c r="IW35" s="467"/>
      <c r="IX35" s="467"/>
      <c r="IY35" s="467"/>
      <c r="IZ35" s="467"/>
      <c r="JA35" s="467"/>
      <c r="JB35" s="467"/>
      <c r="JC35" s="467"/>
      <c r="JD35" s="467"/>
      <c r="JE35" s="467"/>
      <c r="JF35" s="467"/>
      <c r="JG35" s="467"/>
      <c r="JH35" s="467"/>
      <c r="JI35" s="467"/>
      <c r="JJ35" s="467"/>
      <c r="JK35" s="467"/>
      <c r="JL35" s="467"/>
      <c r="JM35" s="467"/>
      <c r="JN35" s="487">
        <v>713.4944256</v>
      </c>
      <c r="JO35" s="487">
        <v>256.35239999999999</v>
      </c>
      <c r="JP35" s="487">
        <v>17870.146788039969</v>
      </c>
      <c r="JQ35" s="487">
        <v>0</v>
      </c>
      <c r="JR35" s="487">
        <v>49.126600000000003</v>
      </c>
      <c r="JS35" s="488">
        <v>19108.150213639969</v>
      </c>
      <c r="JT35" s="489">
        <f t="shared" si="10"/>
        <v>219.02999999999844</v>
      </c>
      <c r="JU35" s="487">
        <v>22929.780256367962</v>
      </c>
      <c r="JV35" s="487">
        <v>1871.726751847503</v>
      </c>
      <c r="JW35" s="487">
        <v>2246.0721022170037</v>
      </c>
      <c r="JX35" s="487">
        <v>7626</v>
      </c>
      <c r="JY35" s="487">
        <v>747</v>
      </c>
      <c r="JZ35" s="467"/>
      <c r="KA35" s="487">
        <v>747</v>
      </c>
      <c r="KB35" s="490">
        <v>0.26075698860339752</v>
      </c>
      <c r="KC35" s="487">
        <v>11.292341847502939</v>
      </c>
      <c r="KD35" s="487">
        <v>1860.4344100000001</v>
      </c>
      <c r="KE35" s="487">
        <v>747</v>
      </c>
      <c r="KF35" s="487">
        <v>0</v>
      </c>
      <c r="KG35" s="491">
        <v>0</v>
      </c>
      <c r="KH35" s="487">
        <v>0</v>
      </c>
      <c r="KI35" s="487">
        <v>0</v>
      </c>
      <c r="KJ35" s="491">
        <v>0</v>
      </c>
      <c r="KK35" s="487">
        <v>0</v>
      </c>
      <c r="KL35" s="487">
        <v>0</v>
      </c>
      <c r="KM35" s="491">
        <v>0</v>
      </c>
      <c r="KN35" s="487">
        <v>0</v>
      </c>
      <c r="KO35" s="487">
        <v>1860.4344100000001</v>
      </c>
      <c r="KP35" s="491">
        <v>2490.5413788487285</v>
      </c>
      <c r="KQ35" s="487">
        <v>747</v>
      </c>
      <c r="KR35" s="467"/>
      <c r="KS35" s="467"/>
      <c r="KT35" s="487"/>
      <c r="KU35" s="487"/>
      <c r="KV35" s="467"/>
      <c r="KW35" s="487">
        <v>2577.9</v>
      </c>
      <c r="KX35" s="487">
        <v>5.68</v>
      </c>
      <c r="KY35" s="487"/>
      <c r="KZ35" s="467"/>
      <c r="LA35" s="487">
        <v>400</v>
      </c>
      <c r="LB35" s="492"/>
      <c r="LC35" s="493">
        <v>7.0000000000000001E-3</v>
      </c>
      <c r="LD35" s="494">
        <f t="shared" si="11"/>
        <v>23716.439824202138</v>
      </c>
      <c r="LE35" s="471">
        <f t="shared" si="12"/>
        <v>19763.699853501781</v>
      </c>
      <c r="LF35" s="495">
        <f t="shared" si="13"/>
        <v>18495.601925621366</v>
      </c>
      <c r="LG35" s="476">
        <f t="shared" si="14"/>
        <v>0</v>
      </c>
      <c r="LH35" s="496">
        <f t="shared" si="31"/>
        <v>1.03</v>
      </c>
      <c r="LI35" s="497">
        <f t="shared" si="15"/>
        <v>0</v>
      </c>
      <c r="LJ35" s="496">
        <f t="shared" si="32"/>
        <v>1.0389999999999999</v>
      </c>
      <c r="LK35" s="497">
        <f t="shared" si="16"/>
        <v>0</v>
      </c>
      <c r="LL35" s="496">
        <f t="shared" si="33"/>
        <v>1.0349999999999999</v>
      </c>
      <c r="LM35" s="497">
        <f t="shared" si="17"/>
        <v>0</v>
      </c>
      <c r="LN35" s="496">
        <f t="shared" si="34"/>
        <v>1.0349999999999999</v>
      </c>
      <c r="LO35" s="497">
        <f t="shared" si="18"/>
        <v>0</v>
      </c>
      <c r="LP35" s="496">
        <f t="shared" si="35"/>
        <v>1.0349999999999999</v>
      </c>
      <c r="LQ35" s="497">
        <f t="shared" si="19"/>
        <v>18495.601925621366</v>
      </c>
      <c r="LR35" s="496">
        <f t="shared" si="36"/>
        <v>1.04</v>
      </c>
      <c r="LS35" s="497">
        <f t="shared" si="20"/>
        <v>0</v>
      </c>
      <c r="LT35" s="499">
        <f t="shared" si="21"/>
        <v>733.90750111641592</v>
      </c>
      <c r="LU35" s="500">
        <f t="shared" si="22"/>
        <v>524.63224439999999</v>
      </c>
      <c r="LV35" s="501">
        <f t="shared" si="23"/>
        <v>209.27525671641595</v>
      </c>
      <c r="LW35" s="499">
        <f t="shared" si="24"/>
        <v>264.31439576399998</v>
      </c>
      <c r="LX35" s="500">
        <f t="shared" si="25"/>
        <v>162.63599576399997</v>
      </c>
      <c r="LY35" s="500">
        <f t="shared" si="26"/>
        <v>96.323309999999992</v>
      </c>
      <c r="LZ35" s="502">
        <f t="shared" si="27"/>
        <v>5.3550900000000068</v>
      </c>
      <c r="MA35" s="503">
        <f t="shared" si="28"/>
        <v>219.02999999999844</v>
      </c>
      <c r="MB35" s="504">
        <f t="shared" si="29"/>
        <v>50.846030999999996</v>
      </c>
    </row>
    <row r="36" spans="1:340" ht="16.5" customHeight="1">
      <c r="A36" s="505">
        <v>1</v>
      </c>
      <c r="B36" s="506">
        <v>26</v>
      </c>
      <c r="C36" s="507" t="s">
        <v>189</v>
      </c>
      <c r="D36" s="508">
        <v>3666120176</v>
      </c>
      <c r="E36" s="469">
        <f t="shared" si="3"/>
        <v>25172.682632113996</v>
      </c>
      <c r="F36" s="470" t="s">
        <v>287</v>
      </c>
      <c r="G36" s="595">
        <v>25172.6871226</v>
      </c>
      <c r="H36" s="595">
        <f t="shared" si="30"/>
        <v>-4.4904860042151995E-3</v>
      </c>
      <c r="I36" s="595"/>
      <c r="J36" s="509">
        <f t="shared" si="4"/>
        <v>25172.682632113996</v>
      </c>
      <c r="K36" s="510">
        <f t="shared" si="5"/>
        <v>17748.497239794</v>
      </c>
      <c r="L36" s="511">
        <f t="shared" si="6"/>
        <v>15502.108470443998</v>
      </c>
      <c r="M36" s="512">
        <v>15502.108470443998</v>
      </c>
      <c r="N36" s="513">
        <v>0</v>
      </c>
      <c r="O36" s="513">
        <v>0</v>
      </c>
      <c r="P36" s="514">
        <v>0</v>
      </c>
      <c r="Q36" s="515">
        <v>2246.3887693500001</v>
      </c>
      <c r="R36" s="516">
        <f t="shared" si="7"/>
        <v>0</v>
      </c>
      <c r="S36" s="517">
        <f t="shared" si="8"/>
        <v>2237.1539923200003</v>
      </c>
      <c r="T36" s="518">
        <v>0</v>
      </c>
      <c r="U36" s="519">
        <v>2237.1539923200003</v>
      </c>
      <c r="V36" s="520">
        <f t="shared" si="9"/>
        <v>5216.1200000000008</v>
      </c>
      <c r="W36" s="521">
        <v>0</v>
      </c>
      <c r="X36" s="518">
        <v>4906.1000000000004</v>
      </c>
      <c r="Y36" s="522">
        <v>310.02000000000044</v>
      </c>
      <c r="Z36" s="523">
        <v>-92.279400000002767</v>
      </c>
      <c r="AA36" s="524">
        <v>63.190799999999996</v>
      </c>
      <c r="AB36" s="486"/>
      <c r="AC36" s="525">
        <v>15502.108470443998</v>
      </c>
      <c r="AD36" s="525">
        <v>15502.108470443998</v>
      </c>
      <c r="AE36" s="525">
        <v>0</v>
      </c>
      <c r="AF36" s="525">
        <v>0</v>
      </c>
      <c r="AG36" s="525">
        <v>0</v>
      </c>
      <c r="AH36" s="525">
        <v>2246.3887693500001</v>
      </c>
      <c r="AI36" s="525">
        <v>2246.3887693500001</v>
      </c>
      <c r="AJ36" s="525">
        <v>0</v>
      </c>
      <c r="AK36" s="525">
        <v>0</v>
      </c>
      <c r="AL36" s="525">
        <v>0</v>
      </c>
      <c r="AM36" s="525">
        <v>0</v>
      </c>
      <c r="AN36" s="525">
        <v>0</v>
      </c>
      <c r="AO36" s="525">
        <v>0</v>
      </c>
      <c r="AP36" s="525">
        <v>0</v>
      </c>
      <c r="AQ36" s="525">
        <v>0</v>
      </c>
      <c r="AR36" s="525">
        <v>0</v>
      </c>
      <c r="AS36" s="525">
        <v>0</v>
      </c>
      <c r="AT36" s="525">
        <v>0</v>
      </c>
      <c r="AU36" s="525">
        <v>0</v>
      </c>
      <c r="AV36" s="525">
        <v>0</v>
      </c>
      <c r="AW36" s="525">
        <v>0</v>
      </c>
      <c r="AX36" s="525">
        <v>0</v>
      </c>
      <c r="AY36" s="525">
        <v>0</v>
      </c>
      <c r="AZ36" s="525">
        <v>0</v>
      </c>
      <c r="BA36" s="525">
        <v>2246.3887693500001</v>
      </c>
      <c r="BB36" s="525">
        <v>259.72815000000003</v>
      </c>
      <c r="BC36" s="525">
        <v>0</v>
      </c>
      <c r="BD36" s="525">
        <v>0</v>
      </c>
      <c r="BE36" s="525">
        <v>0</v>
      </c>
      <c r="BF36" s="525">
        <v>0</v>
      </c>
      <c r="BG36" s="525">
        <v>0</v>
      </c>
      <c r="BH36" s="525">
        <v>0</v>
      </c>
      <c r="BI36" s="525">
        <v>0</v>
      </c>
      <c r="BJ36" s="525">
        <v>2246.3887693500001</v>
      </c>
      <c r="BK36" s="525">
        <v>8.6489999999999991</v>
      </c>
      <c r="BL36" s="525">
        <v>259.72815000000003</v>
      </c>
      <c r="BM36" s="525">
        <v>0</v>
      </c>
      <c r="BN36" s="525">
        <v>0</v>
      </c>
      <c r="BO36" s="525">
        <v>0</v>
      </c>
      <c r="BP36" s="525">
        <v>0</v>
      </c>
      <c r="BQ36" s="525">
        <v>0</v>
      </c>
      <c r="BR36" s="525">
        <v>0</v>
      </c>
      <c r="BS36" s="525">
        <v>0</v>
      </c>
      <c r="BT36" s="525">
        <v>0</v>
      </c>
      <c r="BU36" s="525">
        <v>0</v>
      </c>
      <c r="BV36" s="525">
        <v>0</v>
      </c>
      <c r="BW36" s="525">
        <v>0</v>
      </c>
      <c r="BX36" s="525">
        <v>0</v>
      </c>
      <c r="BY36" s="525">
        <v>0</v>
      </c>
      <c r="BZ36" s="525">
        <v>0</v>
      </c>
      <c r="CA36" s="525">
        <v>0</v>
      </c>
      <c r="CB36" s="525">
        <v>0</v>
      </c>
      <c r="CC36" s="525">
        <v>0</v>
      </c>
      <c r="CD36" s="525">
        <v>0</v>
      </c>
      <c r="CE36" s="525">
        <v>0</v>
      </c>
      <c r="CF36" s="525">
        <v>0</v>
      </c>
      <c r="CG36" s="525">
        <v>0</v>
      </c>
      <c r="CH36" s="525">
        <v>0</v>
      </c>
      <c r="CI36" s="525">
        <v>0</v>
      </c>
      <c r="CJ36" s="525">
        <v>0</v>
      </c>
      <c r="CK36" s="525">
        <v>0</v>
      </c>
      <c r="CL36" s="525">
        <v>0</v>
      </c>
      <c r="CM36" s="525">
        <v>0</v>
      </c>
      <c r="CN36" s="525">
        <v>0</v>
      </c>
      <c r="CO36" s="525">
        <v>0</v>
      </c>
      <c r="CP36" s="525">
        <v>0</v>
      </c>
      <c r="CQ36" s="525">
        <v>0</v>
      </c>
      <c r="CR36" s="525">
        <v>0</v>
      </c>
      <c r="CS36" s="525">
        <v>0</v>
      </c>
      <c r="CT36" s="525">
        <v>0</v>
      </c>
      <c r="CU36" s="525">
        <v>0</v>
      </c>
      <c r="CV36" s="525">
        <v>0</v>
      </c>
      <c r="CW36" s="525">
        <v>0</v>
      </c>
      <c r="CX36" s="525">
        <v>0</v>
      </c>
      <c r="CY36" s="525">
        <v>0</v>
      </c>
      <c r="CZ36" s="526"/>
      <c r="DA36" s="525">
        <v>0</v>
      </c>
      <c r="DB36" s="525">
        <v>0</v>
      </c>
      <c r="DC36" s="526"/>
      <c r="DD36" s="525">
        <v>0</v>
      </c>
      <c r="DE36" s="525">
        <v>0</v>
      </c>
      <c r="DF36" s="525">
        <v>0</v>
      </c>
      <c r="DG36" s="525">
        <v>0</v>
      </c>
      <c r="DH36" s="525">
        <v>0</v>
      </c>
      <c r="DI36" s="525">
        <v>0</v>
      </c>
      <c r="DJ36" s="525">
        <v>0</v>
      </c>
      <c r="DK36" s="525">
        <v>0</v>
      </c>
      <c r="DL36" s="525">
        <v>0</v>
      </c>
      <c r="DM36" s="525">
        <v>0</v>
      </c>
      <c r="DN36" s="525">
        <v>0</v>
      </c>
      <c r="DO36" s="525">
        <v>0</v>
      </c>
      <c r="DP36" s="525">
        <v>1517.76</v>
      </c>
      <c r="DQ36" s="525">
        <v>0</v>
      </c>
      <c r="DR36" s="525">
        <v>0</v>
      </c>
      <c r="DS36" s="525">
        <v>0</v>
      </c>
      <c r="DT36" s="525">
        <v>1517.76</v>
      </c>
      <c r="DU36" s="525">
        <v>719.39399232000017</v>
      </c>
      <c r="DV36" s="525">
        <v>0</v>
      </c>
      <c r="DW36" s="525">
        <v>100.39721472000001</v>
      </c>
      <c r="DX36" s="525">
        <v>0</v>
      </c>
      <c r="DY36" s="525">
        <v>0</v>
      </c>
      <c r="DZ36" s="525">
        <v>0</v>
      </c>
      <c r="EA36" s="525">
        <v>0</v>
      </c>
      <c r="EB36" s="525">
        <v>0</v>
      </c>
      <c r="EC36" s="525">
        <v>0</v>
      </c>
      <c r="ED36" s="525">
        <v>0</v>
      </c>
      <c r="EE36" s="525">
        <v>0</v>
      </c>
      <c r="EF36" s="525">
        <v>0</v>
      </c>
      <c r="EG36" s="525">
        <v>618.99677760000009</v>
      </c>
      <c r="EH36" s="525">
        <v>0</v>
      </c>
      <c r="EI36" s="525">
        <v>0</v>
      </c>
      <c r="EJ36" s="525">
        <v>0</v>
      </c>
      <c r="EK36" s="525">
        <v>0</v>
      </c>
      <c r="EL36" s="525">
        <v>0</v>
      </c>
      <c r="EM36" s="525">
        <v>0</v>
      </c>
      <c r="EN36" s="525">
        <v>0</v>
      </c>
      <c r="EO36" s="525">
        <v>0</v>
      </c>
      <c r="EP36" s="525">
        <v>0</v>
      </c>
      <c r="EQ36" s="525">
        <v>0</v>
      </c>
      <c r="ER36" s="525">
        <v>0</v>
      </c>
      <c r="ES36" s="525">
        <v>0</v>
      </c>
      <c r="ET36" s="525">
        <v>0</v>
      </c>
      <c r="EU36" s="525">
        <v>0</v>
      </c>
      <c r="EV36" s="525">
        <v>0</v>
      </c>
      <c r="EW36" s="525">
        <v>0</v>
      </c>
      <c r="EX36" s="525">
        <v>0</v>
      </c>
      <c r="EY36" s="525">
        <v>0</v>
      </c>
      <c r="EZ36" s="525">
        <v>0</v>
      </c>
      <c r="FA36" s="525">
        <v>0</v>
      </c>
      <c r="FB36" s="525">
        <v>58</v>
      </c>
      <c r="FC36" s="525">
        <v>0</v>
      </c>
      <c r="FD36" s="525">
        <v>58</v>
      </c>
      <c r="FE36" s="525">
        <v>0</v>
      </c>
      <c r="FF36" s="525">
        <v>0</v>
      </c>
      <c r="FG36" s="525">
        <v>0</v>
      </c>
      <c r="FH36" s="525">
        <v>0</v>
      </c>
      <c r="FI36" s="525">
        <v>0</v>
      </c>
      <c r="FJ36" s="525">
        <v>0</v>
      </c>
      <c r="FK36" s="525">
        <v>0</v>
      </c>
      <c r="FL36" s="525">
        <v>0</v>
      </c>
      <c r="FM36" s="525">
        <v>4906.1000000000004</v>
      </c>
      <c r="FN36" s="525">
        <v>4906.1000000000004</v>
      </c>
      <c r="FO36" s="525">
        <v>0</v>
      </c>
      <c r="FP36" s="525">
        <v>0</v>
      </c>
      <c r="FQ36" s="525">
        <v>252.01999999999998</v>
      </c>
      <c r="FR36" s="525">
        <v>0</v>
      </c>
      <c r="FS36" s="527">
        <v>25201.771232113999</v>
      </c>
      <c r="FT36" s="525">
        <v>0</v>
      </c>
      <c r="FU36" s="525">
        <v>0</v>
      </c>
      <c r="FV36" s="525">
        <v>0</v>
      </c>
      <c r="FW36" s="525">
        <v>0</v>
      </c>
      <c r="FX36" s="525">
        <v>0</v>
      </c>
      <c r="FY36" s="525">
        <v>0</v>
      </c>
      <c r="FZ36" s="525">
        <v>0</v>
      </c>
      <c r="GA36" s="525">
        <v>0</v>
      </c>
      <c r="GB36" s="525">
        <v>0</v>
      </c>
      <c r="GC36" s="525">
        <v>0</v>
      </c>
      <c r="GD36" s="525">
        <v>0</v>
      </c>
      <c r="GE36" s="525">
        <v>0</v>
      </c>
      <c r="GF36" s="525">
        <v>0</v>
      </c>
      <c r="GG36" s="525">
        <v>0</v>
      </c>
      <c r="GH36" s="525">
        <v>63.190799999999996</v>
      </c>
      <c r="GI36" s="525">
        <v>63.190799999999996</v>
      </c>
      <c r="GJ36" s="526"/>
      <c r="GK36" s="525">
        <v>0</v>
      </c>
      <c r="GL36" s="526"/>
      <c r="GM36" s="525">
        <v>0</v>
      </c>
      <c r="GN36" s="525">
        <v>0</v>
      </c>
      <c r="GO36" s="526"/>
      <c r="GP36" s="526"/>
      <c r="GQ36" s="525">
        <v>0</v>
      </c>
      <c r="GR36" s="526"/>
      <c r="GS36" s="526"/>
      <c r="GT36" s="525">
        <v>0</v>
      </c>
      <c r="GU36" s="525">
        <v>0</v>
      </c>
      <c r="GV36" s="525">
        <v>0</v>
      </c>
      <c r="GW36" s="525">
        <v>0</v>
      </c>
      <c r="GX36" s="525">
        <v>0</v>
      </c>
      <c r="GY36" s="525">
        <v>0</v>
      </c>
      <c r="GZ36" s="525">
        <v>0</v>
      </c>
      <c r="HA36" s="525">
        <v>0</v>
      </c>
      <c r="HB36" s="525">
        <v>0</v>
      </c>
      <c r="HC36" s="525">
        <v>0</v>
      </c>
      <c r="HD36" s="525">
        <v>0</v>
      </c>
      <c r="HE36" s="525">
        <v>0</v>
      </c>
      <c r="HF36" s="525">
        <v>0</v>
      </c>
      <c r="HG36" s="525">
        <v>0</v>
      </c>
      <c r="HH36" s="525">
        <v>0</v>
      </c>
      <c r="HI36" s="525">
        <v>0</v>
      </c>
      <c r="HJ36" s="525">
        <v>0</v>
      </c>
      <c r="HK36" s="525">
        <v>0</v>
      </c>
      <c r="HL36" s="526"/>
      <c r="HM36" s="526"/>
      <c r="HN36" s="526"/>
      <c r="HO36" s="526"/>
      <c r="HP36" s="526"/>
      <c r="HQ36" s="526"/>
      <c r="HR36" s="526"/>
      <c r="HS36" s="526"/>
      <c r="HT36" s="526"/>
      <c r="HU36" s="526"/>
      <c r="HV36" s="526"/>
      <c r="HW36" s="526"/>
      <c r="HX36" s="526"/>
      <c r="HY36" s="526"/>
      <c r="HZ36" s="526"/>
      <c r="IA36" s="526"/>
      <c r="IB36" s="526"/>
      <c r="IC36" s="526"/>
      <c r="ID36" s="526"/>
      <c r="IE36" s="526"/>
      <c r="IF36" s="526"/>
      <c r="IG36" s="526"/>
      <c r="IH36" s="526"/>
      <c r="II36" s="526"/>
      <c r="IJ36" s="526"/>
      <c r="IK36" s="526"/>
      <c r="IL36" s="526"/>
      <c r="IM36" s="526"/>
      <c r="IN36" s="526"/>
      <c r="IO36" s="526"/>
      <c r="IP36" s="526"/>
      <c r="IQ36" s="526"/>
      <c r="IR36" s="526"/>
      <c r="IS36" s="526"/>
      <c r="IT36" s="526"/>
      <c r="IU36" s="526"/>
      <c r="IV36" s="526"/>
      <c r="IW36" s="526"/>
      <c r="IX36" s="526"/>
      <c r="IY36" s="526"/>
      <c r="IZ36" s="526"/>
      <c r="JA36" s="526"/>
      <c r="JB36" s="526"/>
      <c r="JC36" s="526"/>
      <c r="JD36" s="526"/>
      <c r="JE36" s="526"/>
      <c r="JF36" s="526"/>
      <c r="JG36" s="526"/>
      <c r="JH36" s="526"/>
      <c r="JI36" s="526"/>
      <c r="JJ36" s="526"/>
      <c r="JK36" s="526"/>
      <c r="JL36" s="526"/>
      <c r="JM36" s="526"/>
      <c r="JN36" s="525">
        <v>2237.1539923200003</v>
      </c>
      <c r="JO36" s="525">
        <v>5216.1200000000008</v>
      </c>
      <c r="JP36" s="525">
        <v>17748.497239794</v>
      </c>
      <c r="JQ36" s="525">
        <v>0</v>
      </c>
      <c r="JR36" s="525">
        <v>63.190799999999996</v>
      </c>
      <c r="JS36" s="527">
        <v>25172.682632114</v>
      </c>
      <c r="JT36" s="528">
        <f t="shared" si="10"/>
        <v>-92.279400000002767</v>
      </c>
      <c r="JU36" s="525">
        <v>25172.682632114</v>
      </c>
      <c r="JV36" s="525">
        <v>25172.682632114</v>
      </c>
      <c r="JW36" s="525">
        <v>25172.682632114</v>
      </c>
      <c r="JX36" s="525">
        <v>14863.19</v>
      </c>
      <c r="JY36" s="525">
        <v>14863.19</v>
      </c>
      <c r="JZ36" s="526"/>
      <c r="KA36" s="525">
        <v>14863.19</v>
      </c>
      <c r="KB36" s="529">
        <v>0.25073951913140735</v>
      </c>
      <c r="KC36" s="525">
        <v>-4.4904860005772207E-3</v>
      </c>
      <c r="KD36" s="525">
        <v>25172.6871226</v>
      </c>
      <c r="KE36" s="525">
        <v>14863.19</v>
      </c>
      <c r="KF36" s="525">
        <v>0</v>
      </c>
      <c r="KG36" s="530">
        <v>0</v>
      </c>
      <c r="KH36" s="525">
        <v>0</v>
      </c>
      <c r="KI36" s="525">
        <v>0</v>
      </c>
      <c r="KJ36" s="530">
        <v>0</v>
      </c>
      <c r="KK36" s="525">
        <v>0</v>
      </c>
      <c r="KL36" s="525">
        <v>24923.006109000002</v>
      </c>
      <c r="KM36" s="530">
        <v>1693.598068294327</v>
      </c>
      <c r="KN36" s="525">
        <v>14716.01</v>
      </c>
      <c r="KO36" s="525">
        <v>249.68101359999997</v>
      </c>
      <c r="KP36" s="530">
        <v>1696.4330316619103</v>
      </c>
      <c r="KQ36" s="525">
        <v>147.18</v>
      </c>
      <c r="KR36" s="526"/>
      <c r="KS36" s="526"/>
      <c r="KT36" s="531">
        <v>60348.04</v>
      </c>
      <c r="KU36" s="531">
        <v>9.0500000000000007</v>
      </c>
      <c r="KV36" s="526"/>
      <c r="KW36" s="531">
        <v>1057.96</v>
      </c>
      <c r="KX36" s="531">
        <v>0.36799999999999999</v>
      </c>
      <c r="KY36" s="531"/>
      <c r="KZ36" s="526"/>
      <c r="LA36" s="531">
        <v>14716</v>
      </c>
      <c r="LB36" s="532">
        <v>1661</v>
      </c>
      <c r="LC36" s="533">
        <v>2.746</v>
      </c>
      <c r="LD36" s="494">
        <f t="shared" si="11"/>
        <v>25965.150346874841</v>
      </c>
      <c r="LE36" s="509">
        <f t="shared" si="12"/>
        <v>25965.150346874841</v>
      </c>
      <c r="LF36" s="534">
        <f t="shared" si="13"/>
        <v>18292.184100834569</v>
      </c>
      <c r="LG36" s="535">
        <f t="shared" si="14"/>
        <v>15967.171724557318</v>
      </c>
      <c r="LH36" s="536">
        <f t="shared" si="31"/>
        <v>1.03</v>
      </c>
      <c r="LI36" s="537">
        <f t="shared" si="15"/>
        <v>15967.171724557318</v>
      </c>
      <c r="LJ36" s="536">
        <f t="shared" si="32"/>
        <v>1.0389999999999999</v>
      </c>
      <c r="LK36" s="537">
        <f t="shared" si="16"/>
        <v>0</v>
      </c>
      <c r="LL36" s="536">
        <f t="shared" si="33"/>
        <v>1.0349999999999999</v>
      </c>
      <c r="LM36" s="537">
        <f t="shared" si="17"/>
        <v>0</v>
      </c>
      <c r="LN36" s="536">
        <f t="shared" si="34"/>
        <v>1.0349999999999999</v>
      </c>
      <c r="LO36" s="537">
        <f t="shared" si="18"/>
        <v>0</v>
      </c>
      <c r="LP36" s="536">
        <f t="shared" si="35"/>
        <v>1.0349999999999999</v>
      </c>
      <c r="LQ36" s="537">
        <f t="shared" si="19"/>
        <v>2325.01237627725</v>
      </c>
      <c r="LR36" s="536">
        <f t="shared" si="36"/>
        <v>1.04</v>
      </c>
      <c r="LS36" s="537">
        <f t="shared" si="20"/>
        <v>0</v>
      </c>
      <c r="LT36" s="539">
        <f t="shared" si="21"/>
        <v>2301.1589680402753</v>
      </c>
      <c r="LU36" s="540">
        <f t="shared" si="22"/>
        <v>0</v>
      </c>
      <c r="LV36" s="541">
        <f t="shared" si="23"/>
        <v>2301.1589680402753</v>
      </c>
      <c r="LW36" s="542">
        <f t="shared" si="24"/>
        <v>5398.6842000000006</v>
      </c>
      <c r="LX36" s="540">
        <f t="shared" si="25"/>
        <v>0</v>
      </c>
      <c r="LY36" s="540">
        <f t="shared" si="26"/>
        <v>5077.8135000000002</v>
      </c>
      <c r="LZ36" s="543">
        <f t="shared" si="27"/>
        <v>320.87070000000045</v>
      </c>
      <c r="MA36" s="544">
        <f t="shared" si="28"/>
        <v>-92.279400000002767</v>
      </c>
      <c r="MB36" s="545">
        <f t="shared" si="29"/>
        <v>65.402477999999988</v>
      </c>
    </row>
    <row r="37" spans="1:340" ht="16.5" customHeight="1">
      <c r="A37" s="465">
        <v>1</v>
      </c>
      <c r="B37" s="466">
        <v>27</v>
      </c>
      <c r="C37" s="467" t="s">
        <v>303</v>
      </c>
      <c r="D37" s="468">
        <v>4633016372</v>
      </c>
      <c r="E37" s="469">
        <f t="shared" si="3"/>
        <v>27014.769513324482</v>
      </c>
      <c r="F37" s="470" t="s">
        <v>281</v>
      </c>
      <c r="G37" s="595">
        <v>24236.582037840002</v>
      </c>
      <c r="H37" s="597">
        <f t="shared" si="30"/>
        <v>2778.1874754844794</v>
      </c>
      <c r="I37" s="597" t="s">
        <v>858</v>
      </c>
      <c r="J37" s="471">
        <f t="shared" si="4"/>
        <v>22512.307927770402</v>
      </c>
      <c r="K37" s="472">
        <f t="shared" si="5"/>
        <v>14732.083724098404</v>
      </c>
      <c r="L37" s="473">
        <f t="shared" si="6"/>
        <v>12783.770115899999</v>
      </c>
      <c r="M37" s="474">
        <v>12783.770115899999</v>
      </c>
      <c r="N37" s="475">
        <v>0</v>
      </c>
      <c r="O37" s="475">
        <v>0</v>
      </c>
      <c r="P37" s="476">
        <v>0</v>
      </c>
      <c r="Q37" s="477">
        <v>1289.5393288558048</v>
      </c>
      <c r="R37" s="478">
        <f t="shared" si="7"/>
        <v>658.77427934259993</v>
      </c>
      <c r="S37" s="479">
        <f t="shared" si="8"/>
        <v>6502.7266470719997</v>
      </c>
      <c r="T37" s="479">
        <v>1991.0710999999999</v>
      </c>
      <c r="U37" s="480">
        <v>4511.6555470719995</v>
      </c>
      <c r="V37" s="481">
        <f t="shared" si="9"/>
        <v>1167.9249565999999</v>
      </c>
      <c r="W37" s="482">
        <v>609.26775659999998</v>
      </c>
      <c r="X37" s="479">
        <v>0</v>
      </c>
      <c r="Y37" s="483">
        <v>558.65719999999988</v>
      </c>
      <c r="Z37" s="484">
        <v>75.472600000001336</v>
      </c>
      <c r="AA37" s="485">
        <v>34.1</v>
      </c>
      <c r="AB37" s="486"/>
      <c r="AC37" s="487">
        <v>12783.770115899999</v>
      </c>
      <c r="AD37" s="487">
        <v>12783.770115899999</v>
      </c>
      <c r="AE37" s="487">
        <v>0</v>
      </c>
      <c r="AF37" s="487">
        <v>0</v>
      </c>
      <c r="AG37" s="487">
        <v>0</v>
      </c>
      <c r="AH37" s="487">
        <v>1289.5393288558048</v>
      </c>
      <c r="AI37" s="487">
        <v>1289.5393288558048</v>
      </c>
      <c r="AJ37" s="487">
        <v>0</v>
      </c>
      <c r="AK37" s="487">
        <v>0</v>
      </c>
      <c r="AL37" s="487">
        <v>0</v>
      </c>
      <c r="AM37" s="487">
        <v>0</v>
      </c>
      <c r="AN37" s="487">
        <v>0</v>
      </c>
      <c r="AO37" s="487">
        <v>0</v>
      </c>
      <c r="AP37" s="487">
        <v>0</v>
      </c>
      <c r="AQ37" s="487">
        <v>0</v>
      </c>
      <c r="AR37" s="487">
        <v>0</v>
      </c>
      <c r="AS37" s="487">
        <v>0</v>
      </c>
      <c r="AT37" s="487">
        <v>0</v>
      </c>
      <c r="AU37" s="487">
        <v>0</v>
      </c>
      <c r="AV37" s="487">
        <v>0</v>
      </c>
      <c r="AW37" s="487">
        <v>0</v>
      </c>
      <c r="AX37" s="487">
        <v>0</v>
      </c>
      <c r="AY37" s="487">
        <v>0</v>
      </c>
      <c r="AZ37" s="487">
        <v>0</v>
      </c>
      <c r="BA37" s="487">
        <v>1289.5393288558048</v>
      </c>
      <c r="BB37" s="487">
        <v>354.26904638895735</v>
      </c>
      <c r="BC37" s="487">
        <v>0</v>
      </c>
      <c r="BD37" s="487">
        <v>0</v>
      </c>
      <c r="BE37" s="487">
        <v>0</v>
      </c>
      <c r="BF37" s="487">
        <v>0</v>
      </c>
      <c r="BG37" s="487">
        <v>0</v>
      </c>
      <c r="BH37" s="487">
        <v>0</v>
      </c>
      <c r="BI37" s="487">
        <v>0</v>
      </c>
      <c r="BJ37" s="487">
        <v>1289.5393288558048</v>
      </c>
      <c r="BK37" s="487">
        <v>3.64</v>
      </c>
      <c r="BL37" s="487">
        <v>354.26904638895735</v>
      </c>
      <c r="BM37" s="487">
        <v>0</v>
      </c>
      <c r="BN37" s="487">
        <v>0</v>
      </c>
      <c r="BO37" s="487">
        <v>0</v>
      </c>
      <c r="BP37" s="487">
        <v>0</v>
      </c>
      <c r="BQ37" s="487">
        <v>0</v>
      </c>
      <c r="BR37" s="487">
        <v>0</v>
      </c>
      <c r="BS37" s="487">
        <v>0</v>
      </c>
      <c r="BT37" s="487">
        <v>0</v>
      </c>
      <c r="BU37" s="487">
        <v>0</v>
      </c>
      <c r="BV37" s="487">
        <v>0</v>
      </c>
      <c r="BW37" s="487">
        <v>0</v>
      </c>
      <c r="BX37" s="487">
        <v>0</v>
      </c>
      <c r="BY37" s="487">
        <v>0</v>
      </c>
      <c r="BZ37" s="487">
        <v>0</v>
      </c>
      <c r="CA37" s="487">
        <v>0</v>
      </c>
      <c r="CB37" s="487">
        <v>0</v>
      </c>
      <c r="CC37" s="487">
        <v>0</v>
      </c>
      <c r="CD37" s="487">
        <v>0</v>
      </c>
      <c r="CE37" s="487">
        <v>0</v>
      </c>
      <c r="CF37" s="487">
        <v>0</v>
      </c>
      <c r="CG37" s="487">
        <v>0</v>
      </c>
      <c r="CH37" s="487">
        <v>0</v>
      </c>
      <c r="CI37" s="487">
        <v>0</v>
      </c>
      <c r="CJ37" s="487">
        <v>0</v>
      </c>
      <c r="CK37" s="487">
        <v>0</v>
      </c>
      <c r="CL37" s="487">
        <v>0</v>
      </c>
      <c r="CM37" s="487">
        <v>1991.0710999999999</v>
      </c>
      <c r="CN37" s="487">
        <v>1991.0710999999999</v>
      </c>
      <c r="CO37" s="487">
        <v>0</v>
      </c>
      <c r="CP37" s="487">
        <v>0</v>
      </c>
      <c r="CQ37" s="487">
        <v>0</v>
      </c>
      <c r="CR37" s="487">
        <v>0</v>
      </c>
      <c r="CS37" s="487">
        <v>609.26775659999998</v>
      </c>
      <c r="CT37" s="487">
        <v>609.26775659999998</v>
      </c>
      <c r="CU37" s="487">
        <v>0</v>
      </c>
      <c r="CV37" s="487">
        <v>0</v>
      </c>
      <c r="CW37" s="487">
        <v>0</v>
      </c>
      <c r="CX37" s="487">
        <v>0</v>
      </c>
      <c r="CY37" s="487">
        <v>571.00168523409991</v>
      </c>
      <c r="CZ37" s="467"/>
      <c r="DA37" s="487">
        <v>28.525837299999999</v>
      </c>
      <c r="DB37" s="487">
        <v>87.772594108499987</v>
      </c>
      <c r="DC37" s="467"/>
      <c r="DD37" s="487">
        <v>5.3340987000000002</v>
      </c>
      <c r="DE37" s="487">
        <v>0</v>
      </c>
      <c r="DF37" s="487">
        <v>0</v>
      </c>
      <c r="DG37" s="487">
        <v>2907.7440958399998</v>
      </c>
      <c r="DH37" s="487">
        <v>2.5937218880000001</v>
      </c>
      <c r="DI37" s="487">
        <v>0</v>
      </c>
      <c r="DJ37" s="487">
        <v>2905.1503739519999</v>
      </c>
      <c r="DK37" s="487">
        <v>0</v>
      </c>
      <c r="DL37" s="487">
        <v>0</v>
      </c>
      <c r="DM37" s="487">
        <v>0</v>
      </c>
      <c r="DN37" s="487">
        <v>0</v>
      </c>
      <c r="DO37" s="487">
        <v>0</v>
      </c>
      <c r="DP37" s="487">
        <v>586.83323342400001</v>
      </c>
      <c r="DQ37" s="487">
        <v>0</v>
      </c>
      <c r="DR37" s="487">
        <v>0</v>
      </c>
      <c r="DS37" s="487">
        <v>0</v>
      </c>
      <c r="DT37" s="487">
        <v>586.83323342400001</v>
      </c>
      <c r="DU37" s="487">
        <v>1017.0782178080002</v>
      </c>
      <c r="DV37" s="487">
        <v>0</v>
      </c>
      <c r="DW37" s="487">
        <v>0</v>
      </c>
      <c r="DX37" s="487">
        <v>0</v>
      </c>
      <c r="DY37" s="487">
        <v>0</v>
      </c>
      <c r="DZ37" s="487">
        <v>0</v>
      </c>
      <c r="EA37" s="487">
        <v>0</v>
      </c>
      <c r="EB37" s="487">
        <v>0</v>
      </c>
      <c r="EC37" s="487">
        <v>0</v>
      </c>
      <c r="ED37" s="487">
        <v>0</v>
      </c>
      <c r="EE37" s="487">
        <v>0</v>
      </c>
      <c r="EF37" s="487">
        <v>0</v>
      </c>
      <c r="EG37" s="487">
        <v>1017.0782178080002</v>
      </c>
      <c r="EH37" s="487">
        <v>533.90989999999999</v>
      </c>
      <c r="EI37" s="487">
        <v>0</v>
      </c>
      <c r="EJ37" s="487">
        <v>0</v>
      </c>
      <c r="EK37" s="487">
        <v>533.90989999999999</v>
      </c>
      <c r="EL37" s="487">
        <v>0</v>
      </c>
      <c r="EM37" s="487">
        <v>0</v>
      </c>
      <c r="EN37" s="487">
        <v>0</v>
      </c>
      <c r="EO37" s="487">
        <v>0</v>
      </c>
      <c r="EP37" s="487">
        <v>0</v>
      </c>
      <c r="EQ37" s="487">
        <v>0</v>
      </c>
      <c r="ER37" s="487">
        <v>0</v>
      </c>
      <c r="ES37" s="487">
        <v>0</v>
      </c>
      <c r="ET37" s="487">
        <v>533.90989999999999</v>
      </c>
      <c r="EU37" s="487">
        <v>533.90989999999999</v>
      </c>
      <c r="EV37" s="487">
        <v>0</v>
      </c>
      <c r="EW37" s="487">
        <v>0</v>
      </c>
      <c r="EX37" s="487">
        <v>0</v>
      </c>
      <c r="EY37" s="487">
        <v>0</v>
      </c>
      <c r="EZ37" s="487">
        <v>0</v>
      </c>
      <c r="FA37" s="487">
        <v>0</v>
      </c>
      <c r="FB37" s="487">
        <v>16.222300000000004</v>
      </c>
      <c r="FC37" s="487">
        <v>12.979700000000001</v>
      </c>
      <c r="FD37" s="487">
        <v>3.2426000000000004</v>
      </c>
      <c r="FE37" s="487">
        <v>0</v>
      </c>
      <c r="FF37" s="487">
        <v>0</v>
      </c>
      <c r="FG37" s="487">
        <v>0</v>
      </c>
      <c r="FH37" s="487">
        <v>0</v>
      </c>
      <c r="FI37" s="487">
        <v>0</v>
      </c>
      <c r="FJ37" s="487">
        <v>0</v>
      </c>
      <c r="FK37" s="487">
        <v>0</v>
      </c>
      <c r="FL37" s="487">
        <v>0</v>
      </c>
      <c r="FM37" s="487">
        <v>0</v>
      </c>
      <c r="FN37" s="487">
        <v>0</v>
      </c>
      <c r="FO37" s="487">
        <v>0</v>
      </c>
      <c r="FP37" s="487">
        <v>0</v>
      </c>
      <c r="FQ37" s="487">
        <v>0</v>
      </c>
      <c r="FR37" s="487">
        <v>8.5250000000000004</v>
      </c>
      <c r="FS37" s="488">
        <v>22402.735327770402</v>
      </c>
      <c r="FT37" s="487">
        <v>0</v>
      </c>
      <c r="FU37" s="487">
        <v>0</v>
      </c>
      <c r="FV37" s="487">
        <v>0</v>
      </c>
      <c r="FW37" s="487">
        <v>0</v>
      </c>
      <c r="FX37" s="487">
        <v>0</v>
      </c>
      <c r="FY37" s="487">
        <v>0</v>
      </c>
      <c r="FZ37" s="487">
        <v>0</v>
      </c>
      <c r="GA37" s="487">
        <v>0</v>
      </c>
      <c r="GB37" s="487">
        <v>0</v>
      </c>
      <c r="GC37" s="487">
        <v>0</v>
      </c>
      <c r="GD37" s="487">
        <v>0</v>
      </c>
      <c r="GE37" s="487">
        <v>0</v>
      </c>
      <c r="GF37" s="487">
        <v>0</v>
      </c>
      <c r="GG37" s="487">
        <v>0</v>
      </c>
      <c r="GH37" s="487">
        <v>34.1</v>
      </c>
      <c r="GI37" s="487">
        <v>0</v>
      </c>
      <c r="GJ37" s="467"/>
      <c r="GK37" s="487">
        <v>34.1</v>
      </c>
      <c r="GL37" s="467"/>
      <c r="GM37" s="487">
        <v>0</v>
      </c>
      <c r="GN37" s="487">
        <v>0</v>
      </c>
      <c r="GO37" s="467"/>
      <c r="GP37" s="467"/>
      <c r="GQ37" s="487">
        <v>0</v>
      </c>
      <c r="GR37" s="467"/>
      <c r="GS37" s="467"/>
      <c r="GT37" s="487">
        <v>0</v>
      </c>
      <c r="GU37" s="487">
        <v>0</v>
      </c>
      <c r="GV37" s="487">
        <v>0</v>
      </c>
      <c r="GW37" s="487">
        <v>0</v>
      </c>
      <c r="GX37" s="487">
        <v>0</v>
      </c>
      <c r="GY37" s="487">
        <v>0</v>
      </c>
      <c r="GZ37" s="487">
        <v>0</v>
      </c>
      <c r="HA37" s="487">
        <v>0</v>
      </c>
      <c r="HB37" s="487">
        <v>0</v>
      </c>
      <c r="HC37" s="487">
        <v>0</v>
      </c>
      <c r="HD37" s="487">
        <v>0</v>
      </c>
      <c r="HE37" s="487">
        <v>0</v>
      </c>
      <c r="HF37" s="487">
        <v>0</v>
      </c>
      <c r="HG37" s="487">
        <v>0</v>
      </c>
      <c r="HH37" s="487">
        <v>0</v>
      </c>
      <c r="HI37" s="487">
        <v>0</v>
      </c>
      <c r="HJ37" s="487">
        <v>0</v>
      </c>
      <c r="HK37" s="487">
        <v>0</v>
      </c>
      <c r="HL37" s="467"/>
      <c r="HM37" s="467"/>
      <c r="HN37" s="467"/>
      <c r="HO37" s="467"/>
      <c r="HP37" s="467"/>
      <c r="HQ37" s="467"/>
      <c r="HR37" s="467"/>
      <c r="HS37" s="467"/>
      <c r="HT37" s="467"/>
      <c r="HU37" s="467"/>
      <c r="HV37" s="467"/>
      <c r="HW37" s="467"/>
      <c r="HX37" s="467"/>
      <c r="HY37" s="467"/>
      <c r="HZ37" s="467"/>
      <c r="IA37" s="467"/>
      <c r="IB37" s="467"/>
      <c r="IC37" s="467"/>
      <c r="ID37" s="467"/>
      <c r="IE37" s="467"/>
      <c r="IF37" s="467"/>
      <c r="IG37" s="467"/>
      <c r="IH37" s="467"/>
      <c r="II37" s="467"/>
      <c r="IJ37" s="467"/>
      <c r="IK37" s="467"/>
      <c r="IL37" s="467"/>
      <c r="IM37" s="467"/>
      <c r="IN37" s="467"/>
      <c r="IO37" s="467"/>
      <c r="IP37" s="467"/>
      <c r="IQ37" s="467"/>
      <c r="IR37" s="467"/>
      <c r="IS37" s="467"/>
      <c r="IT37" s="467"/>
      <c r="IU37" s="467"/>
      <c r="IV37" s="467"/>
      <c r="IW37" s="467"/>
      <c r="IX37" s="467"/>
      <c r="IY37" s="467"/>
      <c r="IZ37" s="467"/>
      <c r="JA37" s="467"/>
      <c r="JB37" s="467"/>
      <c r="JC37" s="467"/>
      <c r="JD37" s="467"/>
      <c r="JE37" s="467"/>
      <c r="JF37" s="467"/>
      <c r="JG37" s="467"/>
      <c r="JH37" s="467"/>
      <c r="JI37" s="467"/>
      <c r="JJ37" s="467"/>
      <c r="JK37" s="467"/>
      <c r="JL37" s="467"/>
      <c r="JM37" s="467"/>
      <c r="JN37" s="487">
        <v>6502.7266470719997</v>
      </c>
      <c r="JO37" s="487">
        <v>1167.9249565999999</v>
      </c>
      <c r="JP37" s="487">
        <v>14732.083724098402</v>
      </c>
      <c r="JQ37" s="487">
        <v>0</v>
      </c>
      <c r="JR37" s="487">
        <v>34.1</v>
      </c>
      <c r="JS37" s="488">
        <v>22512.307927770402</v>
      </c>
      <c r="JT37" s="489">
        <f t="shared" si="10"/>
        <v>75.472600000001336</v>
      </c>
      <c r="JU37" s="487">
        <v>27014.769513324482</v>
      </c>
      <c r="JV37" s="487">
        <v>20207.308229848011</v>
      </c>
      <c r="JW37" s="487">
        <v>24248.769875817612</v>
      </c>
      <c r="JX37" s="487">
        <v>14361.780000000002</v>
      </c>
      <c r="JY37" s="487">
        <v>12891.300000000001</v>
      </c>
      <c r="JZ37" s="467"/>
      <c r="KA37" s="487">
        <v>12891.300000000001</v>
      </c>
      <c r="KB37" s="490">
        <v>0.15221355562652961</v>
      </c>
      <c r="KC37" s="487">
        <v>8.2066435788874514E-4</v>
      </c>
      <c r="KD37" s="487">
        <v>20207.307409183653</v>
      </c>
      <c r="KE37" s="487">
        <v>12891.300000000001</v>
      </c>
      <c r="KF37" s="487">
        <v>0</v>
      </c>
      <c r="KG37" s="491">
        <v>0</v>
      </c>
      <c r="KH37" s="487">
        <v>0</v>
      </c>
      <c r="KI37" s="487">
        <v>0</v>
      </c>
      <c r="KJ37" s="491">
        <v>0</v>
      </c>
      <c r="KK37" s="487">
        <v>0</v>
      </c>
      <c r="KL37" s="487">
        <v>0</v>
      </c>
      <c r="KM37" s="491">
        <v>0</v>
      </c>
      <c r="KN37" s="487">
        <v>0</v>
      </c>
      <c r="KO37" s="487">
        <v>20207.307409183653</v>
      </c>
      <c r="KP37" s="491">
        <v>1567.5151000429478</v>
      </c>
      <c r="KQ37" s="487">
        <v>12891.300000000001</v>
      </c>
      <c r="KR37" s="467"/>
      <c r="KS37" s="467"/>
      <c r="KT37" s="487">
        <v>8667.98</v>
      </c>
      <c r="KU37" s="487">
        <v>72.73</v>
      </c>
      <c r="KV37" s="467"/>
      <c r="KW37" s="487">
        <v>75.94</v>
      </c>
      <c r="KX37" s="487">
        <v>3.44</v>
      </c>
      <c r="KY37" s="487"/>
      <c r="KZ37" s="467"/>
      <c r="LA37" s="487">
        <v>4682</v>
      </c>
      <c r="LB37" s="492"/>
      <c r="LC37" s="493">
        <v>1.2999999999999999E-2</v>
      </c>
      <c r="LD37" s="494">
        <f t="shared" si="11"/>
        <v>27829.831848984137</v>
      </c>
      <c r="LE37" s="471">
        <f t="shared" si="12"/>
        <v>23191.526540820116</v>
      </c>
      <c r="LF37" s="495">
        <f t="shared" si="13"/>
        <v>15187.081675259062</v>
      </c>
      <c r="LG37" s="476">
        <f t="shared" si="14"/>
        <v>13167.283219376999</v>
      </c>
      <c r="LH37" s="496">
        <f t="shared" si="31"/>
        <v>1.03</v>
      </c>
      <c r="LI37" s="497">
        <f t="shared" si="15"/>
        <v>13167.283219376999</v>
      </c>
      <c r="LJ37" s="496">
        <f t="shared" si="32"/>
        <v>1.0389999999999999</v>
      </c>
      <c r="LK37" s="497">
        <f t="shared" si="16"/>
        <v>0</v>
      </c>
      <c r="LL37" s="496">
        <f t="shared" si="33"/>
        <v>1.0349999999999999</v>
      </c>
      <c r="LM37" s="497">
        <f t="shared" si="17"/>
        <v>0</v>
      </c>
      <c r="LN37" s="496">
        <f t="shared" si="34"/>
        <v>1.0349999999999999</v>
      </c>
      <c r="LO37" s="497">
        <f t="shared" si="18"/>
        <v>0</v>
      </c>
      <c r="LP37" s="496">
        <f t="shared" si="35"/>
        <v>1.0349999999999999</v>
      </c>
      <c r="LQ37" s="497">
        <f t="shared" si="19"/>
        <v>1334.6732053657579</v>
      </c>
      <c r="LR37" s="496">
        <f t="shared" si="36"/>
        <v>1.04</v>
      </c>
      <c r="LS37" s="497">
        <f t="shared" si="20"/>
        <v>685.12525051630394</v>
      </c>
      <c r="LT37" s="499">
        <f t="shared" si="21"/>
        <v>6688.7696564447288</v>
      </c>
      <c r="LU37" s="500">
        <f t="shared" si="22"/>
        <v>2048.0356441709996</v>
      </c>
      <c r="LV37" s="501">
        <f t="shared" si="23"/>
        <v>4640.7340122737287</v>
      </c>
      <c r="LW37" s="499">
        <f t="shared" si="24"/>
        <v>1204.9091091163259</v>
      </c>
      <c r="LX37" s="500">
        <f t="shared" si="25"/>
        <v>626.69890711632593</v>
      </c>
      <c r="LY37" s="500">
        <f t="shared" si="26"/>
        <v>0</v>
      </c>
      <c r="LZ37" s="502">
        <f t="shared" si="27"/>
        <v>578.21020199999987</v>
      </c>
      <c r="MA37" s="503">
        <f t="shared" si="28"/>
        <v>75.472600000001336</v>
      </c>
      <c r="MB37" s="504">
        <f t="shared" si="29"/>
        <v>35.293500000000002</v>
      </c>
    </row>
    <row r="38" spans="1:340" ht="16.5" customHeight="1">
      <c r="A38" s="505">
        <v>1</v>
      </c>
      <c r="B38" s="506">
        <v>28</v>
      </c>
      <c r="C38" s="507" t="s">
        <v>304</v>
      </c>
      <c r="D38" s="508">
        <v>4632033706</v>
      </c>
      <c r="E38" s="469">
        <f t="shared" si="3"/>
        <v>36458.100910890025</v>
      </c>
      <c r="F38" s="470" t="s">
        <v>281</v>
      </c>
      <c r="G38" s="595">
        <v>0</v>
      </c>
      <c r="H38" s="597">
        <f t="shared" si="30"/>
        <v>36458.100910890025</v>
      </c>
      <c r="I38" s="597" t="s">
        <v>859</v>
      </c>
      <c r="J38" s="509">
        <f t="shared" si="4"/>
        <v>30381.750759075021</v>
      </c>
      <c r="K38" s="510">
        <f t="shared" si="5"/>
        <v>12856.185949486395</v>
      </c>
      <c r="L38" s="511">
        <f t="shared" si="6"/>
        <v>0</v>
      </c>
      <c r="M38" s="512">
        <v>0</v>
      </c>
      <c r="N38" s="513">
        <v>0</v>
      </c>
      <c r="O38" s="513">
        <v>0</v>
      </c>
      <c r="P38" s="514">
        <v>0</v>
      </c>
      <c r="Q38" s="515">
        <v>11970.332441497198</v>
      </c>
      <c r="R38" s="516">
        <f t="shared" si="7"/>
        <v>885.85350798919785</v>
      </c>
      <c r="S38" s="517">
        <f t="shared" si="8"/>
        <v>8613.8676759299888</v>
      </c>
      <c r="T38" s="518">
        <v>4033.4543523877683</v>
      </c>
      <c r="U38" s="519">
        <v>4580.4133235422205</v>
      </c>
      <c r="V38" s="520">
        <f t="shared" si="9"/>
        <v>8758.9129484211062</v>
      </c>
      <c r="W38" s="521">
        <v>1218.103214421106</v>
      </c>
      <c r="X38" s="518">
        <v>7170.5949999999993</v>
      </c>
      <c r="Y38" s="522">
        <v>370.21473400000104</v>
      </c>
      <c r="Z38" s="523">
        <v>-364.49241484156073</v>
      </c>
      <c r="AA38" s="524">
        <v>517.27660007909208</v>
      </c>
      <c r="AB38" s="486"/>
      <c r="AC38" s="525">
        <v>0</v>
      </c>
      <c r="AD38" s="525">
        <v>0</v>
      </c>
      <c r="AE38" s="525">
        <v>0</v>
      </c>
      <c r="AF38" s="525">
        <v>0</v>
      </c>
      <c r="AG38" s="525">
        <v>0</v>
      </c>
      <c r="AH38" s="525">
        <v>11970.332441497198</v>
      </c>
      <c r="AI38" s="525">
        <v>11970.332441497198</v>
      </c>
      <c r="AJ38" s="525">
        <v>11968.013641497198</v>
      </c>
      <c r="AK38" s="525">
        <v>0</v>
      </c>
      <c r="AL38" s="525">
        <v>0</v>
      </c>
      <c r="AM38" s="525">
        <v>0</v>
      </c>
      <c r="AN38" s="525">
        <v>0</v>
      </c>
      <c r="AO38" s="525">
        <v>11968.013641497198</v>
      </c>
      <c r="AP38" s="525">
        <v>0</v>
      </c>
      <c r="AQ38" s="525">
        <v>0</v>
      </c>
      <c r="AR38" s="525">
        <v>0</v>
      </c>
      <c r="AS38" s="525">
        <v>11968.013641497198</v>
      </c>
      <c r="AT38" s="525">
        <v>7.48</v>
      </c>
      <c r="AU38" s="525">
        <v>1600.0018237295719</v>
      </c>
      <c r="AV38" s="525">
        <v>0</v>
      </c>
      <c r="AW38" s="525">
        <v>0</v>
      </c>
      <c r="AX38" s="525">
        <v>0</v>
      </c>
      <c r="AY38" s="525">
        <v>0</v>
      </c>
      <c r="AZ38" s="525">
        <v>0</v>
      </c>
      <c r="BA38" s="525">
        <v>2.3187999999999995</v>
      </c>
      <c r="BB38" s="525">
        <v>0.34099999999999997</v>
      </c>
      <c r="BC38" s="525">
        <v>0</v>
      </c>
      <c r="BD38" s="525">
        <v>0</v>
      </c>
      <c r="BE38" s="525">
        <v>0</v>
      </c>
      <c r="BF38" s="525">
        <v>0</v>
      </c>
      <c r="BG38" s="525">
        <v>0</v>
      </c>
      <c r="BH38" s="525">
        <v>0</v>
      </c>
      <c r="BI38" s="525">
        <v>0</v>
      </c>
      <c r="BJ38" s="525">
        <v>2.3187999999999995</v>
      </c>
      <c r="BK38" s="525">
        <v>6.7999999999999989</v>
      </c>
      <c r="BL38" s="525">
        <v>0.34099999999999997</v>
      </c>
      <c r="BM38" s="525">
        <v>0</v>
      </c>
      <c r="BN38" s="525">
        <v>0</v>
      </c>
      <c r="BO38" s="525">
        <v>0</v>
      </c>
      <c r="BP38" s="525">
        <v>0</v>
      </c>
      <c r="BQ38" s="525">
        <v>0</v>
      </c>
      <c r="BR38" s="525">
        <v>0</v>
      </c>
      <c r="BS38" s="525">
        <v>0</v>
      </c>
      <c r="BT38" s="525">
        <v>0</v>
      </c>
      <c r="BU38" s="525">
        <v>0</v>
      </c>
      <c r="BV38" s="525">
        <v>0</v>
      </c>
      <c r="BW38" s="525">
        <v>0</v>
      </c>
      <c r="BX38" s="525">
        <v>0</v>
      </c>
      <c r="BY38" s="525">
        <v>0</v>
      </c>
      <c r="BZ38" s="525">
        <v>0</v>
      </c>
      <c r="CA38" s="525">
        <v>0</v>
      </c>
      <c r="CB38" s="525">
        <v>0</v>
      </c>
      <c r="CC38" s="525">
        <v>0</v>
      </c>
      <c r="CD38" s="525">
        <v>0</v>
      </c>
      <c r="CE38" s="525">
        <v>0</v>
      </c>
      <c r="CF38" s="525">
        <v>0</v>
      </c>
      <c r="CG38" s="525">
        <v>0</v>
      </c>
      <c r="CH38" s="525">
        <v>0</v>
      </c>
      <c r="CI38" s="525">
        <v>0</v>
      </c>
      <c r="CJ38" s="525">
        <v>0</v>
      </c>
      <c r="CK38" s="525">
        <v>0</v>
      </c>
      <c r="CL38" s="525">
        <v>0</v>
      </c>
      <c r="CM38" s="525">
        <v>4033.4543523877683</v>
      </c>
      <c r="CN38" s="525">
        <v>3539.1921377274002</v>
      </c>
      <c r="CO38" s="525">
        <v>0</v>
      </c>
      <c r="CP38" s="525">
        <v>494.26221466036804</v>
      </c>
      <c r="CQ38" s="525">
        <v>0</v>
      </c>
      <c r="CR38" s="525">
        <v>0</v>
      </c>
      <c r="CS38" s="525">
        <v>1218.103214421106</v>
      </c>
      <c r="CT38" s="525">
        <v>1068.8360255936748</v>
      </c>
      <c r="CU38" s="525">
        <v>0</v>
      </c>
      <c r="CV38" s="525">
        <v>149.26718882743114</v>
      </c>
      <c r="CW38" s="525">
        <v>0</v>
      </c>
      <c r="CX38" s="525">
        <v>0</v>
      </c>
      <c r="CY38" s="525">
        <v>0</v>
      </c>
      <c r="CZ38" s="526"/>
      <c r="DA38" s="525">
        <v>0</v>
      </c>
      <c r="DB38" s="525">
        <v>0</v>
      </c>
      <c r="DC38" s="526"/>
      <c r="DD38" s="525">
        <v>0</v>
      </c>
      <c r="DE38" s="525">
        <v>885.85350798919785</v>
      </c>
      <c r="DF38" s="525">
        <v>0</v>
      </c>
      <c r="DG38" s="525">
        <v>436.38932976408006</v>
      </c>
      <c r="DH38" s="525">
        <v>0</v>
      </c>
      <c r="DI38" s="525">
        <v>0</v>
      </c>
      <c r="DJ38" s="525">
        <v>436.38932976408006</v>
      </c>
      <c r="DK38" s="525">
        <v>0</v>
      </c>
      <c r="DL38" s="525">
        <v>0</v>
      </c>
      <c r="DM38" s="525">
        <v>0</v>
      </c>
      <c r="DN38" s="525">
        <v>0</v>
      </c>
      <c r="DO38" s="525">
        <v>0</v>
      </c>
      <c r="DP38" s="525">
        <v>330.32889055397902</v>
      </c>
      <c r="DQ38" s="525">
        <v>0</v>
      </c>
      <c r="DR38" s="525">
        <v>0</v>
      </c>
      <c r="DS38" s="525">
        <v>0</v>
      </c>
      <c r="DT38" s="525">
        <v>330.32889055397902</v>
      </c>
      <c r="DU38" s="525">
        <v>65.359831491549301</v>
      </c>
      <c r="DV38" s="525">
        <v>0</v>
      </c>
      <c r="DW38" s="525">
        <v>0</v>
      </c>
      <c r="DX38" s="525">
        <v>0</v>
      </c>
      <c r="DY38" s="525">
        <v>0</v>
      </c>
      <c r="DZ38" s="525">
        <v>0</v>
      </c>
      <c r="EA38" s="525">
        <v>0</v>
      </c>
      <c r="EB38" s="525">
        <v>0</v>
      </c>
      <c r="EC38" s="525">
        <v>0</v>
      </c>
      <c r="ED38" s="525">
        <v>0</v>
      </c>
      <c r="EE38" s="525">
        <v>0</v>
      </c>
      <c r="EF38" s="525">
        <v>0</v>
      </c>
      <c r="EG38" s="525">
        <v>65.359831491549301</v>
      </c>
      <c r="EH38" s="525">
        <v>29.396260000000002</v>
      </c>
      <c r="EI38" s="525">
        <v>29.396260000000002</v>
      </c>
      <c r="EJ38" s="525">
        <v>0</v>
      </c>
      <c r="EK38" s="525">
        <v>0</v>
      </c>
      <c r="EL38" s="525">
        <v>22.700326602050701</v>
      </c>
      <c r="EM38" s="525">
        <v>14.976501946559996</v>
      </c>
      <c r="EN38" s="525">
        <v>0</v>
      </c>
      <c r="EO38" s="525">
        <v>15.42</v>
      </c>
      <c r="EP38" s="525">
        <v>3695.2384431840001</v>
      </c>
      <c r="EQ38" s="525">
        <v>3695.2384431840001</v>
      </c>
      <c r="ER38" s="525">
        <v>0</v>
      </c>
      <c r="ES38" s="525">
        <v>0</v>
      </c>
      <c r="ET38" s="525">
        <v>29.396260000000002</v>
      </c>
      <c r="EU38" s="525">
        <v>29.396260000000002</v>
      </c>
      <c r="EV38" s="525">
        <v>0</v>
      </c>
      <c r="EW38" s="525">
        <v>0</v>
      </c>
      <c r="EX38" s="525">
        <v>0</v>
      </c>
      <c r="EY38" s="525">
        <v>0</v>
      </c>
      <c r="EZ38" s="525">
        <v>0</v>
      </c>
      <c r="FA38" s="525">
        <v>0</v>
      </c>
      <c r="FB38" s="525">
        <v>325.39847400000002</v>
      </c>
      <c r="FC38" s="525">
        <v>0</v>
      </c>
      <c r="FD38" s="525">
        <v>15.98</v>
      </c>
      <c r="FE38" s="525">
        <v>0</v>
      </c>
      <c r="FF38" s="525">
        <v>309.418474</v>
      </c>
      <c r="FG38" s="525">
        <v>301.11700000000002</v>
      </c>
      <c r="FH38" s="525">
        <v>0.98147399999999996</v>
      </c>
      <c r="FI38" s="525">
        <v>7.3199999999999994</v>
      </c>
      <c r="FJ38" s="525">
        <v>0</v>
      </c>
      <c r="FK38" s="525">
        <v>0</v>
      </c>
      <c r="FL38" s="525">
        <v>0</v>
      </c>
      <c r="FM38" s="525">
        <v>7170.5949999999993</v>
      </c>
      <c r="FN38" s="525">
        <v>7170.5949999999993</v>
      </c>
      <c r="FO38" s="525">
        <v>0</v>
      </c>
      <c r="FP38" s="525">
        <v>0</v>
      </c>
      <c r="FQ38" s="525">
        <v>15.42</v>
      </c>
      <c r="FR38" s="525">
        <v>0</v>
      </c>
      <c r="FS38" s="527">
        <v>30228.96657383749</v>
      </c>
      <c r="FT38" s="525">
        <v>0</v>
      </c>
      <c r="FU38" s="525">
        <v>0</v>
      </c>
      <c r="FV38" s="525">
        <v>0</v>
      </c>
      <c r="FW38" s="525">
        <v>0</v>
      </c>
      <c r="FX38" s="525">
        <v>0</v>
      </c>
      <c r="FY38" s="525">
        <v>0</v>
      </c>
      <c r="FZ38" s="525">
        <v>0</v>
      </c>
      <c r="GA38" s="525">
        <v>0</v>
      </c>
      <c r="GB38" s="525">
        <v>0</v>
      </c>
      <c r="GC38" s="525">
        <v>0</v>
      </c>
      <c r="GD38" s="525">
        <v>0</v>
      </c>
      <c r="GE38" s="525">
        <v>0</v>
      </c>
      <c r="GF38" s="525">
        <v>0</v>
      </c>
      <c r="GG38" s="525">
        <v>0</v>
      </c>
      <c r="GH38" s="525">
        <v>517.27660007909208</v>
      </c>
      <c r="GI38" s="525">
        <v>517.27660007909208</v>
      </c>
      <c r="GJ38" s="526"/>
      <c r="GK38" s="525">
        <v>0</v>
      </c>
      <c r="GL38" s="526"/>
      <c r="GM38" s="525">
        <v>0</v>
      </c>
      <c r="GN38" s="525">
        <v>0</v>
      </c>
      <c r="GO38" s="526"/>
      <c r="GP38" s="526"/>
      <c r="GQ38" s="525">
        <v>0</v>
      </c>
      <c r="GR38" s="526"/>
      <c r="GS38" s="526"/>
      <c r="GT38" s="525">
        <v>0</v>
      </c>
      <c r="GU38" s="525">
        <v>0</v>
      </c>
      <c r="GV38" s="525">
        <v>0</v>
      </c>
      <c r="GW38" s="525">
        <v>0</v>
      </c>
      <c r="GX38" s="525">
        <v>0</v>
      </c>
      <c r="GY38" s="525">
        <v>0</v>
      </c>
      <c r="GZ38" s="525">
        <v>0</v>
      </c>
      <c r="HA38" s="525">
        <v>0</v>
      </c>
      <c r="HB38" s="525">
        <v>0</v>
      </c>
      <c r="HC38" s="525">
        <v>0</v>
      </c>
      <c r="HD38" s="525">
        <v>0</v>
      </c>
      <c r="HE38" s="525">
        <v>0</v>
      </c>
      <c r="HF38" s="525">
        <v>0</v>
      </c>
      <c r="HG38" s="525">
        <v>0</v>
      </c>
      <c r="HH38" s="525">
        <v>0</v>
      </c>
      <c r="HI38" s="525">
        <v>0</v>
      </c>
      <c r="HJ38" s="525">
        <v>0</v>
      </c>
      <c r="HK38" s="525">
        <v>0</v>
      </c>
      <c r="HL38" s="526"/>
      <c r="HM38" s="526"/>
      <c r="HN38" s="526"/>
      <c r="HO38" s="526"/>
      <c r="HP38" s="526"/>
      <c r="HQ38" s="526"/>
      <c r="HR38" s="526"/>
      <c r="HS38" s="526"/>
      <c r="HT38" s="526"/>
      <c r="HU38" s="526"/>
      <c r="HV38" s="526"/>
      <c r="HW38" s="526"/>
      <c r="HX38" s="526"/>
      <c r="HY38" s="526"/>
      <c r="HZ38" s="526"/>
      <c r="IA38" s="526"/>
      <c r="IB38" s="526"/>
      <c r="IC38" s="526"/>
      <c r="ID38" s="526"/>
      <c r="IE38" s="526"/>
      <c r="IF38" s="526"/>
      <c r="IG38" s="526"/>
      <c r="IH38" s="526"/>
      <c r="II38" s="526"/>
      <c r="IJ38" s="526"/>
      <c r="IK38" s="526"/>
      <c r="IL38" s="526"/>
      <c r="IM38" s="526"/>
      <c r="IN38" s="526"/>
      <c r="IO38" s="526"/>
      <c r="IP38" s="526"/>
      <c r="IQ38" s="526"/>
      <c r="IR38" s="526"/>
      <c r="IS38" s="526"/>
      <c r="IT38" s="526"/>
      <c r="IU38" s="526"/>
      <c r="IV38" s="526"/>
      <c r="IW38" s="526"/>
      <c r="IX38" s="526"/>
      <c r="IY38" s="526"/>
      <c r="IZ38" s="526"/>
      <c r="JA38" s="526"/>
      <c r="JB38" s="526"/>
      <c r="JC38" s="526"/>
      <c r="JD38" s="526"/>
      <c r="JE38" s="526"/>
      <c r="JF38" s="526"/>
      <c r="JG38" s="526"/>
      <c r="JH38" s="526"/>
      <c r="JI38" s="526"/>
      <c r="JJ38" s="526"/>
      <c r="JK38" s="526"/>
      <c r="JL38" s="526"/>
      <c r="JM38" s="526"/>
      <c r="JN38" s="525">
        <v>8613.8676759299888</v>
      </c>
      <c r="JO38" s="525">
        <v>8758.9129484211062</v>
      </c>
      <c r="JP38" s="525">
        <v>12856.185949486395</v>
      </c>
      <c r="JQ38" s="525">
        <v>0</v>
      </c>
      <c r="JR38" s="525">
        <v>517.27660007909208</v>
      </c>
      <c r="JS38" s="527">
        <v>30381.750759075021</v>
      </c>
      <c r="JT38" s="528">
        <f t="shared" si="10"/>
        <v>-364.49241484156073</v>
      </c>
      <c r="JU38" s="525">
        <v>36458.100910890025</v>
      </c>
      <c r="JV38" s="525">
        <v>30381.750759075021</v>
      </c>
      <c r="JW38" s="525">
        <v>36458.100910890025</v>
      </c>
      <c r="JX38" s="525">
        <v>191246.59999999998</v>
      </c>
      <c r="JY38" s="525">
        <v>191246.59999999998</v>
      </c>
      <c r="JZ38" s="526"/>
      <c r="KA38" s="525">
        <v>0</v>
      </c>
      <c r="KB38" s="529">
        <v>1.7111951174896718</v>
      </c>
      <c r="KC38" s="525">
        <v>8.2493875019281404E-2</v>
      </c>
      <c r="KD38" s="525">
        <v>30381.668265200002</v>
      </c>
      <c r="KE38" s="525">
        <v>191246.59999999998</v>
      </c>
      <c r="KF38" s="525">
        <v>30381.668265200002</v>
      </c>
      <c r="KG38" s="530">
        <v>158.86122035738154</v>
      </c>
      <c r="KH38" s="525">
        <v>191246.59999999998</v>
      </c>
      <c r="KI38" s="525">
        <v>0</v>
      </c>
      <c r="KJ38" s="530">
        <v>0</v>
      </c>
      <c r="KK38" s="525">
        <v>0</v>
      </c>
      <c r="KL38" s="525">
        <v>0</v>
      </c>
      <c r="KM38" s="530">
        <v>0</v>
      </c>
      <c r="KN38" s="525">
        <v>0</v>
      </c>
      <c r="KO38" s="525">
        <v>0</v>
      </c>
      <c r="KP38" s="530">
        <v>0</v>
      </c>
      <c r="KQ38" s="525">
        <v>0</v>
      </c>
      <c r="KR38" s="526"/>
      <c r="KS38" s="526"/>
      <c r="KT38" s="531"/>
      <c r="KU38" s="531"/>
      <c r="KV38" s="526"/>
      <c r="KW38" s="531">
        <v>24680.85</v>
      </c>
      <c r="KX38" s="531">
        <v>14.82</v>
      </c>
      <c r="KY38" s="531"/>
      <c r="KZ38" s="526"/>
      <c r="LA38" s="531"/>
      <c r="LB38" s="532"/>
      <c r="LC38" s="533"/>
      <c r="LD38" s="494">
        <f t="shared" si="11"/>
        <v>37679.366692455238</v>
      </c>
      <c r="LE38" s="509">
        <f t="shared" si="12"/>
        <v>31399.472243712702</v>
      </c>
      <c r="LF38" s="534">
        <f t="shared" si="13"/>
        <v>13310.581725258364</v>
      </c>
      <c r="LG38" s="535">
        <f t="shared" si="14"/>
        <v>0</v>
      </c>
      <c r="LH38" s="536">
        <f t="shared" si="31"/>
        <v>1.03</v>
      </c>
      <c r="LI38" s="537">
        <f t="shared" si="15"/>
        <v>0</v>
      </c>
      <c r="LJ38" s="536">
        <f t="shared" si="32"/>
        <v>1.0389999999999999</v>
      </c>
      <c r="LK38" s="537">
        <f t="shared" si="16"/>
        <v>0</v>
      </c>
      <c r="LL38" s="536">
        <f t="shared" si="33"/>
        <v>1.0349999999999999</v>
      </c>
      <c r="LM38" s="537">
        <f t="shared" si="17"/>
        <v>0</v>
      </c>
      <c r="LN38" s="536">
        <f t="shared" si="34"/>
        <v>1.0349999999999999</v>
      </c>
      <c r="LO38" s="537">
        <f t="shared" si="18"/>
        <v>0</v>
      </c>
      <c r="LP38" s="536">
        <f t="shared" si="35"/>
        <v>1.0349999999999999</v>
      </c>
      <c r="LQ38" s="537">
        <f t="shared" si="19"/>
        <v>12389.294076949598</v>
      </c>
      <c r="LR38" s="536">
        <f t="shared" si="36"/>
        <v>1.04</v>
      </c>
      <c r="LS38" s="537">
        <f t="shared" si="20"/>
        <v>921.28764830876582</v>
      </c>
      <c r="LT38" s="539">
        <f t="shared" si="21"/>
        <v>8860.3104301383464</v>
      </c>
      <c r="LU38" s="540">
        <f t="shared" si="22"/>
        <v>4148.8514814095824</v>
      </c>
      <c r="LV38" s="541">
        <f t="shared" si="23"/>
        <v>4711.4589487287631</v>
      </c>
      <c r="LW38" s="542">
        <f t="shared" si="24"/>
        <v>9057.6912220756931</v>
      </c>
      <c r="LX38" s="540">
        <f t="shared" si="25"/>
        <v>1252.9531473856939</v>
      </c>
      <c r="LY38" s="540">
        <f t="shared" si="26"/>
        <v>7421.5658249999988</v>
      </c>
      <c r="LZ38" s="543">
        <f t="shared" si="27"/>
        <v>383.17224969000102</v>
      </c>
      <c r="MA38" s="544">
        <f t="shared" si="28"/>
        <v>-364.49241484156073</v>
      </c>
      <c r="MB38" s="545">
        <f t="shared" si="29"/>
        <v>535.38128108186027</v>
      </c>
    </row>
    <row r="39" spans="1:340" ht="16.5" customHeight="1">
      <c r="A39" s="465">
        <v>1</v>
      </c>
      <c r="B39" s="466">
        <v>29</v>
      </c>
      <c r="C39" s="467" t="s">
        <v>40</v>
      </c>
      <c r="D39" s="468">
        <v>4626003929</v>
      </c>
      <c r="E39" s="469">
        <f t="shared" si="3"/>
        <v>7815.748961696685</v>
      </c>
      <c r="F39" s="470" t="s">
        <v>287</v>
      </c>
      <c r="G39" s="595">
        <v>7815.7303799999991</v>
      </c>
      <c r="H39" s="595">
        <f t="shared" si="30"/>
        <v>1.8581696685942006E-2</v>
      </c>
      <c r="I39" s="595"/>
      <c r="J39" s="471">
        <f t="shared" si="4"/>
        <v>7815.748961696685</v>
      </c>
      <c r="K39" s="472">
        <f t="shared" si="5"/>
        <v>4719.7253425399995</v>
      </c>
      <c r="L39" s="473">
        <f t="shared" si="6"/>
        <v>4050.2205531599998</v>
      </c>
      <c r="M39" s="474">
        <v>4050.2205531599998</v>
      </c>
      <c r="N39" s="475">
        <v>0</v>
      </c>
      <c r="O39" s="475">
        <v>0</v>
      </c>
      <c r="P39" s="476">
        <v>0</v>
      </c>
      <c r="Q39" s="477">
        <v>619.95457538000005</v>
      </c>
      <c r="R39" s="478">
        <f t="shared" si="7"/>
        <v>49.550213999999997</v>
      </c>
      <c r="S39" s="479">
        <f t="shared" si="8"/>
        <v>2101.4549999999999</v>
      </c>
      <c r="T39" s="479">
        <v>1720.98</v>
      </c>
      <c r="U39" s="480">
        <v>380.47499999999991</v>
      </c>
      <c r="V39" s="481">
        <f t="shared" si="9"/>
        <v>626.82461915668614</v>
      </c>
      <c r="W39" s="482">
        <v>519.73447999999996</v>
      </c>
      <c r="X39" s="479">
        <v>0</v>
      </c>
      <c r="Y39" s="483">
        <v>107.09013915668618</v>
      </c>
      <c r="Z39" s="484">
        <v>286.86399999999969</v>
      </c>
      <c r="AA39" s="485">
        <v>80.88</v>
      </c>
      <c r="AB39" s="486"/>
      <c r="AC39" s="487">
        <v>4050.2205531599998</v>
      </c>
      <c r="AD39" s="487">
        <v>4050.2205531599998</v>
      </c>
      <c r="AE39" s="487">
        <v>0</v>
      </c>
      <c r="AF39" s="487">
        <v>0</v>
      </c>
      <c r="AG39" s="487">
        <v>0</v>
      </c>
      <c r="AH39" s="487">
        <v>619.95457538000005</v>
      </c>
      <c r="AI39" s="487">
        <v>0</v>
      </c>
      <c r="AJ39" s="487">
        <v>0</v>
      </c>
      <c r="AK39" s="487">
        <v>0</v>
      </c>
      <c r="AL39" s="487">
        <v>0</v>
      </c>
      <c r="AM39" s="487">
        <v>0</v>
      </c>
      <c r="AN39" s="487">
        <v>0</v>
      </c>
      <c r="AO39" s="487">
        <v>0</v>
      </c>
      <c r="AP39" s="487">
        <v>0</v>
      </c>
      <c r="AQ39" s="487">
        <v>0</v>
      </c>
      <c r="AR39" s="487">
        <v>0</v>
      </c>
      <c r="AS39" s="487">
        <v>0</v>
      </c>
      <c r="AT39" s="487">
        <v>0</v>
      </c>
      <c r="AU39" s="487">
        <v>0</v>
      </c>
      <c r="AV39" s="487">
        <v>0</v>
      </c>
      <c r="AW39" s="487">
        <v>0</v>
      </c>
      <c r="AX39" s="487">
        <v>0</v>
      </c>
      <c r="AY39" s="487">
        <v>0</v>
      </c>
      <c r="AZ39" s="487">
        <v>0</v>
      </c>
      <c r="BA39" s="487">
        <v>0</v>
      </c>
      <c r="BB39" s="487">
        <v>0</v>
      </c>
      <c r="BC39" s="487">
        <v>0</v>
      </c>
      <c r="BD39" s="487">
        <v>0</v>
      </c>
      <c r="BE39" s="487">
        <v>0</v>
      </c>
      <c r="BF39" s="487">
        <v>0</v>
      </c>
      <c r="BG39" s="487">
        <v>0</v>
      </c>
      <c r="BH39" s="487">
        <v>0</v>
      </c>
      <c r="BI39" s="487">
        <v>0</v>
      </c>
      <c r="BJ39" s="487">
        <v>0</v>
      </c>
      <c r="BK39" s="487">
        <v>0</v>
      </c>
      <c r="BL39" s="487">
        <v>0</v>
      </c>
      <c r="BM39" s="487">
        <v>0</v>
      </c>
      <c r="BN39" s="487">
        <v>0</v>
      </c>
      <c r="BO39" s="487">
        <v>0</v>
      </c>
      <c r="BP39" s="487">
        <v>0</v>
      </c>
      <c r="BQ39" s="487">
        <v>0</v>
      </c>
      <c r="BR39" s="487">
        <v>0</v>
      </c>
      <c r="BS39" s="487">
        <v>0</v>
      </c>
      <c r="BT39" s="487">
        <v>0</v>
      </c>
      <c r="BU39" s="487">
        <v>0</v>
      </c>
      <c r="BV39" s="487">
        <v>0</v>
      </c>
      <c r="BW39" s="487">
        <v>0</v>
      </c>
      <c r="BX39" s="487">
        <v>0</v>
      </c>
      <c r="BY39" s="487">
        <v>0</v>
      </c>
      <c r="BZ39" s="487">
        <v>0</v>
      </c>
      <c r="CA39" s="487">
        <v>0</v>
      </c>
      <c r="CB39" s="487">
        <v>619.95457538000005</v>
      </c>
      <c r="CC39" s="487">
        <v>0</v>
      </c>
      <c r="CD39" s="487">
        <v>619.95457538000005</v>
      </c>
      <c r="CE39" s="487">
        <v>63.158200000000001</v>
      </c>
      <c r="CF39" s="487">
        <v>0</v>
      </c>
      <c r="CG39" s="487">
        <v>619.95457538000005</v>
      </c>
      <c r="CH39" s="487">
        <v>9.815900000000001</v>
      </c>
      <c r="CI39" s="487">
        <v>63.158200000000001</v>
      </c>
      <c r="CJ39" s="487">
        <v>0</v>
      </c>
      <c r="CK39" s="487">
        <v>0</v>
      </c>
      <c r="CL39" s="487">
        <v>0</v>
      </c>
      <c r="CM39" s="487">
        <v>1720.98</v>
      </c>
      <c r="CN39" s="487">
        <v>1154.74</v>
      </c>
      <c r="CO39" s="487">
        <v>0</v>
      </c>
      <c r="CP39" s="487">
        <v>141.56</v>
      </c>
      <c r="CQ39" s="487">
        <v>424.68</v>
      </c>
      <c r="CR39" s="487">
        <v>0</v>
      </c>
      <c r="CS39" s="487">
        <v>519.73447999999996</v>
      </c>
      <c r="CT39" s="487">
        <v>348.72999999999996</v>
      </c>
      <c r="CU39" s="487">
        <v>0</v>
      </c>
      <c r="CV39" s="487">
        <v>42.751119999999993</v>
      </c>
      <c r="CW39" s="487">
        <v>128.25335999999999</v>
      </c>
      <c r="CX39" s="487">
        <v>0</v>
      </c>
      <c r="CY39" s="487">
        <v>49.550213999999997</v>
      </c>
      <c r="CZ39" s="467"/>
      <c r="DA39" s="487">
        <v>1.6193999999999997</v>
      </c>
      <c r="DB39" s="487">
        <v>0</v>
      </c>
      <c r="DC39" s="467"/>
      <c r="DD39" s="487">
        <v>0</v>
      </c>
      <c r="DE39" s="487">
        <v>0</v>
      </c>
      <c r="DF39" s="487">
        <v>0</v>
      </c>
      <c r="DG39" s="487">
        <v>178.10599999999997</v>
      </c>
      <c r="DH39" s="487">
        <v>38.07</v>
      </c>
      <c r="DI39" s="487">
        <v>0</v>
      </c>
      <c r="DJ39" s="487">
        <v>140.036</v>
      </c>
      <c r="DK39" s="487">
        <v>0</v>
      </c>
      <c r="DL39" s="487">
        <v>0</v>
      </c>
      <c r="DM39" s="487">
        <v>0</v>
      </c>
      <c r="DN39" s="487">
        <v>0</v>
      </c>
      <c r="DO39" s="487">
        <v>0</v>
      </c>
      <c r="DP39" s="487">
        <v>0</v>
      </c>
      <c r="DQ39" s="487">
        <v>0</v>
      </c>
      <c r="DR39" s="487">
        <v>0</v>
      </c>
      <c r="DS39" s="487">
        <v>0</v>
      </c>
      <c r="DT39" s="487">
        <v>0</v>
      </c>
      <c r="DU39" s="487">
        <v>154.35999999999999</v>
      </c>
      <c r="DV39" s="487">
        <v>46.16</v>
      </c>
      <c r="DW39" s="487">
        <v>0</v>
      </c>
      <c r="DX39" s="487">
        <v>0</v>
      </c>
      <c r="DY39" s="487">
        <v>0</v>
      </c>
      <c r="DZ39" s="487">
        <v>0</v>
      </c>
      <c r="EA39" s="487">
        <v>0</v>
      </c>
      <c r="EB39" s="487">
        <v>0</v>
      </c>
      <c r="EC39" s="487">
        <v>0</v>
      </c>
      <c r="ED39" s="487">
        <v>0</v>
      </c>
      <c r="EE39" s="487">
        <v>0</v>
      </c>
      <c r="EF39" s="487">
        <v>0</v>
      </c>
      <c r="EG39" s="487">
        <v>108.2</v>
      </c>
      <c r="EH39" s="487">
        <v>16.670139156686101</v>
      </c>
      <c r="EI39" s="487">
        <v>0</v>
      </c>
      <c r="EJ39" s="487">
        <v>16.670139156686101</v>
      </c>
      <c r="EK39" s="487">
        <v>0</v>
      </c>
      <c r="EL39" s="487">
        <v>2.698</v>
      </c>
      <c r="EM39" s="487">
        <v>45.311</v>
      </c>
      <c r="EN39" s="487">
        <v>0</v>
      </c>
      <c r="EO39" s="487">
        <v>0</v>
      </c>
      <c r="EP39" s="487">
        <v>0</v>
      </c>
      <c r="EQ39" s="487">
        <v>0</v>
      </c>
      <c r="ER39" s="487">
        <v>0</v>
      </c>
      <c r="ES39" s="487">
        <v>0</v>
      </c>
      <c r="ET39" s="487">
        <v>16.670139156686101</v>
      </c>
      <c r="EU39" s="487">
        <v>16.670139156686101</v>
      </c>
      <c r="EV39" s="487">
        <v>0</v>
      </c>
      <c r="EW39" s="487">
        <v>0</v>
      </c>
      <c r="EX39" s="487">
        <v>0</v>
      </c>
      <c r="EY39" s="487">
        <v>0</v>
      </c>
      <c r="EZ39" s="487">
        <v>0</v>
      </c>
      <c r="FA39" s="487">
        <v>0</v>
      </c>
      <c r="FB39" s="487">
        <v>90.420000000000016</v>
      </c>
      <c r="FC39" s="487">
        <v>0.19</v>
      </c>
      <c r="FD39" s="487">
        <v>5.6</v>
      </c>
      <c r="FE39" s="487">
        <v>9.34</v>
      </c>
      <c r="FF39" s="487">
        <v>75.290000000000006</v>
      </c>
      <c r="FG39" s="487">
        <v>0</v>
      </c>
      <c r="FH39" s="487">
        <v>0</v>
      </c>
      <c r="FI39" s="487">
        <v>0</v>
      </c>
      <c r="FJ39" s="487">
        <v>0</v>
      </c>
      <c r="FK39" s="487">
        <v>75.290000000000006</v>
      </c>
      <c r="FL39" s="487">
        <v>0</v>
      </c>
      <c r="FM39" s="487">
        <v>0</v>
      </c>
      <c r="FN39" s="487">
        <v>0</v>
      </c>
      <c r="FO39" s="487">
        <v>0</v>
      </c>
      <c r="FP39" s="487">
        <v>0</v>
      </c>
      <c r="FQ39" s="487">
        <v>0</v>
      </c>
      <c r="FR39" s="487">
        <v>0</v>
      </c>
      <c r="FS39" s="488">
        <v>7448.0049616966853</v>
      </c>
      <c r="FT39" s="487">
        <v>0</v>
      </c>
      <c r="FU39" s="487">
        <v>0</v>
      </c>
      <c r="FV39" s="487">
        <v>0</v>
      </c>
      <c r="FW39" s="487">
        <v>0</v>
      </c>
      <c r="FX39" s="487">
        <v>0</v>
      </c>
      <c r="FY39" s="487">
        <v>0</v>
      </c>
      <c r="FZ39" s="487">
        <v>0</v>
      </c>
      <c r="GA39" s="487">
        <v>0</v>
      </c>
      <c r="GB39" s="487">
        <v>0</v>
      </c>
      <c r="GC39" s="487">
        <v>0</v>
      </c>
      <c r="GD39" s="487">
        <v>0</v>
      </c>
      <c r="GE39" s="487">
        <v>0</v>
      </c>
      <c r="GF39" s="487">
        <v>0</v>
      </c>
      <c r="GG39" s="487">
        <v>0</v>
      </c>
      <c r="GH39" s="487">
        <v>80.88</v>
      </c>
      <c r="GI39" s="487">
        <v>0</v>
      </c>
      <c r="GJ39" s="467"/>
      <c r="GK39" s="487">
        <v>80.88</v>
      </c>
      <c r="GL39" s="467"/>
      <c r="GM39" s="487">
        <v>0</v>
      </c>
      <c r="GN39" s="487">
        <v>0</v>
      </c>
      <c r="GO39" s="467"/>
      <c r="GP39" s="467"/>
      <c r="GQ39" s="487">
        <v>0</v>
      </c>
      <c r="GR39" s="467"/>
      <c r="GS39" s="467"/>
      <c r="GT39" s="487">
        <v>0</v>
      </c>
      <c r="GU39" s="487">
        <v>0</v>
      </c>
      <c r="GV39" s="487">
        <v>0</v>
      </c>
      <c r="GW39" s="487">
        <v>0</v>
      </c>
      <c r="GX39" s="487">
        <v>0</v>
      </c>
      <c r="GY39" s="487">
        <v>0</v>
      </c>
      <c r="GZ39" s="487">
        <v>0</v>
      </c>
      <c r="HA39" s="487">
        <v>0</v>
      </c>
      <c r="HB39" s="487">
        <v>0</v>
      </c>
      <c r="HC39" s="487">
        <v>0</v>
      </c>
      <c r="HD39" s="487">
        <v>0</v>
      </c>
      <c r="HE39" s="487">
        <v>0</v>
      </c>
      <c r="HF39" s="487">
        <v>0</v>
      </c>
      <c r="HG39" s="487">
        <v>0</v>
      </c>
      <c r="HH39" s="487">
        <v>0</v>
      </c>
      <c r="HI39" s="487">
        <v>0</v>
      </c>
      <c r="HJ39" s="487">
        <v>0</v>
      </c>
      <c r="HK39" s="487">
        <v>0</v>
      </c>
      <c r="HL39" s="467"/>
      <c r="HM39" s="467"/>
      <c r="HN39" s="467"/>
      <c r="HO39" s="467"/>
      <c r="HP39" s="467"/>
      <c r="HQ39" s="467"/>
      <c r="HR39" s="467"/>
      <c r="HS39" s="467"/>
      <c r="HT39" s="467"/>
      <c r="HU39" s="467"/>
      <c r="HV39" s="467"/>
      <c r="HW39" s="467"/>
      <c r="HX39" s="467"/>
      <c r="HY39" s="467"/>
      <c r="HZ39" s="467"/>
      <c r="IA39" s="467"/>
      <c r="IB39" s="467"/>
      <c r="IC39" s="467"/>
      <c r="ID39" s="467"/>
      <c r="IE39" s="467"/>
      <c r="IF39" s="467"/>
      <c r="IG39" s="467"/>
      <c r="IH39" s="467"/>
      <c r="II39" s="467"/>
      <c r="IJ39" s="467"/>
      <c r="IK39" s="467"/>
      <c r="IL39" s="467"/>
      <c r="IM39" s="467"/>
      <c r="IN39" s="467"/>
      <c r="IO39" s="467"/>
      <c r="IP39" s="467"/>
      <c r="IQ39" s="467"/>
      <c r="IR39" s="467"/>
      <c r="IS39" s="467"/>
      <c r="IT39" s="467"/>
      <c r="IU39" s="467"/>
      <c r="IV39" s="467"/>
      <c r="IW39" s="467"/>
      <c r="IX39" s="467"/>
      <c r="IY39" s="467"/>
      <c r="IZ39" s="467"/>
      <c r="JA39" s="467"/>
      <c r="JB39" s="467"/>
      <c r="JC39" s="467"/>
      <c r="JD39" s="467"/>
      <c r="JE39" s="467"/>
      <c r="JF39" s="467"/>
      <c r="JG39" s="467"/>
      <c r="JH39" s="467"/>
      <c r="JI39" s="467"/>
      <c r="JJ39" s="467"/>
      <c r="JK39" s="467"/>
      <c r="JL39" s="467"/>
      <c r="JM39" s="467"/>
      <c r="JN39" s="487">
        <v>2101.4549999999999</v>
      </c>
      <c r="JO39" s="487">
        <v>626.82461915668614</v>
      </c>
      <c r="JP39" s="487">
        <v>4719.7253425399995</v>
      </c>
      <c r="JQ39" s="487">
        <v>0</v>
      </c>
      <c r="JR39" s="487">
        <v>80.88</v>
      </c>
      <c r="JS39" s="488">
        <v>7815.748961696685</v>
      </c>
      <c r="JT39" s="489">
        <f t="shared" si="10"/>
        <v>286.86399999999969</v>
      </c>
      <c r="JU39" s="487">
        <v>7815.748961696685</v>
      </c>
      <c r="JV39" s="487">
        <v>7815.748961696685</v>
      </c>
      <c r="JW39" s="487">
        <v>7815.748961696685</v>
      </c>
      <c r="JX39" s="487">
        <v>3554</v>
      </c>
      <c r="JY39" s="487">
        <v>3554</v>
      </c>
      <c r="JZ39" s="467"/>
      <c r="KA39" s="487">
        <v>3554</v>
      </c>
      <c r="KB39" s="490">
        <v>1.0859283850634709</v>
      </c>
      <c r="KC39" s="487">
        <v>1.8581696684123017E-2</v>
      </c>
      <c r="KD39" s="487">
        <v>7815.7303800000009</v>
      </c>
      <c r="KE39" s="487">
        <v>3554</v>
      </c>
      <c r="KF39" s="487">
        <v>0</v>
      </c>
      <c r="KG39" s="491">
        <v>0</v>
      </c>
      <c r="KH39" s="487">
        <v>0</v>
      </c>
      <c r="KI39" s="487">
        <v>5314.7135109999999</v>
      </c>
      <c r="KJ39" s="491">
        <v>2194.8475132668445</v>
      </c>
      <c r="KK39" s="487">
        <v>2421.4499999999998</v>
      </c>
      <c r="KL39" s="487">
        <v>2480.3066980000003</v>
      </c>
      <c r="KM39" s="491">
        <v>2208.3485714285721</v>
      </c>
      <c r="KN39" s="487">
        <v>1123.1499999999999</v>
      </c>
      <c r="KO39" s="487">
        <v>20.710171000000003</v>
      </c>
      <c r="KP39" s="491">
        <v>2203.2096808510641</v>
      </c>
      <c r="KQ39" s="487">
        <v>9.4</v>
      </c>
      <c r="KR39" s="467"/>
      <c r="KS39" s="467"/>
      <c r="KT39" s="487">
        <v>1579.7</v>
      </c>
      <c r="KU39" s="487">
        <v>90</v>
      </c>
      <c r="KV39" s="467"/>
      <c r="KW39" s="487">
        <v>341</v>
      </c>
      <c r="KX39" s="487">
        <v>2.6</v>
      </c>
      <c r="KY39" s="487">
        <v>0.14000000000000001</v>
      </c>
      <c r="KZ39" s="467"/>
      <c r="LA39" s="487">
        <v>1567</v>
      </c>
      <c r="LB39" s="492">
        <v>239</v>
      </c>
      <c r="LC39" s="493">
        <v>0.14099999999999999</v>
      </c>
      <c r="LD39" s="494">
        <f t="shared" si="11"/>
        <v>8042.5071828830687</v>
      </c>
      <c r="LE39" s="471">
        <f t="shared" si="12"/>
        <v>8042.5071828830687</v>
      </c>
      <c r="LF39" s="495">
        <f t="shared" si="13"/>
        <v>4864.9123778330995</v>
      </c>
      <c r="LG39" s="476">
        <f t="shared" si="14"/>
        <v>4171.7271697547994</v>
      </c>
      <c r="LH39" s="496">
        <f t="shared" si="31"/>
        <v>1.03</v>
      </c>
      <c r="LI39" s="497">
        <f t="shared" si="15"/>
        <v>4171.7271697547994</v>
      </c>
      <c r="LJ39" s="496">
        <f t="shared" si="32"/>
        <v>1.0389999999999999</v>
      </c>
      <c r="LK39" s="497">
        <f t="shared" si="16"/>
        <v>0</v>
      </c>
      <c r="LL39" s="496">
        <f t="shared" si="33"/>
        <v>1.0349999999999999</v>
      </c>
      <c r="LM39" s="497">
        <f t="shared" si="17"/>
        <v>0</v>
      </c>
      <c r="LN39" s="496">
        <f t="shared" si="34"/>
        <v>1.0349999999999999</v>
      </c>
      <c r="LO39" s="497">
        <f t="shared" si="18"/>
        <v>0</v>
      </c>
      <c r="LP39" s="496">
        <f t="shared" si="35"/>
        <v>1.0349999999999999</v>
      </c>
      <c r="LQ39" s="497">
        <f t="shared" si="19"/>
        <v>641.65298551830006</v>
      </c>
      <c r="LR39" s="496">
        <f t="shared" si="36"/>
        <v>1.04</v>
      </c>
      <c r="LS39" s="497">
        <f t="shared" si="20"/>
        <v>51.532222560000001</v>
      </c>
      <c r="LT39" s="499">
        <f t="shared" si="21"/>
        <v>2161.5776275499998</v>
      </c>
      <c r="LU39" s="500">
        <f t="shared" si="22"/>
        <v>1770.2172377999998</v>
      </c>
      <c r="LV39" s="501">
        <f t="shared" si="23"/>
        <v>391.36038974999985</v>
      </c>
      <c r="LW39" s="499">
        <f t="shared" si="24"/>
        <v>645.44237749997012</v>
      </c>
      <c r="LX39" s="500">
        <f t="shared" si="25"/>
        <v>534.60408347279997</v>
      </c>
      <c r="LY39" s="500">
        <f t="shared" si="26"/>
        <v>0</v>
      </c>
      <c r="LZ39" s="502">
        <f t="shared" si="27"/>
        <v>110.83829402717018</v>
      </c>
      <c r="MA39" s="503">
        <f t="shared" si="28"/>
        <v>286.86399999999969</v>
      </c>
      <c r="MB39" s="504">
        <f t="shared" si="29"/>
        <v>83.710799999999992</v>
      </c>
    </row>
    <row r="40" spans="1:340" ht="16.5" customHeight="1">
      <c r="A40" s="505">
        <v>1</v>
      </c>
      <c r="B40" s="506">
        <v>30</v>
      </c>
      <c r="C40" s="507" t="s">
        <v>284</v>
      </c>
      <c r="D40" s="508">
        <v>4607005286</v>
      </c>
      <c r="E40" s="469">
        <f t="shared" si="3"/>
        <v>617.16251999999997</v>
      </c>
      <c r="F40" s="470" t="s">
        <v>287</v>
      </c>
      <c r="G40" s="595">
        <v>0</v>
      </c>
      <c r="H40" s="597">
        <f t="shared" si="30"/>
        <v>617.16251999999997</v>
      </c>
      <c r="I40" s="597" t="s">
        <v>859</v>
      </c>
      <c r="J40" s="509">
        <f t="shared" si="4"/>
        <v>617.16251999999997</v>
      </c>
      <c r="K40" s="510">
        <f t="shared" si="5"/>
        <v>157.553</v>
      </c>
      <c r="L40" s="511">
        <f t="shared" si="6"/>
        <v>0</v>
      </c>
      <c r="M40" s="512">
        <v>0</v>
      </c>
      <c r="N40" s="513">
        <v>0</v>
      </c>
      <c r="O40" s="513">
        <v>0</v>
      </c>
      <c r="P40" s="514">
        <v>0</v>
      </c>
      <c r="Q40" s="515">
        <v>157.553</v>
      </c>
      <c r="R40" s="516">
        <f t="shared" si="7"/>
        <v>0</v>
      </c>
      <c r="S40" s="517">
        <f t="shared" si="8"/>
        <v>353.39</v>
      </c>
      <c r="T40" s="518">
        <v>285.76</v>
      </c>
      <c r="U40" s="519">
        <v>67.63</v>
      </c>
      <c r="V40" s="520">
        <f t="shared" si="9"/>
        <v>86.299519999999987</v>
      </c>
      <c r="W40" s="521">
        <v>86.299519999999987</v>
      </c>
      <c r="X40" s="518">
        <v>0</v>
      </c>
      <c r="Y40" s="522">
        <v>0</v>
      </c>
      <c r="Z40" s="523">
        <v>0</v>
      </c>
      <c r="AA40" s="524">
        <v>19.920000000000002</v>
      </c>
      <c r="AB40" s="486"/>
      <c r="AC40" s="525">
        <v>0</v>
      </c>
      <c r="AD40" s="525">
        <v>0</v>
      </c>
      <c r="AE40" s="525">
        <v>0</v>
      </c>
      <c r="AF40" s="525">
        <v>0</v>
      </c>
      <c r="AG40" s="525">
        <v>0</v>
      </c>
      <c r="AH40" s="525">
        <v>157.553</v>
      </c>
      <c r="AI40" s="525">
        <v>157.553</v>
      </c>
      <c r="AJ40" s="525">
        <v>0</v>
      </c>
      <c r="AK40" s="525">
        <v>0</v>
      </c>
      <c r="AL40" s="525">
        <v>0</v>
      </c>
      <c r="AM40" s="525">
        <v>0</v>
      </c>
      <c r="AN40" s="525">
        <v>0</v>
      </c>
      <c r="AO40" s="525">
        <v>0</v>
      </c>
      <c r="AP40" s="525">
        <v>0</v>
      </c>
      <c r="AQ40" s="525">
        <v>0</v>
      </c>
      <c r="AR40" s="525">
        <v>0</v>
      </c>
      <c r="AS40" s="525">
        <v>0</v>
      </c>
      <c r="AT40" s="525">
        <v>0</v>
      </c>
      <c r="AU40" s="525">
        <v>0</v>
      </c>
      <c r="AV40" s="525">
        <v>0</v>
      </c>
      <c r="AW40" s="525">
        <v>0</v>
      </c>
      <c r="AX40" s="525">
        <v>0</v>
      </c>
      <c r="AY40" s="525">
        <v>0</v>
      </c>
      <c r="AZ40" s="525">
        <v>157.553</v>
      </c>
      <c r="BA40" s="525">
        <v>0</v>
      </c>
      <c r="BB40" s="525">
        <v>0</v>
      </c>
      <c r="BC40" s="525">
        <v>0</v>
      </c>
      <c r="BD40" s="525">
        <v>0</v>
      </c>
      <c r="BE40" s="525">
        <v>0</v>
      </c>
      <c r="BF40" s="525">
        <v>0</v>
      </c>
      <c r="BG40" s="525">
        <v>0</v>
      </c>
      <c r="BH40" s="525">
        <v>0</v>
      </c>
      <c r="BI40" s="525">
        <v>0</v>
      </c>
      <c r="BJ40" s="525">
        <v>0</v>
      </c>
      <c r="BK40" s="525">
        <v>0</v>
      </c>
      <c r="BL40" s="525">
        <v>0</v>
      </c>
      <c r="BM40" s="525">
        <v>0</v>
      </c>
      <c r="BN40" s="525">
        <v>0</v>
      </c>
      <c r="BO40" s="525">
        <v>0</v>
      </c>
      <c r="BP40" s="525">
        <v>0</v>
      </c>
      <c r="BQ40" s="525">
        <v>0</v>
      </c>
      <c r="BR40" s="525">
        <v>0</v>
      </c>
      <c r="BS40" s="525">
        <v>0</v>
      </c>
      <c r="BT40" s="525">
        <v>0</v>
      </c>
      <c r="BU40" s="525">
        <v>0</v>
      </c>
      <c r="BV40" s="525">
        <v>0</v>
      </c>
      <c r="BW40" s="525">
        <v>0</v>
      </c>
      <c r="BX40" s="525">
        <v>0</v>
      </c>
      <c r="BY40" s="525">
        <v>0</v>
      </c>
      <c r="BZ40" s="525">
        <v>0</v>
      </c>
      <c r="CA40" s="525">
        <v>0</v>
      </c>
      <c r="CB40" s="525">
        <v>0</v>
      </c>
      <c r="CC40" s="525">
        <v>0</v>
      </c>
      <c r="CD40" s="525">
        <v>0</v>
      </c>
      <c r="CE40" s="525">
        <v>0</v>
      </c>
      <c r="CF40" s="525">
        <v>0</v>
      </c>
      <c r="CG40" s="525">
        <v>0</v>
      </c>
      <c r="CH40" s="525">
        <v>0</v>
      </c>
      <c r="CI40" s="525">
        <v>0</v>
      </c>
      <c r="CJ40" s="525">
        <v>0</v>
      </c>
      <c r="CK40" s="525">
        <v>0</v>
      </c>
      <c r="CL40" s="525">
        <v>0</v>
      </c>
      <c r="CM40" s="525">
        <v>285.76</v>
      </c>
      <c r="CN40" s="525">
        <v>285.76</v>
      </c>
      <c r="CO40" s="525">
        <v>0</v>
      </c>
      <c r="CP40" s="525">
        <v>0</v>
      </c>
      <c r="CQ40" s="525">
        <v>0</v>
      </c>
      <c r="CR40" s="525">
        <v>0</v>
      </c>
      <c r="CS40" s="525">
        <v>86.299519999999987</v>
      </c>
      <c r="CT40" s="525">
        <v>86.299519999999987</v>
      </c>
      <c r="CU40" s="525">
        <v>0</v>
      </c>
      <c r="CV40" s="525">
        <v>0</v>
      </c>
      <c r="CW40" s="525">
        <v>0</v>
      </c>
      <c r="CX40" s="525">
        <v>0</v>
      </c>
      <c r="CY40" s="525">
        <v>0</v>
      </c>
      <c r="CZ40" s="526"/>
      <c r="DA40" s="525">
        <v>0</v>
      </c>
      <c r="DB40" s="525">
        <v>0</v>
      </c>
      <c r="DC40" s="526"/>
      <c r="DD40" s="525">
        <v>0</v>
      </c>
      <c r="DE40" s="525">
        <v>0</v>
      </c>
      <c r="DF40" s="525">
        <v>0</v>
      </c>
      <c r="DG40" s="525">
        <v>67.63000000000001</v>
      </c>
      <c r="DH40" s="525">
        <v>0</v>
      </c>
      <c r="DI40" s="525">
        <v>0</v>
      </c>
      <c r="DJ40" s="525">
        <v>67.63000000000001</v>
      </c>
      <c r="DK40" s="525">
        <v>0</v>
      </c>
      <c r="DL40" s="525">
        <v>0</v>
      </c>
      <c r="DM40" s="525">
        <v>0</v>
      </c>
      <c r="DN40" s="525">
        <v>0</v>
      </c>
      <c r="DO40" s="525">
        <v>0</v>
      </c>
      <c r="DP40" s="525">
        <v>0</v>
      </c>
      <c r="DQ40" s="525">
        <v>0</v>
      </c>
      <c r="DR40" s="525">
        <v>0</v>
      </c>
      <c r="DS40" s="525">
        <v>0</v>
      </c>
      <c r="DT40" s="525">
        <v>0</v>
      </c>
      <c r="DU40" s="525">
        <v>0</v>
      </c>
      <c r="DV40" s="525">
        <v>0</v>
      </c>
      <c r="DW40" s="525">
        <v>0</v>
      </c>
      <c r="DX40" s="525">
        <v>0</v>
      </c>
      <c r="DY40" s="525">
        <v>0</v>
      </c>
      <c r="DZ40" s="525">
        <v>0</v>
      </c>
      <c r="EA40" s="525">
        <v>0</v>
      </c>
      <c r="EB40" s="525">
        <v>0</v>
      </c>
      <c r="EC40" s="525">
        <v>0</v>
      </c>
      <c r="ED40" s="525">
        <v>0</v>
      </c>
      <c r="EE40" s="525">
        <v>0</v>
      </c>
      <c r="EF40" s="525">
        <v>0</v>
      </c>
      <c r="EG40" s="525">
        <v>0</v>
      </c>
      <c r="EH40" s="525">
        <v>0</v>
      </c>
      <c r="EI40" s="525">
        <v>0</v>
      </c>
      <c r="EJ40" s="525">
        <v>0</v>
      </c>
      <c r="EK40" s="525">
        <v>0</v>
      </c>
      <c r="EL40" s="525">
        <v>0</v>
      </c>
      <c r="EM40" s="525">
        <v>0</v>
      </c>
      <c r="EN40" s="525">
        <v>0</v>
      </c>
      <c r="EO40" s="525">
        <v>0</v>
      </c>
      <c r="EP40" s="525">
        <v>0</v>
      </c>
      <c r="EQ40" s="525">
        <v>0</v>
      </c>
      <c r="ER40" s="525">
        <v>0</v>
      </c>
      <c r="ES40" s="525">
        <v>0</v>
      </c>
      <c r="ET40" s="525">
        <v>0</v>
      </c>
      <c r="EU40" s="525">
        <v>0</v>
      </c>
      <c r="EV40" s="525">
        <v>0</v>
      </c>
      <c r="EW40" s="525">
        <v>0</v>
      </c>
      <c r="EX40" s="525">
        <v>0</v>
      </c>
      <c r="EY40" s="525">
        <v>0</v>
      </c>
      <c r="EZ40" s="525">
        <v>0</v>
      </c>
      <c r="FA40" s="525">
        <v>0</v>
      </c>
      <c r="FB40" s="525">
        <v>0</v>
      </c>
      <c r="FC40" s="525">
        <v>0</v>
      </c>
      <c r="FD40" s="525">
        <v>0</v>
      </c>
      <c r="FE40" s="525">
        <v>0</v>
      </c>
      <c r="FF40" s="525">
        <v>0</v>
      </c>
      <c r="FG40" s="525">
        <v>0</v>
      </c>
      <c r="FH40" s="525">
        <v>0</v>
      </c>
      <c r="FI40" s="525">
        <v>0</v>
      </c>
      <c r="FJ40" s="525">
        <v>0</v>
      </c>
      <c r="FK40" s="525">
        <v>0</v>
      </c>
      <c r="FL40" s="525">
        <v>0</v>
      </c>
      <c r="FM40" s="525">
        <v>0</v>
      </c>
      <c r="FN40" s="525">
        <v>0</v>
      </c>
      <c r="FO40" s="525">
        <v>0</v>
      </c>
      <c r="FP40" s="525">
        <v>0</v>
      </c>
      <c r="FQ40" s="525">
        <v>0</v>
      </c>
      <c r="FR40" s="525">
        <v>0</v>
      </c>
      <c r="FS40" s="527">
        <v>597.24252000000001</v>
      </c>
      <c r="FT40" s="525">
        <v>0</v>
      </c>
      <c r="FU40" s="525">
        <v>0</v>
      </c>
      <c r="FV40" s="525">
        <v>0</v>
      </c>
      <c r="FW40" s="525">
        <v>0</v>
      </c>
      <c r="FX40" s="525">
        <v>0</v>
      </c>
      <c r="FY40" s="525">
        <v>0</v>
      </c>
      <c r="FZ40" s="525">
        <v>0</v>
      </c>
      <c r="GA40" s="525">
        <v>0</v>
      </c>
      <c r="GB40" s="525">
        <v>0</v>
      </c>
      <c r="GC40" s="525">
        <v>0</v>
      </c>
      <c r="GD40" s="525">
        <v>0</v>
      </c>
      <c r="GE40" s="525">
        <v>0</v>
      </c>
      <c r="GF40" s="525">
        <v>0</v>
      </c>
      <c r="GG40" s="525">
        <v>0</v>
      </c>
      <c r="GH40" s="525">
        <v>19.920000000000002</v>
      </c>
      <c r="GI40" s="525">
        <v>0</v>
      </c>
      <c r="GJ40" s="526"/>
      <c r="GK40" s="525">
        <v>19.920000000000002</v>
      </c>
      <c r="GL40" s="526"/>
      <c r="GM40" s="525">
        <v>0</v>
      </c>
      <c r="GN40" s="525">
        <v>0</v>
      </c>
      <c r="GO40" s="526"/>
      <c r="GP40" s="526"/>
      <c r="GQ40" s="525">
        <v>0</v>
      </c>
      <c r="GR40" s="526"/>
      <c r="GS40" s="526"/>
      <c r="GT40" s="525">
        <v>0</v>
      </c>
      <c r="GU40" s="525">
        <v>0</v>
      </c>
      <c r="GV40" s="525">
        <v>0</v>
      </c>
      <c r="GW40" s="525">
        <v>0</v>
      </c>
      <c r="GX40" s="525">
        <v>0</v>
      </c>
      <c r="GY40" s="525">
        <v>0</v>
      </c>
      <c r="GZ40" s="525">
        <v>0</v>
      </c>
      <c r="HA40" s="525">
        <v>0</v>
      </c>
      <c r="HB40" s="525">
        <v>0</v>
      </c>
      <c r="HC40" s="525">
        <v>0</v>
      </c>
      <c r="HD40" s="525">
        <v>0</v>
      </c>
      <c r="HE40" s="525">
        <v>0</v>
      </c>
      <c r="HF40" s="525">
        <v>0</v>
      </c>
      <c r="HG40" s="525">
        <v>0</v>
      </c>
      <c r="HH40" s="525">
        <v>0</v>
      </c>
      <c r="HI40" s="525">
        <v>0</v>
      </c>
      <c r="HJ40" s="525">
        <v>0</v>
      </c>
      <c r="HK40" s="525">
        <v>0</v>
      </c>
      <c r="HL40" s="526"/>
      <c r="HM40" s="526"/>
      <c r="HN40" s="526"/>
      <c r="HO40" s="526"/>
      <c r="HP40" s="526"/>
      <c r="HQ40" s="526"/>
      <c r="HR40" s="526"/>
      <c r="HS40" s="526"/>
      <c r="HT40" s="526"/>
      <c r="HU40" s="526"/>
      <c r="HV40" s="526"/>
      <c r="HW40" s="526"/>
      <c r="HX40" s="526"/>
      <c r="HY40" s="526"/>
      <c r="HZ40" s="526"/>
      <c r="IA40" s="526"/>
      <c r="IB40" s="526"/>
      <c r="IC40" s="526"/>
      <c r="ID40" s="526"/>
      <c r="IE40" s="526"/>
      <c r="IF40" s="526"/>
      <c r="IG40" s="526"/>
      <c r="IH40" s="526"/>
      <c r="II40" s="526"/>
      <c r="IJ40" s="526"/>
      <c r="IK40" s="526"/>
      <c r="IL40" s="526"/>
      <c r="IM40" s="526"/>
      <c r="IN40" s="526"/>
      <c r="IO40" s="526"/>
      <c r="IP40" s="526"/>
      <c r="IQ40" s="526"/>
      <c r="IR40" s="526"/>
      <c r="IS40" s="526"/>
      <c r="IT40" s="526"/>
      <c r="IU40" s="526"/>
      <c r="IV40" s="526"/>
      <c r="IW40" s="526"/>
      <c r="IX40" s="526"/>
      <c r="IY40" s="526"/>
      <c r="IZ40" s="526"/>
      <c r="JA40" s="526"/>
      <c r="JB40" s="526"/>
      <c r="JC40" s="526"/>
      <c r="JD40" s="526"/>
      <c r="JE40" s="526"/>
      <c r="JF40" s="526"/>
      <c r="JG40" s="526"/>
      <c r="JH40" s="526"/>
      <c r="JI40" s="526"/>
      <c r="JJ40" s="526"/>
      <c r="JK40" s="526"/>
      <c r="JL40" s="526"/>
      <c r="JM40" s="526"/>
      <c r="JN40" s="525">
        <v>353.39</v>
      </c>
      <c r="JO40" s="525">
        <v>86.299519999999987</v>
      </c>
      <c r="JP40" s="525">
        <v>157.553</v>
      </c>
      <c r="JQ40" s="525">
        <v>0</v>
      </c>
      <c r="JR40" s="525">
        <v>19.920000000000002</v>
      </c>
      <c r="JS40" s="527">
        <v>617.16251999999997</v>
      </c>
      <c r="JT40" s="528">
        <f t="shared" si="10"/>
        <v>0</v>
      </c>
      <c r="JU40" s="525">
        <v>617.16251999999997</v>
      </c>
      <c r="JV40" s="525">
        <v>617.16251999999997</v>
      </c>
      <c r="JW40" s="525">
        <v>617.16251999999997</v>
      </c>
      <c r="JX40" s="525">
        <v>865.88</v>
      </c>
      <c r="JY40" s="525">
        <v>865.88</v>
      </c>
      <c r="JZ40" s="526"/>
      <c r="KA40" s="525">
        <v>0</v>
      </c>
      <c r="KB40" s="529">
        <v>3.3353285027328603</v>
      </c>
      <c r="KC40" s="525">
        <v>-2.0018000000163738E-3</v>
      </c>
      <c r="KD40" s="525">
        <v>617.16452179999999</v>
      </c>
      <c r="KE40" s="525">
        <v>865.88</v>
      </c>
      <c r="KF40" s="525">
        <v>617.16452179999999</v>
      </c>
      <c r="KG40" s="530">
        <v>712.75987642629468</v>
      </c>
      <c r="KH40" s="525">
        <v>865.88</v>
      </c>
      <c r="KI40" s="525">
        <v>0</v>
      </c>
      <c r="KJ40" s="530">
        <v>0</v>
      </c>
      <c r="KK40" s="525">
        <v>0</v>
      </c>
      <c r="KL40" s="525">
        <v>0</v>
      </c>
      <c r="KM40" s="530">
        <v>0</v>
      </c>
      <c r="KN40" s="525">
        <v>0</v>
      </c>
      <c r="KO40" s="525">
        <v>0</v>
      </c>
      <c r="KP40" s="530">
        <v>0</v>
      </c>
      <c r="KQ40" s="525">
        <v>0</v>
      </c>
      <c r="KR40" s="526"/>
      <c r="KS40" s="526"/>
      <c r="KT40" s="531"/>
      <c r="KU40" s="531"/>
      <c r="KV40" s="526"/>
      <c r="KW40" s="531">
        <v>2.2429999999999999</v>
      </c>
      <c r="KX40" s="531">
        <v>1.68</v>
      </c>
      <c r="KY40" s="531">
        <v>7.1999999999999995E-2</v>
      </c>
      <c r="KZ40" s="526"/>
      <c r="LA40" s="531"/>
      <c r="LB40" s="532"/>
      <c r="LC40" s="533"/>
      <c r="LD40" s="494">
        <f t="shared" si="11"/>
        <v>635.95359216719999</v>
      </c>
      <c r="LE40" s="509">
        <f t="shared" si="12"/>
        <v>635.95359216719999</v>
      </c>
      <c r="LF40" s="534">
        <f t="shared" si="13"/>
        <v>163.06735499999999</v>
      </c>
      <c r="LG40" s="535">
        <f t="shared" si="14"/>
        <v>0</v>
      </c>
      <c r="LH40" s="536">
        <f t="shared" si="31"/>
        <v>1.03</v>
      </c>
      <c r="LI40" s="537">
        <f t="shared" si="15"/>
        <v>0</v>
      </c>
      <c r="LJ40" s="536">
        <f t="shared" si="32"/>
        <v>1.0389999999999999</v>
      </c>
      <c r="LK40" s="537">
        <f t="shared" si="16"/>
        <v>0</v>
      </c>
      <c r="LL40" s="536">
        <f t="shared" si="33"/>
        <v>1.0349999999999999</v>
      </c>
      <c r="LM40" s="537">
        <f t="shared" si="17"/>
        <v>0</v>
      </c>
      <c r="LN40" s="536">
        <f t="shared" si="34"/>
        <v>1.0349999999999999</v>
      </c>
      <c r="LO40" s="537">
        <f t="shared" si="18"/>
        <v>0</v>
      </c>
      <c r="LP40" s="536">
        <f t="shared" si="35"/>
        <v>1.0349999999999999</v>
      </c>
      <c r="LQ40" s="537">
        <f t="shared" si="19"/>
        <v>163.06735499999999</v>
      </c>
      <c r="LR40" s="536">
        <f t="shared" si="36"/>
        <v>1.04</v>
      </c>
      <c r="LS40" s="537">
        <f t="shared" si="20"/>
        <v>0</v>
      </c>
      <c r="LT40" s="539">
        <f t="shared" si="21"/>
        <v>363.5004879</v>
      </c>
      <c r="LU40" s="540">
        <f t="shared" si="22"/>
        <v>293.9355936</v>
      </c>
      <c r="LV40" s="541">
        <f t="shared" si="23"/>
        <v>69.564894299999992</v>
      </c>
      <c r="LW40" s="542">
        <f t="shared" si="24"/>
        <v>88.768549267199973</v>
      </c>
      <c r="LX40" s="540">
        <f t="shared" si="25"/>
        <v>88.768549267199973</v>
      </c>
      <c r="LY40" s="540">
        <f t="shared" si="26"/>
        <v>0</v>
      </c>
      <c r="LZ40" s="543">
        <f t="shared" si="27"/>
        <v>0</v>
      </c>
      <c r="MA40" s="544">
        <f t="shared" si="28"/>
        <v>0</v>
      </c>
      <c r="MB40" s="545">
        <f t="shared" si="29"/>
        <v>20.6172</v>
      </c>
    </row>
    <row r="41" spans="1:340" ht="16.5" customHeight="1">
      <c r="A41" s="465">
        <v>1</v>
      </c>
      <c r="B41" s="466">
        <v>31</v>
      </c>
      <c r="C41" s="467" t="s">
        <v>24</v>
      </c>
      <c r="D41" s="468">
        <v>4616008283</v>
      </c>
      <c r="E41" s="469">
        <f t="shared" si="3"/>
        <v>30900.637913402003</v>
      </c>
      <c r="F41" s="470" t="s">
        <v>287</v>
      </c>
      <c r="G41" s="595">
        <v>30900.634901399993</v>
      </c>
      <c r="H41" s="595">
        <f t="shared" si="30"/>
        <v>3.0120020091999322E-3</v>
      </c>
      <c r="I41" s="595"/>
      <c r="J41" s="471">
        <f t="shared" si="4"/>
        <v>30900.637913402003</v>
      </c>
      <c r="K41" s="472">
        <f t="shared" si="5"/>
        <v>16385.823833401999</v>
      </c>
      <c r="L41" s="473">
        <f t="shared" si="6"/>
        <v>13977.996862280001</v>
      </c>
      <c r="M41" s="474">
        <v>13977.996862280001</v>
      </c>
      <c r="N41" s="475">
        <v>0</v>
      </c>
      <c r="O41" s="475">
        <v>0</v>
      </c>
      <c r="P41" s="476">
        <v>0</v>
      </c>
      <c r="Q41" s="477">
        <v>1958.089618622</v>
      </c>
      <c r="R41" s="478">
        <f t="shared" si="7"/>
        <v>449.73735249999999</v>
      </c>
      <c r="S41" s="479">
        <f t="shared" si="8"/>
        <v>9164.2380000000012</v>
      </c>
      <c r="T41" s="479">
        <v>5917.04</v>
      </c>
      <c r="U41" s="480">
        <v>3247.1980000000012</v>
      </c>
      <c r="V41" s="481">
        <f t="shared" si="9"/>
        <v>1982.4860799999997</v>
      </c>
      <c r="W41" s="482">
        <v>1786.9460799999997</v>
      </c>
      <c r="X41" s="479">
        <v>0</v>
      </c>
      <c r="Y41" s="483">
        <v>195.53999999999996</v>
      </c>
      <c r="Z41" s="484">
        <v>2694.7600000000039</v>
      </c>
      <c r="AA41" s="485">
        <v>673.33</v>
      </c>
      <c r="AB41" s="486"/>
      <c r="AC41" s="487">
        <v>13977.996862280001</v>
      </c>
      <c r="AD41" s="487">
        <v>13977.996862280001</v>
      </c>
      <c r="AE41" s="487">
        <v>0</v>
      </c>
      <c r="AF41" s="487">
        <v>0</v>
      </c>
      <c r="AG41" s="487">
        <v>0</v>
      </c>
      <c r="AH41" s="487">
        <v>1958.089618622</v>
      </c>
      <c r="AI41" s="487">
        <v>1958.089618622</v>
      </c>
      <c r="AJ41" s="487">
        <v>0</v>
      </c>
      <c r="AK41" s="487">
        <v>0</v>
      </c>
      <c r="AL41" s="487">
        <v>0</v>
      </c>
      <c r="AM41" s="487">
        <v>0</v>
      </c>
      <c r="AN41" s="487">
        <v>0</v>
      </c>
      <c r="AO41" s="487">
        <v>0</v>
      </c>
      <c r="AP41" s="487">
        <v>0</v>
      </c>
      <c r="AQ41" s="487">
        <v>0</v>
      </c>
      <c r="AR41" s="487">
        <v>0</v>
      </c>
      <c r="AS41" s="487">
        <v>0</v>
      </c>
      <c r="AT41" s="487">
        <v>0</v>
      </c>
      <c r="AU41" s="487">
        <v>0</v>
      </c>
      <c r="AV41" s="487">
        <v>0</v>
      </c>
      <c r="AW41" s="487">
        <v>0</v>
      </c>
      <c r="AX41" s="487">
        <v>0</v>
      </c>
      <c r="AY41" s="487">
        <v>0</v>
      </c>
      <c r="AZ41" s="487">
        <v>0</v>
      </c>
      <c r="BA41" s="487">
        <v>1958.089618622</v>
      </c>
      <c r="BB41" s="487">
        <v>221.03826999999998</v>
      </c>
      <c r="BC41" s="487">
        <v>0</v>
      </c>
      <c r="BD41" s="487">
        <v>1958.089618622</v>
      </c>
      <c r="BE41" s="487">
        <v>8.8586000000000009</v>
      </c>
      <c r="BF41" s="487">
        <v>221.03826999999998</v>
      </c>
      <c r="BG41" s="487">
        <v>0</v>
      </c>
      <c r="BH41" s="487">
        <v>0</v>
      </c>
      <c r="BI41" s="487">
        <v>0</v>
      </c>
      <c r="BJ41" s="487">
        <v>0</v>
      </c>
      <c r="BK41" s="487">
        <v>0</v>
      </c>
      <c r="BL41" s="487">
        <v>0</v>
      </c>
      <c r="BM41" s="487">
        <v>0</v>
      </c>
      <c r="BN41" s="487">
        <v>0</v>
      </c>
      <c r="BO41" s="487">
        <v>0</v>
      </c>
      <c r="BP41" s="487">
        <v>0</v>
      </c>
      <c r="BQ41" s="487">
        <v>0</v>
      </c>
      <c r="BR41" s="487">
        <v>0</v>
      </c>
      <c r="BS41" s="487">
        <v>0</v>
      </c>
      <c r="BT41" s="487">
        <v>0</v>
      </c>
      <c r="BU41" s="487">
        <v>0</v>
      </c>
      <c r="BV41" s="487">
        <v>0</v>
      </c>
      <c r="BW41" s="487">
        <v>0</v>
      </c>
      <c r="BX41" s="487">
        <v>0</v>
      </c>
      <c r="BY41" s="487">
        <v>0</v>
      </c>
      <c r="BZ41" s="487">
        <v>0</v>
      </c>
      <c r="CA41" s="487">
        <v>0</v>
      </c>
      <c r="CB41" s="487">
        <v>0</v>
      </c>
      <c r="CC41" s="487">
        <v>0</v>
      </c>
      <c r="CD41" s="487">
        <v>0</v>
      </c>
      <c r="CE41" s="487">
        <v>0</v>
      </c>
      <c r="CF41" s="487">
        <v>0</v>
      </c>
      <c r="CG41" s="487">
        <v>0</v>
      </c>
      <c r="CH41" s="487">
        <v>0</v>
      </c>
      <c r="CI41" s="487">
        <v>0</v>
      </c>
      <c r="CJ41" s="487">
        <v>0</v>
      </c>
      <c r="CK41" s="487">
        <v>0</v>
      </c>
      <c r="CL41" s="487">
        <v>0</v>
      </c>
      <c r="CM41" s="487">
        <v>5917.04</v>
      </c>
      <c r="CN41" s="487">
        <v>3222.2400000000002</v>
      </c>
      <c r="CO41" s="487">
        <v>0</v>
      </c>
      <c r="CP41" s="487">
        <v>587.4</v>
      </c>
      <c r="CQ41" s="487">
        <v>2107.4</v>
      </c>
      <c r="CR41" s="487">
        <v>0</v>
      </c>
      <c r="CS41" s="487">
        <v>1786.9460799999997</v>
      </c>
      <c r="CT41" s="487">
        <v>973.11647999999991</v>
      </c>
      <c r="CU41" s="487">
        <v>0</v>
      </c>
      <c r="CV41" s="487">
        <v>177.3948</v>
      </c>
      <c r="CW41" s="487">
        <v>636.43479999999988</v>
      </c>
      <c r="CX41" s="487">
        <v>0</v>
      </c>
      <c r="CY41" s="487">
        <v>449.73735249999999</v>
      </c>
      <c r="CZ41" s="467"/>
      <c r="DA41" s="487">
        <v>8.94679</v>
      </c>
      <c r="DB41" s="487">
        <v>0</v>
      </c>
      <c r="DC41" s="467"/>
      <c r="DD41" s="487">
        <v>0</v>
      </c>
      <c r="DE41" s="487">
        <v>0</v>
      </c>
      <c r="DF41" s="487">
        <v>0</v>
      </c>
      <c r="DG41" s="487">
        <v>1373.578</v>
      </c>
      <c r="DH41" s="487">
        <v>0</v>
      </c>
      <c r="DI41" s="487">
        <v>0</v>
      </c>
      <c r="DJ41" s="487">
        <v>1373.578</v>
      </c>
      <c r="DK41" s="487">
        <v>0</v>
      </c>
      <c r="DL41" s="487">
        <v>0</v>
      </c>
      <c r="DM41" s="487">
        <v>0</v>
      </c>
      <c r="DN41" s="487">
        <v>0</v>
      </c>
      <c r="DO41" s="487">
        <v>0</v>
      </c>
      <c r="DP41" s="487">
        <v>600</v>
      </c>
      <c r="DQ41" s="487">
        <v>0</v>
      </c>
      <c r="DR41" s="487">
        <v>0</v>
      </c>
      <c r="DS41" s="487">
        <v>0</v>
      </c>
      <c r="DT41" s="487">
        <v>600</v>
      </c>
      <c r="DU41" s="487">
        <v>0</v>
      </c>
      <c r="DV41" s="487">
        <v>0</v>
      </c>
      <c r="DW41" s="487">
        <v>0</v>
      </c>
      <c r="DX41" s="487">
        <v>0</v>
      </c>
      <c r="DY41" s="487">
        <v>0</v>
      </c>
      <c r="DZ41" s="487">
        <v>0</v>
      </c>
      <c r="EA41" s="487">
        <v>0</v>
      </c>
      <c r="EB41" s="487">
        <v>0</v>
      </c>
      <c r="EC41" s="487">
        <v>0</v>
      </c>
      <c r="ED41" s="487">
        <v>0</v>
      </c>
      <c r="EE41" s="487">
        <v>0</v>
      </c>
      <c r="EF41" s="487">
        <v>0</v>
      </c>
      <c r="EG41" s="487">
        <v>0</v>
      </c>
      <c r="EH41" s="487">
        <v>0</v>
      </c>
      <c r="EI41" s="487">
        <v>0</v>
      </c>
      <c r="EJ41" s="487">
        <v>0</v>
      </c>
      <c r="EK41" s="487">
        <v>0</v>
      </c>
      <c r="EL41" s="487">
        <v>0</v>
      </c>
      <c r="EM41" s="487">
        <v>0</v>
      </c>
      <c r="EN41" s="487">
        <v>0</v>
      </c>
      <c r="EO41" s="487">
        <v>0</v>
      </c>
      <c r="EP41" s="487">
        <v>1273.6199999999999</v>
      </c>
      <c r="EQ41" s="487">
        <v>0</v>
      </c>
      <c r="ER41" s="487">
        <v>1273.6199999999999</v>
      </c>
      <c r="ES41" s="487">
        <v>0</v>
      </c>
      <c r="ET41" s="487">
        <v>0</v>
      </c>
      <c r="EU41" s="487">
        <v>0</v>
      </c>
      <c r="EV41" s="487">
        <v>0</v>
      </c>
      <c r="EW41" s="487">
        <v>153.19999999999999</v>
      </c>
      <c r="EX41" s="487">
        <v>0</v>
      </c>
      <c r="EY41" s="487">
        <v>0</v>
      </c>
      <c r="EZ41" s="487">
        <v>0</v>
      </c>
      <c r="FA41" s="487">
        <v>0</v>
      </c>
      <c r="FB41" s="487">
        <v>42.34</v>
      </c>
      <c r="FC41" s="487">
        <v>0</v>
      </c>
      <c r="FD41" s="487">
        <v>25</v>
      </c>
      <c r="FE41" s="487">
        <v>0</v>
      </c>
      <c r="FF41" s="487">
        <v>17.34</v>
      </c>
      <c r="FG41" s="487">
        <v>0</v>
      </c>
      <c r="FH41" s="487">
        <v>0</v>
      </c>
      <c r="FI41" s="487">
        <v>17.34</v>
      </c>
      <c r="FJ41" s="487">
        <v>0</v>
      </c>
      <c r="FK41" s="487">
        <v>0</v>
      </c>
      <c r="FL41" s="487">
        <v>0</v>
      </c>
      <c r="FM41" s="487">
        <v>0</v>
      </c>
      <c r="FN41" s="487">
        <v>0</v>
      </c>
      <c r="FO41" s="487">
        <v>0</v>
      </c>
      <c r="FP41" s="487">
        <v>0</v>
      </c>
      <c r="FQ41" s="487">
        <v>0</v>
      </c>
      <c r="FR41" s="487">
        <v>0</v>
      </c>
      <c r="FS41" s="488">
        <v>27532.547913401999</v>
      </c>
      <c r="FT41" s="487">
        <v>0</v>
      </c>
      <c r="FU41" s="487">
        <v>0</v>
      </c>
      <c r="FV41" s="487">
        <v>0</v>
      </c>
      <c r="FW41" s="487">
        <v>0</v>
      </c>
      <c r="FX41" s="487">
        <v>0</v>
      </c>
      <c r="FY41" s="487">
        <v>0</v>
      </c>
      <c r="FZ41" s="487">
        <v>0</v>
      </c>
      <c r="GA41" s="487">
        <v>0</v>
      </c>
      <c r="GB41" s="487">
        <v>0</v>
      </c>
      <c r="GC41" s="487">
        <v>0</v>
      </c>
      <c r="GD41" s="487">
        <v>0</v>
      </c>
      <c r="GE41" s="487">
        <v>0</v>
      </c>
      <c r="GF41" s="487">
        <v>0</v>
      </c>
      <c r="GG41" s="487">
        <v>0</v>
      </c>
      <c r="GH41" s="487">
        <v>673.33</v>
      </c>
      <c r="GI41" s="487">
        <v>0</v>
      </c>
      <c r="GJ41" s="467"/>
      <c r="GK41" s="487">
        <v>673.33</v>
      </c>
      <c r="GL41" s="467"/>
      <c r="GM41" s="487">
        <v>0</v>
      </c>
      <c r="GN41" s="487">
        <v>0</v>
      </c>
      <c r="GO41" s="467"/>
      <c r="GP41" s="467"/>
      <c r="GQ41" s="487">
        <v>0</v>
      </c>
      <c r="GR41" s="467"/>
      <c r="GS41" s="467"/>
      <c r="GT41" s="487">
        <v>0</v>
      </c>
      <c r="GU41" s="487">
        <v>0</v>
      </c>
      <c r="GV41" s="487">
        <v>0</v>
      </c>
      <c r="GW41" s="487">
        <v>0</v>
      </c>
      <c r="GX41" s="487">
        <v>0</v>
      </c>
      <c r="GY41" s="487">
        <v>0</v>
      </c>
      <c r="GZ41" s="487">
        <v>0</v>
      </c>
      <c r="HA41" s="487">
        <v>0</v>
      </c>
      <c r="HB41" s="487">
        <v>0</v>
      </c>
      <c r="HC41" s="487">
        <v>0</v>
      </c>
      <c r="HD41" s="487">
        <v>0</v>
      </c>
      <c r="HE41" s="487">
        <v>0</v>
      </c>
      <c r="HF41" s="487">
        <v>0</v>
      </c>
      <c r="HG41" s="487">
        <v>0</v>
      </c>
      <c r="HH41" s="487">
        <v>0</v>
      </c>
      <c r="HI41" s="487">
        <v>0</v>
      </c>
      <c r="HJ41" s="487">
        <v>0</v>
      </c>
      <c r="HK41" s="487">
        <v>0</v>
      </c>
      <c r="HL41" s="467"/>
      <c r="HM41" s="467"/>
      <c r="HN41" s="467"/>
      <c r="HO41" s="467"/>
      <c r="HP41" s="467"/>
      <c r="HQ41" s="467"/>
      <c r="HR41" s="467"/>
      <c r="HS41" s="467"/>
      <c r="HT41" s="467"/>
      <c r="HU41" s="467"/>
      <c r="HV41" s="467"/>
      <c r="HW41" s="467"/>
      <c r="HX41" s="467"/>
      <c r="HY41" s="467"/>
      <c r="HZ41" s="467"/>
      <c r="IA41" s="467"/>
      <c r="IB41" s="467"/>
      <c r="IC41" s="467"/>
      <c r="ID41" s="467"/>
      <c r="IE41" s="467"/>
      <c r="IF41" s="467"/>
      <c r="IG41" s="467"/>
      <c r="IH41" s="467"/>
      <c r="II41" s="467"/>
      <c r="IJ41" s="467"/>
      <c r="IK41" s="467"/>
      <c r="IL41" s="467"/>
      <c r="IM41" s="467"/>
      <c r="IN41" s="467"/>
      <c r="IO41" s="467"/>
      <c r="IP41" s="467"/>
      <c r="IQ41" s="467"/>
      <c r="IR41" s="467"/>
      <c r="IS41" s="467"/>
      <c r="IT41" s="467"/>
      <c r="IU41" s="467"/>
      <c r="IV41" s="467"/>
      <c r="IW41" s="467"/>
      <c r="IX41" s="467"/>
      <c r="IY41" s="467"/>
      <c r="IZ41" s="467"/>
      <c r="JA41" s="467"/>
      <c r="JB41" s="467"/>
      <c r="JC41" s="467"/>
      <c r="JD41" s="467"/>
      <c r="JE41" s="467"/>
      <c r="JF41" s="467"/>
      <c r="JG41" s="467"/>
      <c r="JH41" s="467"/>
      <c r="JI41" s="467"/>
      <c r="JJ41" s="467"/>
      <c r="JK41" s="467"/>
      <c r="JL41" s="467"/>
      <c r="JM41" s="467"/>
      <c r="JN41" s="487">
        <v>9164.2380000000012</v>
      </c>
      <c r="JO41" s="487">
        <v>1982.4860799999997</v>
      </c>
      <c r="JP41" s="487">
        <v>16385.823833401999</v>
      </c>
      <c r="JQ41" s="487">
        <v>0</v>
      </c>
      <c r="JR41" s="487">
        <v>673.33</v>
      </c>
      <c r="JS41" s="488">
        <v>30900.637913402003</v>
      </c>
      <c r="JT41" s="489">
        <f t="shared" si="10"/>
        <v>2694.7600000000039</v>
      </c>
      <c r="JU41" s="487">
        <v>30900.637913402003</v>
      </c>
      <c r="JV41" s="487">
        <v>30900.637913402003</v>
      </c>
      <c r="JW41" s="487">
        <v>30900.637913402003</v>
      </c>
      <c r="JX41" s="487">
        <v>10972.23</v>
      </c>
      <c r="JY41" s="487">
        <v>10972.23</v>
      </c>
      <c r="JZ41" s="467"/>
      <c r="KA41" s="487">
        <v>10972.23</v>
      </c>
      <c r="KB41" s="490">
        <v>2.4455782375021085</v>
      </c>
      <c r="KC41" s="487">
        <v>3.0120020019239746E-3</v>
      </c>
      <c r="KD41" s="487">
        <v>30900.634901400001</v>
      </c>
      <c r="KE41" s="487">
        <v>10972.23</v>
      </c>
      <c r="KF41" s="487">
        <v>0</v>
      </c>
      <c r="KG41" s="491">
        <v>0</v>
      </c>
      <c r="KH41" s="487">
        <v>0</v>
      </c>
      <c r="KI41" s="487">
        <v>22006.278416000001</v>
      </c>
      <c r="KJ41" s="491">
        <v>2813.0013595702962</v>
      </c>
      <c r="KK41" s="487">
        <v>7823.0599999999995</v>
      </c>
      <c r="KL41" s="487">
        <v>7227.7816050000001</v>
      </c>
      <c r="KM41" s="491">
        <v>2827.7705809859158</v>
      </c>
      <c r="KN41" s="487">
        <v>2556</v>
      </c>
      <c r="KO41" s="487">
        <v>1666.5748804</v>
      </c>
      <c r="KP41" s="491">
        <v>2809.607499367803</v>
      </c>
      <c r="KQ41" s="487">
        <v>593.17000000000007</v>
      </c>
      <c r="KR41" s="467"/>
      <c r="KS41" s="467"/>
      <c r="KT41" s="487">
        <v>4605.2</v>
      </c>
      <c r="KU41" s="487">
        <v>54</v>
      </c>
      <c r="KV41" s="467"/>
      <c r="KW41" s="487">
        <v>1375.1</v>
      </c>
      <c r="KX41" s="487">
        <v>7.22</v>
      </c>
      <c r="KY41" s="487">
        <v>1.1000000000000001</v>
      </c>
      <c r="KZ41" s="467"/>
      <c r="LA41" s="487">
        <v>1410</v>
      </c>
      <c r="LB41" s="492">
        <v>722</v>
      </c>
      <c r="LC41" s="493">
        <v>0.39600000000000002</v>
      </c>
      <c r="LD41" s="494">
        <f t="shared" si="11"/>
        <v>31750.224276550976</v>
      </c>
      <c r="LE41" s="471">
        <f t="shared" si="12"/>
        <v>31750.224276550976</v>
      </c>
      <c r="LF41" s="495">
        <f t="shared" si="13"/>
        <v>16891.686370022169</v>
      </c>
      <c r="LG41" s="476">
        <f t="shared" si="14"/>
        <v>14397.336768148401</v>
      </c>
      <c r="LH41" s="496">
        <f t="shared" si="31"/>
        <v>1.03</v>
      </c>
      <c r="LI41" s="497">
        <f t="shared" si="15"/>
        <v>14397.336768148401</v>
      </c>
      <c r="LJ41" s="496">
        <f t="shared" si="32"/>
        <v>1.0389999999999999</v>
      </c>
      <c r="LK41" s="497">
        <f t="shared" si="16"/>
        <v>0</v>
      </c>
      <c r="LL41" s="496">
        <f t="shared" si="33"/>
        <v>1.0349999999999999</v>
      </c>
      <c r="LM41" s="497">
        <f t="shared" si="17"/>
        <v>0</v>
      </c>
      <c r="LN41" s="496">
        <f t="shared" si="34"/>
        <v>1.0349999999999999</v>
      </c>
      <c r="LO41" s="497">
        <f t="shared" si="18"/>
        <v>0</v>
      </c>
      <c r="LP41" s="496">
        <f t="shared" si="35"/>
        <v>1.0349999999999999</v>
      </c>
      <c r="LQ41" s="497">
        <f t="shared" si="19"/>
        <v>2026.6227552737698</v>
      </c>
      <c r="LR41" s="496">
        <f t="shared" si="36"/>
        <v>1.04</v>
      </c>
      <c r="LS41" s="497">
        <f t="shared" si="20"/>
        <v>467.72684659999999</v>
      </c>
      <c r="LT41" s="499">
        <f t="shared" si="21"/>
        <v>9426.4268491799994</v>
      </c>
      <c r="LU41" s="500">
        <f t="shared" si="22"/>
        <v>6086.3265143999997</v>
      </c>
      <c r="LV41" s="501">
        <f t="shared" si="23"/>
        <v>3340.1003347800006</v>
      </c>
      <c r="LW41" s="499">
        <f t="shared" si="24"/>
        <v>2040.4545073487996</v>
      </c>
      <c r="LX41" s="500">
        <f t="shared" si="25"/>
        <v>1838.0706073487995</v>
      </c>
      <c r="LY41" s="500">
        <f t="shared" si="26"/>
        <v>0</v>
      </c>
      <c r="LZ41" s="502">
        <f t="shared" si="27"/>
        <v>202.38389999999995</v>
      </c>
      <c r="MA41" s="503">
        <f t="shared" si="28"/>
        <v>2694.7600000000039</v>
      </c>
      <c r="MB41" s="504">
        <f t="shared" si="29"/>
        <v>696.89654999999993</v>
      </c>
    </row>
    <row r="42" spans="1:340" ht="16.5" customHeight="1">
      <c r="A42" s="505">
        <v>1</v>
      </c>
      <c r="B42" s="506">
        <v>32</v>
      </c>
      <c r="C42" s="507" t="s">
        <v>187</v>
      </c>
      <c r="D42" s="508">
        <v>4620014875</v>
      </c>
      <c r="E42" s="469">
        <f t="shared" si="3"/>
        <v>80304.054060441253</v>
      </c>
      <c r="F42" s="470" t="s">
        <v>287</v>
      </c>
      <c r="G42" s="595">
        <v>80304.051421199998</v>
      </c>
      <c r="H42" s="595">
        <f t="shared" si="30"/>
        <v>2.6392412546556443E-3</v>
      </c>
      <c r="I42" s="595"/>
      <c r="J42" s="509">
        <f t="shared" si="4"/>
        <v>80304.054060441253</v>
      </c>
      <c r="K42" s="510">
        <f t="shared" si="5"/>
        <v>57573.131142532613</v>
      </c>
      <c r="L42" s="511">
        <f t="shared" si="6"/>
        <v>41327.936871001104</v>
      </c>
      <c r="M42" s="512">
        <v>41327.936871001104</v>
      </c>
      <c r="N42" s="513">
        <v>0</v>
      </c>
      <c r="O42" s="513">
        <v>0</v>
      </c>
      <c r="P42" s="514">
        <v>0</v>
      </c>
      <c r="Q42" s="515">
        <v>14325.099344298515</v>
      </c>
      <c r="R42" s="516">
        <f t="shared" si="7"/>
        <v>1920.0949272329999</v>
      </c>
      <c r="S42" s="517">
        <f t="shared" si="8"/>
        <v>17268.016011908643</v>
      </c>
      <c r="T42" s="518">
        <v>12536.403</v>
      </c>
      <c r="U42" s="519">
        <v>4731.6130119086429</v>
      </c>
      <c r="V42" s="520">
        <f t="shared" si="9"/>
        <v>5462.9069060000002</v>
      </c>
      <c r="W42" s="521">
        <v>3785.9937059999997</v>
      </c>
      <c r="X42" s="518">
        <v>0</v>
      </c>
      <c r="Y42" s="522">
        <v>1676.9132000000004</v>
      </c>
      <c r="Z42" s="523">
        <v>0</v>
      </c>
      <c r="AA42" s="524">
        <v>0</v>
      </c>
      <c r="AB42" s="486"/>
      <c r="AC42" s="525">
        <v>41327.936871001104</v>
      </c>
      <c r="AD42" s="525">
        <v>41327.936871001104</v>
      </c>
      <c r="AE42" s="525">
        <v>0</v>
      </c>
      <c r="AF42" s="525">
        <v>0</v>
      </c>
      <c r="AG42" s="525">
        <v>0</v>
      </c>
      <c r="AH42" s="525">
        <v>14325.099344298515</v>
      </c>
      <c r="AI42" s="525">
        <v>14325.099344298515</v>
      </c>
      <c r="AJ42" s="525">
        <v>0</v>
      </c>
      <c r="AK42" s="525">
        <v>0</v>
      </c>
      <c r="AL42" s="525">
        <v>0</v>
      </c>
      <c r="AM42" s="525">
        <v>0</v>
      </c>
      <c r="AN42" s="525">
        <v>0</v>
      </c>
      <c r="AO42" s="525">
        <v>0</v>
      </c>
      <c r="AP42" s="525">
        <v>0</v>
      </c>
      <c r="AQ42" s="525">
        <v>0</v>
      </c>
      <c r="AR42" s="525">
        <v>0</v>
      </c>
      <c r="AS42" s="525">
        <v>0</v>
      </c>
      <c r="AT42" s="525">
        <v>0</v>
      </c>
      <c r="AU42" s="525">
        <v>0</v>
      </c>
      <c r="AV42" s="525">
        <v>0</v>
      </c>
      <c r="AW42" s="525">
        <v>0</v>
      </c>
      <c r="AX42" s="525">
        <v>0</v>
      </c>
      <c r="AY42" s="525">
        <v>0</v>
      </c>
      <c r="AZ42" s="525">
        <v>0</v>
      </c>
      <c r="BA42" s="525">
        <v>14325.099344298515</v>
      </c>
      <c r="BB42" s="525">
        <v>1590.4065395</v>
      </c>
      <c r="BC42" s="525">
        <v>0</v>
      </c>
      <c r="BD42" s="525">
        <v>0</v>
      </c>
      <c r="BE42" s="525">
        <v>0</v>
      </c>
      <c r="BF42" s="525">
        <v>0</v>
      </c>
      <c r="BG42" s="525">
        <v>0</v>
      </c>
      <c r="BH42" s="525">
        <v>0</v>
      </c>
      <c r="BI42" s="525">
        <v>0</v>
      </c>
      <c r="BJ42" s="525">
        <v>14325.099344298515</v>
      </c>
      <c r="BK42" s="525">
        <v>9.0071934367184578</v>
      </c>
      <c r="BL42" s="525">
        <v>1590.4065395</v>
      </c>
      <c r="BM42" s="525">
        <v>0</v>
      </c>
      <c r="BN42" s="525">
        <v>0</v>
      </c>
      <c r="BO42" s="525">
        <v>0</v>
      </c>
      <c r="BP42" s="525">
        <v>0</v>
      </c>
      <c r="BQ42" s="525">
        <v>0</v>
      </c>
      <c r="BR42" s="525">
        <v>0</v>
      </c>
      <c r="BS42" s="525">
        <v>0</v>
      </c>
      <c r="BT42" s="525">
        <v>0</v>
      </c>
      <c r="BU42" s="525">
        <v>0</v>
      </c>
      <c r="BV42" s="525">
        <v>0</v>
      </c>
      <c r="BW42" s="525">
        <v>0</v>
      </c>
      <c r="BX42" s="525">
        <v>0</v>
      </c>
      <c r="BY42" s="525">
        <v>0</v>
      </c>
      <c r="BZ42" s="525">
        <v>0</v>
      </c>
      <c r="CA42" s="525">
        <v>0</v>
      </c>
      <c r="CB42" s="525">
        <v>0</v>
      </c>
      <c r="CC42" s="525">
        <v>0</v>
      </c>
      <c r="CD42" s="525">
        <v>0</v>
      </c>
      <c r="CE42" s="525">
        <v>0</v>
      </c>
      <c r="CF42" s="525">
        <v>0</v>
      </c>
      <c r="CG42" s="525">
        <v>0</v>
      </c>
      <c r="CH42" s="525">
        <v>0</v>
      </c>
      <c r="CI42" s="525">
        <v>0</v>
      </c>
      <c r="CJ42" s="525">
        <v>0</v>
      </c>
      <c r="CK42" s="525">
        <v>0</v>
      </c>
      <c r="CL42" s="525">
        <v>0</v>
      </c>
      <c r="CM42" s="525">
        <v>12536.403</v>
      </c>
      <c r="CN42" s="525">
        <v>9508.3197999999993</v>
      </c>
      <c r="CO42" s="525">
        <v>0</v>
      </c>
      <c r="CP42" s="525">
        <v>0</v>
      </c>
      <c r="CQ42" s="525">
        <v>3028.0832</v>
      </c>
      <c r="CR42" s="525">
        <v>0</v>
      </c>
      <c r="CS42" s="525">
        <v>3785.9937059999997</v>
      </c>
      <c r="CT42" s="525">
        <v>2871.5125796000002</v>
      </c>
      <c r="CU42" s="525">
        <v>0</v>
      </c>
      <c r="CV42" s="525">
        <v>0</v>
      </c>
      <c r="CW42" s="525">
        <v>914.48112639999999</v>
      </c>
      <c r="CX42" s="525">
        <v>0</v>
      </c>
      <c r="CY42" s="525">
        <v>1920.0949272329999</v>
      </c>
      <c r="CZ42" s="526"/>
      <c r="DA42" s="525">
        <v>50.4914925</v>
      </c>
      <c r="DB42" s="525">
        <v>0</v>
      </c>
      <c r="DC42" s="526"/>
      <c r="DD42" s="525">
        <v>0</v>
      </c>
      <c r="DE42" s="525">
        <v>0</v>
      </c>
      <c r="DF42" s="525">
        <v>0</v>
      </c>
      <c r="DG42" s="525">
        <v>3483.3231968832001</v>
      </c>
      <c r="DH42" s="525">
        <v>633.84108226560011</v>
      </c>
      <c r="DI42" s="525">
        <v>0</v>
      </c>
      <c r="DJ42" s="525">
        <v>2849.4821146176005</v>
      </c>
      <c r="DK42" s="525">
        <v>0</v>
      </c>
      <c r="DL42" s="525">
        <v>0</v>
      </c>
      <c r="DM42" s="525">
        <v>0</v>
      </c>
      <c r="DN42" s="525">
        <v>0</v>
      </c>
      <c r="DO42" s="525">
        <v>0</v>
      </c>
      <c r="DP42" s="525">
        <v>695.56131581904015</v>
      </c>
      <c r="DQ42" s="525">
        <v>0</v>
      </c>
      <c r="DR42" s="525">
        <v>0</v>
      </c>
      <c r="DS42" s="525">
        <v>0</v>
      </c>
      <c r="DT42" s="525">
        <v>695.56131581904015</v>
      </c>
      <c r="DU42" s="525">
        <v>0</v>
      </c>
      <c r="DV42" s="525">
        <v>0</v>
      </c>
      <c r="DW42" s="525">
        <v>0</v>
      </c>
      <c r="DX42" s="525">
        <v>0</v>
      </c>
      <c r="DY42" s="525">
        <v>0</v>
      </c>
      <c r="DZ42" s="525">
        <v>0</v>
      </c>
      <c r="EA42" s="525">
        <v>0</v>
      </c>
      <c r="EB42" s="525">
        <v>0</v>
      </c>
      <c r="EC42" s="525">
        <v>0</v>
      </c>
      <c r="ED42" s="525">
        <v>0</v>
      </c>
      <c r="EE42" s="525">
        <v>0</v>
      </c>
      <c r="EF42" s="525">
        <v>0</v>
      </c>
      <c r="EG42" s="525">
        <v>0</v>
      </c>
      <c r="EH42" s="525">
        <v>48.489999999999995</v>
      </c>
      <c r="EI42" s="525">
        <v>0</v>
      </c>
      <c r="EJ42" s="525">
        <v>48.489999999999995</v>
      </c>
      <c r="EK42" s="525">
        <v>0</v>
      </c>
      <c r="EL42" s="525">
        <v>0</v>
      </c>
      <c r="EM42" s="525">
        <v>0</v>
      </c>
      <c r="EN42" s="525">
        <v>0</v>
      </c>
      <c r="EO42" s="525">
        <v>0</v>
      </c>
      <c r="EP42" s="525">
        <v>552.7284992064001</v>
      </c>
      <c r="EQ42" s="525">
        <v>0</v>
      </c>
      <c r="ER42" s="525">
        <v>552.7284992064001</v>
      </c>
      <c r="ES42" s="525">
        <v>801.62270000000001</v>
      </c>
      <c r="ET42" s="525">
        <v>48.489999999999995</v>
      </c>
      <c r="EU42" s="525">
        <v>48.489999999999995</v>
      </c>
      <c r="EV42" s="525">
        <v>0</v>
      </c>
      <c r="EW42" s="525">
        <v>0</v>
      </c>
      <c r="EX42" s="525">
        <v>0</v>
      </c>
      <c r="EY42" s="525">
        <v>0</v>
      </c>
      <c r="EZ42" s="525">
        <v>0</v>
      </c>
      <c r="FA42" s="525">
        <v>0</v>
      </c>
      <c r="FB42" s="525">
        <v>826.80049999999994</v>
      </c>
      <c r="FC42" s="525">
        <v>0</v>
      </c>
      <c r="FD42" s="525">
        <v>23.76</v>
      </c>
      <c r="FE42" s="525">
        <v>0</v>
      </c>
      <c r="FF42" s="525">
        <v>803.04049999999995</v>
      </c>
      <c r="FG42" s="525">
        <v>0</v>
      </c>
      <c r="FH42" s="525">
        <v>0</v>
      </c>
      <c r="FI42" s="525">
        <v>0</v>
      </c>
      <c r="FJ42" s="525">
        <v>0</v>
      </c>
      <c r="FK42" s="525">
        <v>803.04049999999995</v>
      </c>
      <c r="FL42" s="525">
        <v>0</v>
      </c>
      <c r="FM42" s="525">
        <v>0</v>
      </c>
      <c r="FN42" s="525">
        <v>0</v>
      </c>
      <c r="FO42" s="525">
        <v>0</v>
      </c>
      <c r="FP42" s="525">
        <v>0</v>
      </c>
      <c r="FQ42" s="525">
        <v>0</v>
      </c>
      <c r="FR42" s="525">
        <v>0</v>
      </c>
      <c r="FS42" s="527">
        <v>80304.054060441253</v>
      </c>
      <c r="FT42" s="525">
        <v>0</v>
      </c>
      <c r="FU42" s="525">
        <v>0</v>
      </c>
      <c r="FV42" s="525">
        <v>0</v>
      </c>
      <c r="FW42" s="525">
        <v>0</v>
      </c>
      <c r="FX42" s="525">
        <v>0</v>
      </c>
      <c r="FY42" s="525">
        <v>0</v>
      </c>
      <c r="FZ42" s="525">
        <v>0</v>
      </c>
      <c r="GA42" s="525">
        <v>0</v>
      </c>
      <c r="GB42" s="525">
        <v>0</v>
      </c>
      <c r="GC42" s="525">
        <v>0</v>
      </c>
      <c r="GD42" s="525">
        <v>0</v>
      </c>
      <c r="GE42" s="525">
        <v>0</v>
      </c>
      <c r="GF42" s="525">
        <v>0</v>
      </c>
      <c r="GG42" s="525">
        <v>0</v>
      </c>
      <c r="GH42" s="525">
        <v>0</v>
      </c>
      <c r="GI42" s="525">
        <v>0</v>
      </c>
      <c r="GJ42" s="526"/>
      <c r="GK42" s="525">
        <v>0</v>
      </c>
      <c r="GL42" s="526"/>
      <c r="GM42" s="525">
        <v>0</v>
      </c>
      <c r="GN42" s="525">
        <v>0</v>
      </c>
      <c r="GO42" s="526"/>
      <c r="GP42" s="526"/>
      <c r="GQ42" s="525">
        <v>0</v>
      </c>
      <c r="GR42" s="526"/>
      <c r="GS42" s="526"/>
      <c r="GT42" s="525">
        <v>0</v>
      </c>
      <c r="GU42" s="525">
        <v>0</v>
      </c>
      <c r="GV42" s="525">
        <v>0</v>
      </c>
      <c r="GW42" s="525">
        <v>0</v>
      </c>
      <c r="GX42" s="525">
        <v>0</v>
      </c>
      <c r="GY42" s="525">
        <v>0</v>
      </c>
      <c r="GZ42" s="525">
        <v>0</v>
      </c>
      <c r="HA42" s="525">
        <v>0</v>
      </c>
      <c r="HB42" s="525">
        <v>0</v>
      </c>
      <c r="HC42" s="525">
        <v>0</v>
      </c>
      <c r="HD42" s="525">
        <v>0</v>
      </c>
      <c r="HE42" s="525">
        <v>0</v>
      </c>
      <c r="HF42" s="525">
        <v>0</v>
      </c>
      <c r="HG42" s="525">
        <v>0</v>
      </c>
      <c r="HH42" s="525">
        <v>0</v>
      </c>
      <c r="HI42" s="525">
        <v>0</v>
      </c>
      <c r="HJ42" s="525">
        <v>0</v>
      </c>
      <c r="HK42" s="525">
        <v>0</v>
      </c>
      <c r="HL42" s="526"/>
      <c r="HM42" s="526"/>
      <c r="HN42" s="526"/>
      <c r="HO42" s="526"/>
      <c r="HP42" s="526"/>
      <c r="HQ42" s="526"/>
      <c r="HR42" s="526"/>
      <c r="HS42" s="526"/>
      <c r="HT42" s="526"/>
      <c r="HU42" s="526"/>
      <c r="HV42" s="526"/>
      <c r="HW42" s="526"/>
      <c r="HX42" s="526"/>
      <c r="HY42" s="526"/>
      <c r="HZ42" s="526"/>
      <c r="IA42" s="526"/>
      <c r="IB42" s="526"/>
      <c r="IC42" s="526"/>
      <c r="ID42" s="526"/>
      <c r="IE42" s="526"/>
      <c r="IF42" s="526"/>
      <c r="IG42" s="526"/>
      <c r="IH42" s="526"/>
      <c r="II42" s="526"/>
      <c r="IJ42" s="526"/>
      <c r="IK42" s="526"/>
      <c r="IL42" s="526"/>
      <c r="IM42" s="526"/>
      <c r="IN42" s="526"/>
      <c r="IO42" s="526"/>
      <c r="IP42" s="526"/>
      <c r="IQ42" s="526"/>
      <c r="IR42" s="526"/>
      <c r="IS42" s="526"/>
      <c r="IT42" s="526"/>
      <c r="IU42" s="526"/>
      <c r="IV42" s="526"/>
      <c r="IW42" s="526"/>
      <c r="IX42" s="526"/>
      <c r="IY42" s="526"/>
      <c r="IZ42" s="526"/>
      <c r="JA42" s="526"/>
      <c r="JB42" s="526"/>
      <c r="JC42" s="526"/>
      <c r="JD42" s="526"/>
      <c r="JE42" s="526"/>
      <c r="JF42" s="526"/>
      <c r="JG42" s="526"/>
      <c r="JH42" s="526"/>
      <c r="JI42" s="526"/>
      <c r="JJ42" s="526"/>
      <c r="JK42" s="526"/>
      <c r="JL42" s="526"/>
      <c r="JM42" s="526"/>
      <c r="JN42" s="525">
        <v>17268.016011908643</v>
      </c>
      <c r="JO42" s="525">
        <v>5462.9069060000002</v>
      </c>
      <c r="JP42" s="525">
        <v>57573.131142532613</v>
      </c>
      <c r="JQ42" s="525">
        <v>0</v>
      </c>
      <c r="JR42" s="525">
        <v>0</v>
      </c>
      <c r="JS42" s="527">
        <v>80304.054060441253</v>
      </c>
      <c r="JT42" s="528">
        <f t="shared" si="10"/>
        <v>0</v>
      </c>
      <c r="JU42" s="525">
        <v>80304.054060441253</v>
      </c>
      <c r="JV42" s="525">
        <v>80304.054060441253</v>
      </c>
      <c r="JW42" s="525">
        <v>80304.054060441253</v>
      </c>
      <c r="JX42" s="525">
        <v>32817.149999999994</v>
      </c>
      <c r="JY42" s="525">
        <v>32817.149999999994</v>
      </c>
      <c r="JZ42" s="526"/>
      <c r="KA42" s="525">
        <v>32817.149999999994</v>
      </c>
      <c r="KB42" s="529">
        <v>0</v>
      </c>
      <c r="KC42" s="525">
        <v>4.2694121269505558E-2</v>
      </c>
      <c r="KD42" s="525">
        <v>80304.011366319988</v>
      </c>
      <c r="KE42" s="525">
        <v>32817.149999999994</v>
      </c>
      <c r="KF42" s="525">
        <v>0</v>
      </c>
      <c r="KG42" s="530">
        <v>0</v>
      </c>
      <c r="KH42" s="525">
        <v>0</v>
      </c>
      <c r="KI42" s="525">
        <v>32413.606289520001</v>
      </c>
      <c r="KJ42" s="530">
        <v>2463.4930047561938</v>
      </c>
      <c r="KK42" s="525">
        <v>13157.58</v>
      </c>
      <c r="KL42" s="525">
        <v>43577.032846399998</v>
      </c>
      <c r="KM42" s="530">
        <v>2437.693221677368</v>
      </c>
      <c r="KN42" s="525">
        <v>17876.34</v>
      </c>
      <c r="KO42" s="525">
        <v>4313.3722304000003</v>
      </c>
      <c r="KP42" s="530">
        <v>2418.8535580940206</v>
      </c>
      <c r="KQ42" s="525">
        <v>1783.23</v>
      </c>
      <c r="KR42" s="526"/>
      <c r="KS42" s="526"/>
      <c r="KT42" s="531">
        <v>86820.71</v>
      </c>
      <c r="KU42" s="531">
        <v>68.78</v>
      </c>
      <c r="KV42" s="526"/>
      <c r="KW42" s="531">
        <v>14022.18</v>
      </c>
      <c r="KX42" s="531">
        <v>25.95</v>
      </c>
      <c r="KY42" s="531">
        <v>4.1399999999999997</v>
      </c>
      <c r="KZ42" s="526"/>
      <c r="LA42" s="531">
        <v>3035</v>
      </c>
      <c r="LB42" s="532">
        <v>5362</v>
      </c>
      <c r="LC42" s="533">
        <v>2.681</v>
      </c>
      <c r="LD42" s="494">
        <f t="shared" si="11"/>
        <v>82783.121620740421</v>
      </c>
      <c r="LE42" s="509">
        <f t="shared" si="12"/>
        <v>82783.121620740421</v>
      </c>
      <c r="LF42" s="534">
        <f t="shared" si="13"/>
        <v>59391.151522802422</v>
      </c>
      <c r="LG42" s="535">
        <f t="shared" si="14"/>
        <v>42567.774977131136</v>
      </c>
      <c r="LH42" s="536">
        <f t="shared" si="31"/>
        <v>1.03</v>
      </c>
      <c r="LI42" s="537">
        <f t="shared" si="15"/>
        <v>42567.774977131136</v>
      </c>
      <c r="LJ42" s="536">
        <f t="shared" si="32"/>
        <v>1.0389999999999999</v>
      </c>
      <c r="LK42" s="537">
        <f t="shared" si="16"/>
        <v>0</v>
      </c>
      <c r="LL42" s="536">
        <f t="shared" si="33"/>
        <v>1.0349999999999999</v>
      </c>
      <c r="LM42" s="537">
        <f t="shared" si="17"/>
        <v>0</v>
      </c>
      <c r="LN42" s="536">
        <f t="shared" si="34"/>
        <v>1.0349999999999999</v>
      </c>
      <c r="LO42" s="537">
        <f t="shared" si="18"/>
        <v>0</v>
      </c>
      <c r="LP42" s="536">
        <f t="shared" si="35"/>
        <v>1.0349999999999999</v>
      </c>
      <c r="LQ42" s="537">
        <f t="shared" si="19"/>
        <v>14826.477821348961</v>
      </c>
      <c r="LR42" s="536">
        <f t="shared" si="36"/>
        <v>1.04</v>
      </c>
      <c r="LS42" s="537">
        <f t="shared" si="20"/>
        <v>1996.89872432232</v>
      </c>
      <c r="LT42" s="539">
        <f t="shared" si="21"/>
        <v>17762.053950009347</v>
      </c>
      <c r="LU42" s="540">
        <f t="shared" si="22"/>
        <v>12895.069489829999</v>
      </c>
      <c r="LV42" s="541">
        <f t="shared" si="23"/>
        <v>4866.9844601793484</v>
      </c>
      <c r="LW42" s="542">
        <f t="shared" si="24"/>
        <v>5629.9161479286595</v>
      </c>
      <c r="LX42" s="540">
        <f t="shared" si="25"/>
        <v>3894.3109859286596</v>
      </c>
      <c r="LY42" s="540">
        <f t="shared" si="26"/>
        <v>0</v>
      </c>
      <c r="LZ42" s="543">
        <f t="shared" si="27"/>
        <v>1735.6051620000003</v>
      </c>
      <c r="MA42" s="544">
        <f t="shared" si="28"/>
        <v>0</v>
      </c>
      <c r="MB42" s="545">
        <f t="shared" si="29"/>
        <v>0</v>
      </c>
    </row>
    <row r="43" spans="1:340" ht="16.5" customHeight="1">
      <c r="A43" s="465">
        <v>1</v>
      </c>
      <c r="B43" s="466">
        <v>33</v>
      </c>
      <c r="C43" s="467" t="s">
        <v>224</v>
      </c>
      <c r="D43" s="468">
        <v>4632113278</v>
      </c>
      <c r="E43" s="469">
        <f t="shared" si="3"/>
        <v>5857.3857454078279</v>
      </c>
      <c r="F43" s="470" t="s">
        <v>287</v>
      </c>
      <c r="G43" s="595">
        <v>5857.3925409999993</v>
      </c>
      <c r="H43" s="595">
        <f t="shared" si="30"/>
        <v>-6.79559217132919E-3</v>
      </c>
      <c r="I43" s="595"/>
      <c r="J43" s="471">
        <f t="shared" si="4"/>
        <v>5857.3857454078279</v>
      </c>
      <c r="K43" s="472">
        <f t="shared" si="5"/>
        <v>4878.5301226878273</v>
      </c>
      <c r="L43" s="473">
        <f t="shared" si="6"/>
        <v>4095.0072484240663</v>
      </c>
      <c r="M43" s="474">
        <v>4095.0072484240663</v>
      </c>
      <c r="N43" s="475">
        <v>0</v>
      </c>
      <c r="O43" s="475">
        <v>0</v>
      </c>
      <c r="P43" s="476">
        <v>0</v>
      </c>
      <c r="Q43" s="477">
        <v>780.71840140000006</v>
      </c>
      <c r="R43" s="478">
        <f t="shared" si="7"/>
        <v>2.8044728637607212</v>
      </c>
      <c r="S43" s="479">
        <f t="shared" si="8"/>
        <v>901.44722272000013</v>
      </c>
      <c r="T43" s="479">
        <v>0</v>
      </c>
      <c r="U43" s="480">
        <v>901.44722272000013</v>
      </c>
      <c r="V43" s="481">
        <f t="shared" si="9"/>
        <v>77.4084</v>
      </c>
      <c r="W43" s="482">
        <v>0</v>
      </c>
      <c r="X43" s="479">
        <v>0</v>
      </c>
      <c r="Y43" s="483">
        <v>77.4084</v>
      </c>
      <c r="Z43" s="484">
        <v>0</v>
      </c>
      <c r="AA43" s="485">
        <v>0</v>
      </c>
      <c r="AB43" s="486"/>
      <c r="AC43" s="487">
        <v>4095.0072484240663</v>
      </c>
      <c r="AD43" s="487">
        <v>4095.0072484240663</v>
      </c>
      <c r="AE43" s="487">
        <v>0</v>
      </c>
      <c r="AF43" s="487">
        <v>0</v>
      </c>
      <c r="AG43" s="487">
        <v>0</v>
      </c>
      <c r="AH43" s="487">
        <v>780.71840140000006</v>
      </c>
      <c r="AI43" s="487">
        <v>780.71840140000006</v>
      </c>
      <c r="AJ43" s="487">
        <v>0</v>
      </c>
      <c r="AK43" s="487">
        <v>0</v>
      </c>
      <c r="AL43" s="487">
        <v>0</v>
      </c>
      <c r="AM43" s="487">
        <v>0</v>
      </c>
      <c r="AN43" s="487">
        <v>0</v>
      </c>
      <c r="AO43" s="487">
        <v>0</v>
      </c>
      <c r="AP43" s="487">
        <v>0</v>
      </c>
      <c r="AQ43" s="487">
        <v>0</v>
      </c>
      <c r="AR43" s="487">
        <v>0</v>
      </c>
      <c r="AS43" s="487">
        <v>0</v>
      </c>
      <c r="AT43" s="487">
        <v>0</v>
      </c>
      <c r="AU43" s="487">
        <v>0</v>
      </c>
      <c r="AV43" s="487">
        <v>0</v>
      </c>
      <c r="AW43" s="487">
        <v>0</v>
      </c>
      <c r="AX43" s="487">
        <v>0</v>
      </c>
      <c r="AY43" s="487">
        <v>0</v>
      </c>
      <c r="AZ43" s="487">
        <v>0</v>
      </c>
      <c r="BA43" s="487">
        <v>780.71840140000006</v>
      </c>
      <c r="BB43" s="487">
        <v>90.221000000000018</v>
      </c>
      <c r="BC43" s="487">
        <v>0</v>
      </c>
      <c r="BD43" s="487">
        <v>0</v>
      </c>
      <c r="BE43" s="487">
        <v>0</v>
      </c>
      <c r="BF43" s="487">
        <v>0</v>
      </c>
      <c r="BG43" s="487">
        <v>0</v>
      </c>
      <c r="BH43" s="487">
        <v>0</v>
      </c>
      <c r="BI43" s="487">
        <v>0</v>
      </c>
      <c r="BJ43" s="487">
        <v>780.71840140000006</v>
      </c>
      <c r="BK43" s="487">
        <v>8.6533999999999995</v>
      </c>
      <c r="BL43" s="487">
        <v>90.221000000000018</v>
      </c>
      <c r="BM43" s="487">
        <v>0</v>
      </c>
      <c r="BN43" s="487">
        <v>0</v>
      </c>
      <c r="BO43" s="487">
        <v>0</v>
      </c>
      <c r="BP43" s="487">
        <v>0</v>
      </c>
      <c r="BQ43" s="487">
        <v>0</v>
      </c>
      <c r="BR43" s="487">
        <v>0</v>
      </c>
      <c r="BS43" s="487">
        <v>0</v>
      </c>
      <c r="BT43" s="487">
        <v>0</v>
      </c>
      <c r="BU43" s="487">
        <v>0</v>
      </c>
      <c r="BV43" s="487">
        <v>0</v>
      </c>
      <c r="BW43" s="487">
        <v>0</v>
      </c>
      <c r="BX43" s="487">
        <v>0</v>
      </c>
      <c r="BY43" s="487">
        <v>0</v>
      </c>
      <c r="BZ43" s="487">
        <v>0</v>
      </c>
      <c r="CA43" s="487">
        <v>0</v>
      </c>
      <c r="CB43" s="487">
        <v>0</v>
      </c>
      <c r="CC43" s="487">
        <v>0</v>
      </c>
      <c r="CD43" s="487">
        <v>0</v>
      </c>
      <c r="CE43" s="487">
        <v>0</v>
      </c>
      <c r="CF43" s="487">
        <v>0</v>
      </c>
      <c r="CG43" s="487">
        <v>0</v>
      </c>
      <c r="CH43" s="487">
        <v>0</v>
      </c>
      <c r="CI43" s="487">
        <v>0</v>
      </c>
      <c r="CJ43" s="487">
        <v>0</v>
      </c>
      <c r="CK43" s="487">
        <v>0</v>
      </c>
      <c r="CL43" s="487">
        <v>0</v>
      </c>
      <c r="CM43" s="487">
        <v>0</v>
      </c>
      <c r="CN43" s="487">
        <v>0</v>
      </c>
      <c r="CO43" s="487">
        <v>0</v>
      </c>
      <c r="CP43" s="487">
        <v>0</v>
      </c>
      <c r="CQ43" s="487">
        <v>0</v>
      </c>
      <c r="CR43" s="487">
        <v>0</v>
      </c>
      <c r="CS43" s="487">
        <v>0</v>
      </c>
      <c r="CT43" s="487">
        <v>0</v>
      </c>
      <c r="CU43" s="487">
        <v>0</v>
      </c>
      <c r="CV43" s="487">
        <v>0</v>
      </c>
      <c r="CW43" s="487">
        <v>0</v>
      </c>
      <c r="CX43" s="487">
        <v>0</v>
      </c>
      <c r="CY43" s="487">
        <v>2.8044728637607212</v>
      </c>
      <c r="CZ43" s="467"/>
      <c r="DA43" s="487">
        <v>0.12512999999999999</v>
      </c>
      <c r="DB43" s="487">
        <v>0</v>
      </c>
      <c r="DC43" s="467"/>
      <c r="DD43" s="487">
        <v>0</v>
      </c>
      <c r="DE43" s="487">
        <v>0</v>
      </c>
      <c r="DF43" s="487">
        <v>0</v>
      </c>
      <c r="DG43" s="487">
        <v>205.93637760000001</v>
      </c>
      <c r="DH43" s="487">
        <v>4.0685552000000005</v>
      </c>
      <c r="DI43" s="487">
        <v>0</v>
      </c>
      <c r="DJ43" s="487">
        <v>201.86782240000002</v>
      </c>
      <c r="DK43" s="487">
        <v>0</v>
      </c>
      <c r="DL43" s="487">
        <v>0</v>
      </c>
      <c r="DM43" s="487">
        <v>0</v>
      </c>
      <c r="DN43" s="487">
        <v>0</v>
      </c>
      <c r="DO43" s="487">
        <v>0</v>
      </c>
      <c r="DP43" s="487">
        <v>531.3520784000001</v>
      </c>
      <c r="DQ43" s="487">
        <v>0</v>
      </c>
      <c r="DR43" s="487">
        <v>0</v>
      </c>
      <c r="DS43" s="487">
        <v>0</v>
      </c>
      <c r="DT43" s="487">
        <v>531.3520784000001</v>
      </c>
      <c r="DU43" s="487">
        <v>164.15876672000002</v>
      </c>
      <c r="DV43" s="487">
        <v>0</v>
      </c>
      <c r="DW43" s="487">
        <v>100.03251136000002</v>
      </c>
      <c r="DX43" s="487">
        <v>0</v>
      </c>
      <c r="DY43" s="487">
        <v>0</v>
      </c>
      <c r="DZ43" s="487">
        <v>0</v>
      </c>
      <c r="EA43" s="487">
        <v>0</v>
      </c>
      <c r="EB43" s="487">
        <v>0</v>
      </c>
      <c r="EC43" s="487">
        <v>0</v>
      </c>
      <c r="ED43" s="487">
        <v>0</v>
      </c>
      <c r="EE43" s="487">
        <v>0</v>
      </c>
      <c r="EF43" s="487">
        <v>0</v>
      </c>
      <c r="EG43" s="487">
        <v>64.126255360000002</v>
      </c>
      <c r="EH43" s="487">
        <v>18.29</v>
      </c>
      <c r="EI43" s="487">
        <v>0</v>
      </c>
      <c r="EJ43" s="487">
        <v>0</v>
      </c>
      <c r="EK43" s="487">
        <v>18.29</v>
      </c>
      <c r="EL43" s="487">
        <v>0</v>
      </c>
      <c r="EM43" s="487">
        <v>0</v>
      </c>
      <c r="EN43" s="487">
        <v>0</v>
      </c>
      <c r="EO43" s="487">
        <v>0</v>
      </c>
      <c r="EP43" s="487">
        <v>0</v>
      </c>
      <c r="EQ43" s="487">
        <v>0</v>
      </c>
      <c r="ER43" s="487">
        <v>0</v>
      </c>
      <c r="ES43" s="487">
        <v>0</v>
      </c>
      <c r="ET43" s="487">
        <v>18.285399999999999</v>
      </c>
      <c r="EU43" s="487">
        <v>18.285399999999999</v>
      </c>
      <c r="EV43" s="487">
        <v>0</v>
      </c>
      <c r="EW43" s="487">
        <v>0</v>
      </c>
      <c r="EX43" s="487">
        <v>0</v>
      </c>
      <c r="EY43" s="487">
        <v>0</v>
      </c>
      <c r="EZ43" s="487">
        <v>0</v>
      </c>
      <c r="FA43" s="487">
        <v>0</v>
      </c>
      <c r="FB43" s="487">
        <v>59.122999999999998</v>
      </c>
      <c r="FC43" s="487">
        <v>0</v>
      </c>
      <c r="FD43" s="487">
        <v>0</v>
      </c>
      <c r="FE43" s="487">
        <v>0</v>
      </c>
      <c r="FF43" s="487">
        <v>59.122999999999998</v>
      </c>
      <c r="FG43" s="487">
        <v>0</v>
      </c>
      <c r="FH43" s="487">
        <v>0</v>
      </c>
      <c r="FI43" s="487">
        <v>0</v>
      </c>
      <c r="FJ43" s="487">
        <v>0</v>
      </c>
      <c r="FK43" s="487">
        <v>59.122999999999998</v>
      </c>
      <c r="FL43" s="487">
        <v>0</v>
      </c>
      <c r="FM43" s="487">
        <v>0</v>
      </c>
      <c r="FN43" s="487">
        <v>0</v>
      </c>
      <c r="FO43" s="487">
        <v>0</v>
      </c>
      <c r="FP43" s="487">
        <v>0</v>
      </c>
      <c r="FQ43" s="487">
        <v>0</v>
      </c>
      <c r="FR43" s="487">
        <v>0</v>
      </c>
      <c r="FS43" s="488">
        <v>5857.3857454078279</v>
      </c>
      <c r="FT43" s="487">
        <v>0</v>
      </c>
      <c r="FU43" s="487">
        <v>0</v>
      </c>
      <c r="FV43" s="487">
        <v>0</v>
      </c>
      <c r="FW43" s="487">
        <v>0</v>
      </c>
      <c r="FX43" s="487">
        <v>0</v>
      </c>
      <c r="FY43" s="487">
        <v>0</v>
      </c>
      <c r="FZ43" s="487">
        <v>0</v>
      </c>
      <c r="GA43" s="487">
        <v>0</v>
      </c>
      <c r="GB43" s="487">
        <v>0</v>
      </c>
      <c r="GC43" s="487">
        <v>0</v>
      </c>
      <c r="GD43" s="487">
        <v>0</v>
      </c>
      <c r="GE43" s="487">
        <v>0</v>
      </c>
      <c r="GF43" s="487">
        <v>0</v>
      </c>
      <c r="GG43" s="487">
        <v>0</v>
      </c>
      <c r="GH43" s="487">
        <v>0</v>
      </c>
      <c r="GI43" s="487">
        <v>0</v>
      </c>
      <c r="GJ43" s="467"/>
      <c r="GK43" s="487">
        <v>0</v>
      </c>
      <c r="GL43" s="467"/>
      <c r="GM43" s="487">
        <v>0</v>
      </c>
      <c r="GN43" s="487">
        <v>0</v>
      </c>
      <c r="GO43" s="467"/>
      <c r="GP43" s="467"/>
      <c r="GQ43" s="487">
        <v>0</v>
      </c>
      <c r="GR43" s="467"/>
      <c r="GS43" s="467"/>
      <c r="GT43" s="487">
        <v>0</v>
      </c>
      <c r="GU43" s="487">
        <v>0</v>
      </c>
      <c r="GV43" s="487">
        <v>0</v>
      </c>
      <c r="GW43" s="487">
        <v>0</v>
      </c>
      <c r="GX43" s="487">
        <v>0</v>
      </c>
      <c r="GY43" s="487">
        <v>0</v>
      </c>
      <c r="GZ43" s="487">
        <v>0</v>
      </c>
      <c r="HA43" s="487">
        <v>0</v>
      </c>
      <c r="HB43" s="487">
        <v>0</v>
      </c>
      <c r="HC43" s="487">
        <v>0</v>
      </c>
      <c r="HD43" s="487">
        <v>0</v>
      </c>
      <c r="HE43" s="487">
        <v>0</v>
      </c>
      <c r="HF43" s="487">
        <v>0</v>
      </c>
      <c r="HG43" s="487">
        <v>0</v>
      </c>
      <c r="HH43" s="487">
        <v>0</v>
      </c>
      <c r="HI43" s="487">
        <v>0</v>
      </c>
      <c r="HJ43" s="487">
        <v>0</v>
      </c>
      <c r="HK43" s="487">
        <v>0</v>
      </c>
      <c r="HL43" s="467"/>
      <c r="HM43" s="467"/>
      <c r="HN43" s="467"/>
      <c r="HO43" s="467"/>
      <c r="HP43" s="467"/>
      <c r="HQ43" s="467"/>
      <c r="HR43" s="467"/>
      <c r="HS43" s="467"/>
      <c r="HT43" s="467"/>
      <c r="HU43" s="467"/>
      <c r="HV43" s="467"/>
      <c r="HW43" s="467"/>
      <c r="HX43" s="467"/>
      <c r="HY43" s="467"/>
      <c r="HZ43" s="467"/>
      <c r="IA43" s="467"/>
      <c r="IB43" s="467"/>
      <c r="IC43" s="467"/>
      <c r="ID43" s="467"/>
      <c r="IE43" s="467"/>
      <c r="IF43" s="467"/>
      <c r="IG43" s="467"/>
      <c r="IH43" s="467"/>
      <c r="II43" s="467"/>
      <c r="IJ43" s="467"/>
      <c r="IK43" s="467"/>
      <c r="IL43" s="467"/>
      <c r="IM43" s="467"/>
      <c r="IN43" s="467"/>
      <c r="IO43" s="467"/>
      <c r="IP43" s="467"/>
      <c r="IQ43" s="467"/>
      <c r="IR43" s="467"/>
      <c r="IS43" s="467"/>
      <c r="IT43" s="467"/>
      <c r="IU43" s="467"/>
      <c r="IV43" s="467"/>
      <c r="IW43" s="467"/>
      <c r="IX43" s="467"/>
      <c r="IY43" s="467"/>
      <c r="IZ43" s="467"/>
      <c r="JA43" s="467"/>
      <c r="JB43" s="467"/>
      <c r="JC43" s="467"/>
      <c r="JD43" s="467"/>
      <c r="JE43" s="467"/>
      <c r="JF43" s="467"/>
      <c r="JG43" s="467"/>
      <c r="JH43" s="467"/>
      <c r="JI43" s="467"/>
      <c r="JJ43" s="467"/>
      <c r="JK43" s="467"/>
      <c r="JL43" s="467"/>
      <c r="JM43" s="467"/>
      <c r="JN43" s="487">
        <v>901.44722272000013</v>
      </c>
      <c r="JO43" s="487">
        <v>77.4084</v>
      </c>
      <c r="JP43" s="487">
        <v>4878.5301226878273</v>
      </c>
      <c r="JQ43" s="487">
        <v>0</v>
      </c>
      <c r="JR43" s="487">
        <v>0</v>
      </c>
      <c r="JS43" s="488">
        <v>5857.3857454078279</v>
      </c>
      <c r="JT43" s="489">
        <f t="shared" si="10"/>
        <v>0</v>
      </c>
      <c r="JU43" s="487">
        <v>5857.3857454078279</v>
      </c>
      <c r="JV43" s="487">
        <v>5857.3857454078279</v>
      </c>
      <c r="JW43" s="487">
        <v>5857.3857454078279</v>
      </c>
      <c r="JX43" s="487">
        <v>4121.3900000000003</v>
      </c>
      <c r="JY43" s="487">
        <v>4121.3900000000003</v>
      </c>
      <c r="JZ43" s="467"/>
      <c r="KA43" s="487">
        <v>4121.3900000000003</v>
      </c>
      <c r="KB43" s="490">
        <v>0</v>
      </c>
      <c r="KC43" s="487">
        <v>-6.7955921731481794E-3</v>
      </c>
      <c r="KD43" s="487">
        <v>5857.3925410000011</v>
      </c>
      <c r="KE43" s="487">
        <v>4121.3900000000003</v>
      </c>
      <c r="KF43" s="487">
        <v>0</v>
      </c>
      <c r="KG43" s="491">
        <v>0</v>
      </c>
      <c r="KH43" s="487">
        <v>0</v>
      </c>
      <c r="KI43" s="487">
        <v>0</v>
      </c>
      <c r="KJ43" s="491">
        <v>0</v>
      </c>
      <c r="KK43" s="487">
        <v>0</v>
      </c>
      <c r="KL43" s="487">
        <v>5857.3925410000011</v>
      </c>
      <c r="KM43" s="491">
        <v>1421.2177301832635</v>
      </c>
      <c r="KN43" s="487">
        <v>4121.3900000000003</v>
      </c>
      <c r="KO43" s="487">
        <v>0</v>
      </c>
      <c r="KP43" s="491">
        <v>0</v>
      </c>
      <c r="KQ43" s="487">
        <v>0</v>
      </c>
      <c r="KR43" s="467"/>
      <c r="KS43" s="467"/>
      <c r="KT43" s="487">
        <v>1720.6</v>
      </c>
      <c r="KU43" s="487">
        <v>24.54</v>
      </c>
      <c r="KV43" s="467"/>
      <c r="KW43" s="487"/>
      <c r="KX43" s="487">
        <v>0.154</v>
      </c>
      <c r="KY43" s="487"/>
      <c r="KZ43" s="467"/>
      <c r="LA43" s="487">
        <v>4121.3900000000003</v>
      </c>
      <c r="LB43" s="492">
        <v>1195</v>
      </c>
      <c r="LC43" s="493">
        <v>0.624</v>
      </c>
      <c r="LD43" s="494">
        <f t="shared" si="11"/>
        <v>6036.1729848661189</v>
      </c>
      <c r="LE43" s="471">
        <f t="shared" si="12"/>
        <v>6036.1729848661189</v>
      </c>
      <c r="LF43" s="495">
        <f t="shared" si="13"/>
        <v>5028.8176631040997</v>
      </c>
      <c r="LG43" s="476">
        <f t="shared" si="14"/>
        <v>4217.8574658767884</v>
      </c>
      <c r="LH43" s="496">
        <f t="shared" si="31"/>
        <v>1.03</v>
      </c>
      <c r="LI43" s="497">
        <f t="shared" si="15"/>
        <v>4217.8574658767884</v>
      </c>
      <c r="LJ43" s="496">
        <f t="shared" si="32"/>
        <v>1.0389999999999999</v>
      </c>
      <c r="LK43" s="497">
        <f t="shared" si="16"/>
        <v>0</v>
      </c>
      <c r="LL43" s="496">
        <f t="shared" si="33"/>
        <v>1.0349999999999999</v>
      </c>
      <c r="LM43" s="497">
        <f t="shared" si="17"/>
        <v>0</v>
      </c>
      <c r="LN43" s="496">
        <f t="shared" si="34"/>
        <v>1.0349999999999999</v>
      </c>
      <c r="LO43" s="497">
        <f t="shared" si="18"/>
        <v>0</v>
      </c>
      <c r="LP43" s="496">
        <f t="shared" si="35"/>
        <v>1.0349999999999999</v>
      </c>
      <c r="LQ43" s="497">
        <f t="shared" si="19"/>
        <v>808.04354544900002</v>
      </c>
      <c r="LR43" s="496">
        <f t="shared" si="36"/>
        <v>1.04</v>
      </c>
      <c r="LS43" s="497">
        <f t="shared" si="20"/>
        <v>2.9166517783111501</v>
      </c>
      <c r="LT43" s="499">
        <f t="shared" si="21"/>
        <v>927.2376277620192</v>
      </c>
      <c r="LU43" s="500">
        <f t="shared" si="22"/>
        <v>0</v>
      </c>
      <c r="LV43" s="501">
        <f t="shared" si="23"/>
        <v>927.2376277620192</v>
      </c>
      <c r="LW43" s="499">
        <f t="shared" si="24"/>
        <v>80.117694</v>
      </c>
      <c r="LX43" s="500">
        <f t="shared" si="25"/>
        <v>0</v>
      </c>
      <c r="LY43" s="500">
        <f t="shared" si="26"/>
        <v>0</v>
      </c>
      <c r="LZ43" s="502">
        <f t="shared" si="27"/>
        <v>80.117694</v>
      </c>
      <c r="MA43" s="503">
        <f t="shared" si="28"/>
        <v>0</v>
      </c>
      <c r="MB43" s="504">
        <f t="shared" si="29"/>
        <v>0</v>
      </c>
    </row>
    <row r="44" spans="1:340" ht="16.5" customHeight="1">
      <c r="A44" s="505">
        <v>1</v>
      </c>
      <c r="B44" s="506">
        <v>34</v>
      </c>
      <c r="C44" s="507" t="s">
        <v>305</v>
      </c>
      <c r="D44" s="508">
        <v>4607000231</v>
      </c>
      <c r="E44" s="469">
        <f t="shared" si="3"/>
        <v>26525.663066759997</v>
      </c>
      <c r="F44" s="470" t="s">
        <v>281</v>
      </c>
      <c r="G44" s="595">
        <v>6775.5637331999988</v>
      </c>
      <c r="H44" s="597">
        <f t="shared" si="30"/>
        <v>19750.09933356</v>
      </c>
      <c r="I44" s="597" t="s">
        <v>858</v>
      </c>
      <c r="J44" s="509">
        <f t="shared" si="4"/>
        <v>22104.719222299998</v>
      </c>
      <c r="K44" s="510">
        <f t="shared" si="5"/>
        <v>10878.5116423</v>
      </c>
      <c r="L44" s="511">
        <f t="shared" si="6"/>
        <v>9122.7202715000003</v>
      </c>
      <c r="M44" s="512">
        <v>9122.7202715000003</v>
      </c>
      <c r="N44" s="513">
        <v>0</v>
      </c>
      <c r="O44" s="513">
        <v>0</v>
      </c>
      <c r="P44" s="514">
        <v>0</v>
      </c>
      <c r="Q44" s="515">
        <v>1476.4083028</v>
      </c>
      <c r="R44" s="516">
        <f t="shared" si="7"/>
        <v>279.38306800000004</v>
      </c>
      <c r="S44" s="517">
        <f t="shared" si="8"/>
        <v>8233.2520000000004</v>
      </c>
      <c r="T44" s="518">
        <v>2985.9400000000005</v>
      </c>
      <c r="U44" s="519">
        <v>5247.3119999999999</v>
      </c>
      <c r="V44" s="520">
        <f t="shared" si="9"/>
        <v>1946.5855799999999</v>
      </c>
      <c r="W44" s="521">
        <v>916.68358000000012</v>
      </c>
      <c r="X44" s="518">
        <v>412.11200000000008</v>
      </c>
      <c r="Y44" s="522">
        <v>617.78999999999974</v>
      </c>
      <c r="Z44" s="523">
        <v>487.599999999999</v>
      </c>
      <c r="AA44" s="524">
        <v>558.77</v>
      </c>
      <c r="AB44" s="486"/>
      <c r="AC44" s="525">
        <v>9122.7202715000003</v>
      </c>
      <c r="AD44" s="525">
        <v>9122.7202715000003</v>
      </c>
      <c r="AE44" s="525">
        <v>0</v>
      </c>
      <c r="AF44" s="525">
        <v>0</v>
      </c>
      <c r="AG44" s="525">
        <v>0</v>
      </c>
      <c r="AH44" s="525">
        <v>1476.4083028</v>
      </c>
      <c r="AI44" s="525">
        <v>1476.4083028</v>
      </c>
      <c r="AJ44" s="525">
        <v>0</v>
      </c>
      <c r="AK44" s="525">
        <v>0</v>
      </c>
      <c r="AL44" s="525">
        <v>0</v>
      </c>
      <c r="AM44" s="525">
        <v>0</v>
      </c>
      <c r="AN44" s="525">
        <v>0</v>
      </c>
      <c r="AO44" s="525">
        <v>0</v>
      </c>
      <c r="AP44" s="525">
        <v>0</v>
      </c>
      <c r="AQ44" s="525">
        <v>0</v>
      </c>
      <c r="AR44" s="525">
        <v>0</v>
      </c>
      <c r="AS44" s="525">
        <v>0</v>
      </c>
      <c r="AT44" s="525">
        <v>0</v>
      </c>
      <c r="AU44" s="525">
        <v>0</v>
      </c>
      <c r="AV44" s="525">
        <v>0</v>
      </c>
      <c r="AW44" s="525">
        <v>0</v>
      </c>
      <c r="AX44" s="525">
        <v>0</v>
      </c>
      <c r="AY44" s="525">
        <v>0</v>
      </c>
      <c r="AZ44" s="525">
        <v>0</v>
      </c>
      <c r="BA44" s="525">
        <v>1476.4083028</v>
      </c>
      <c r="BB44" s="525">
        <v>329.56800000000004</v>
      </c>
      <c r="BC44" s="525">
        <v>0</v>
      </c>
      <c r="BD44" s="525">
        <v>0</v>
      </c>
      <c r="BE44" s="525">
        <v>0</v>
      </c>
      <c r="BF44" s="525">
        <v>0</v>
      </c>
      <c r="BG44" s="525">
        <v>0</v>
      </c>
      <c r="BH44" s="525">
        <v>0</v>
      </c>
      <c r="BI44" s="525">
        <v>0</v>
      </c>
      <c r="BJ44" s="525">
        <v>0</v>
      </c>
      <c r="BK44" s="525">
        <v>0</v>
      </c>
      <c r="BL44" s="525">
        <v>0</v>
      </c>
      <c r="BM44" s="525">
        <v>0</v>
      </c>
      <c r="BN44" s="525">
        <v>0</v>
      </c>
      <c r="BO44" s="525">
        <v>0</v>
      </c>
      <c r="BP44" s="525">
        <v>337.64073999999999</v>
      </c>
      <c r="BQ44" s="525">
        <v>4.8441999999999998</v>
      </c>
      <c r="BR44" s="525">
        <v>69.7</v>
      </c>
      <c r="BS44" s="525">
        <v>0</v>
      </c>
      <c r="BT44" s="525">
        <v>0</v>
      </c>
      <c r="BU44" s="525">
        <v>0</v>
      </c>
      <c r="BV44" s="525">
        <v>1138.7675628000002</v>
      </c>
      <c r="BW44" s="525">
        <v>4.3821000000000003</v>
      </c>
      <c r="BX44" s="525">
        <v>259.86799999999999</v>
      </c>
      <c r="BY44" s="525">
        <v>0</v>
      </c>
      <c r="BZ44" s="525">
        <v>0</v>
      </c>
      <c r="CA44" s="525">
        <v>0</v>
      </c>
      <c r="CB44" s="525">
        <v>0</v>
      </c>
      <c r="CC44" s="525">
        <v>0</v>
      </c>
      <c r="CD44" s="525">
        <v>0</v>
      </c>
      <c r="CE44" s="525">
        <v>0</v>
      </c>
      <c r="CF44" s="525">
        <v>0</v>
      </c>
      <c r="CG44" s="525">
        <v>0</v>
      </c>
      <c r="CH44" s="525">
        <v>0</v>
      </c>
      <c r="CI44" s="525">
        <v>0</v>
      </c>
      <c r="CJ44" s="525">
        <v>0</v>
      </c>
      <c r="CK44" s="525">
        <v>0</v>
      </c>
      <c r="CL44" s="525">
        <v>0</v>
      </c>
      <c r="CM44" s="525">
        <v>2985.9400000000005</v>
      </c>
      <c r="CN44" s="525">
        <v>1564.9799999999998</v>
      </c>
      <c r="CO44" s="525">
        <v>0</v>
      </c>
      <c r="CP44" s="525">
        <v>1420.9600000000003</v>
      </c>
      <c r="CQ44" s="525">
        <v>0</v>
      </c>
      <c r="CR44" s="525">
        <v>0</v>
      </c>
      <c r="CS44" s="525">
        <v>916.68358000000012</v>
      </c>
      <c r="CT44" s="525">
        <v>480.44886000000002</v>
      </c>
      <c r="CU44" s="525">
        <v>0</v>
      </c>
      <c r="CV44" s="525">
        <v>436.2347200000001</v>
      </c>
      <c r="CW44" s="525">
        <v>0</v>
      </c>
      <c r="CX44" s="525">
        <v>0</v>
      </c>
      <c r="CY44" s="525">
        <v>279.38306800000004</v>
      </c>
      <c r="CZ44" s="526"/>
      <c r="DA44" s="525">
        <v>10.9856</v>
      </c>
      <c r="DB44" s="525">
        <v>0</v>
      </c>
      <c r="DC44" s="526"/>
      <c r="DD44" s="525">
        <v>0</v>
      </c>
      <c r="DE44" s="525">
        <v>0</v>
      </c>
      <c r="DF44" s="525">
        <v>0</v>
      </c>
      <c r="DG44" s="525">
        <v>770.88199999999995</v>
      </c>
      <c r="DH44" s="525">
        <v>583.69200000000001</v>
      </c>
      <c r="DI44" s="525">
        <v>0</v>
      </c>
      <c r="DJ44" s="525">
        <v>187.19</v>
      </c>
      <c r="DK44" s="525">
        <v>0</v>
      </c>
      <c r="DL44" s="525">
        <v>0</v>
      </c>
      <c r="DM44" s="525">
        <v>0</v>
      </c>
      <c r="DN44" s="525">
        <v>0</v>
      </c>
      <c r="DO44" s="525">
        <v>0</v>
      </c>
      <c r="DP44" s="525">
        <v>1182.8499999999999</v>
      </c>
      <c r="DQ44" s="525">
        <v>0</v>
      </c>
      <c r="DR44" s="525">
        <v>0</v>
      </c>
      <c r="DS44" s="525">
        <v>0</v>
      </c>
      <c r="DT44" s="525">
        <v>1182.8499999999999</v>
      </c>
      <c r="DU44" s="525">
        <v>0</v>
      </c>
      <c r="DV44" s="525">
        <v>0</v>
      </c>
      <c r="DW44" s="525">
        <v>0</v>
      </c>
      <c r="DX44" s="525">
        <v>0</v>
      </c>
      <c r="DY44" s="525">
        <v>0</v>
      </c>
      <c r="DZ44" s="525">
        <v>0</v>
      </c>
      <c r="EA44" s="525">
        <v>0</v>
      </c>
      <c r="EB44" s="525">
        <v>0</v>
      </c>
      <c r="EC44" s="525">
        <v>0</v>
      </c>
      <c r="ED44" s="525">
        <v>0</v>
      </c>
      <c r="EE44" s="525">
        <v>0</v>
      </c>
      <c r="EF44" s="525">
        <v>0</v>
      </c>
      <c r="EG44" s="525">
        <v>0</v>
      </c>
      <c r="EH44" s="525">
        <v>0</v>
      </c>
      <c r="EI44" s="525">
        <v>0</v>
      </c>
      <c r="EJ44" s="525">
        <v>0</v>
      </c>
      <c r="EK44" s="525">
        <v>0</v>
      </c>
      <c r="EL44" s="525">
        <v>0</v>
      </c>
      <c r="EM44" s="525">
        <v>0</v>
      </c>
      <c r="EN44" s="525">
        <v>0</v>
      </c>
      <c r="EO44" s="525">
        <v>0</v>
      </c>
      <c r="EP44" s="525">
        <v>3293.5799999999995</v>
      </c>
      <c r="EQ44" s="525">
        <v>0</v>
      </c>
      <c r="ER44" s="525">
        <v>3293.5799999999995</v>
      </c>
      <c r="ES44" s="525">
        <v>505.4799999999999</v>
      </c>
      <c r="ET44" s="525">
        <v>0</v>
      </c>
      <c r="EU44" s="525">
        <v>0</v>
      </c>
      <c r="EV44" s="525">
        <v>0</v>
      </c>
      <c r="EW44" s="525">
        <v>0</v>
      </c>
      <c r="EX44" s="525">
        <v>0</v>
      </c>
      <c r="EY44" s="525">
        <v>0</v>
      </c>
      <c r="EZ44" s="525">
        <v>0</v>
      </c>
      <c r="FA44" s="525">
        <v>0</v>
      </c>
      <c r="FB44" s="525">
        <v>112.31</v>
      </c>
      <c r="FC44" s="525">
        <v>0</v>
      </c>
      <c r="FD44" s="525">
        <v>0</v>
      </c>
      <c r="FE44" s="525">
        <v>0</v>
      </c>
      <c r="FF44" s="525">
        <v>112.31</v>
      </c>
      <c r="FG44" s="525">
        <v>112.31</v>
      </c>
      <c r="FH44" s="525">
        <v>0</v>
      </c>
      <c r="FI44" s="525">
        <v>0</v>
      </c>
      <c r="FJ44" s="525">
        <v>0</v>
      </c>
      <c r="FK44" s="525">
        <v>0</v>
      </c>
      <c r="FL44" s="525">
        <v>0</v>
      </c>
      <c r="FM44" s="525">
        <v>412.11200000000008</v>
      </c>
      <c r="FN44" s="525">
        <v>412.11200000000008</v>
      </c>
      <c r="FO44" s="525">
        <v>0</v>
      </c>
      <c r="FP44" s="525">
        <v>0</v>
      </c>
      <c r="FQ44" s="525">
        <v>0</v>
      </c>
      <c r="FR44" s="525">
        <v>0</v>
      </c>
      <c r="FS44" s="527">
        <v>21058.349222299999</v>
      </c>
      <c r="FT44" s="525">
        <v>0</v>
      </c>
      <c r="FU44" s="525">
        <v>0</v>
      </c>
      <c r="FV44" s="525">
        <v>0</v>
      </c>
      <c r="FW44" s="525">
        <v>0</v>
      </c>
      <c r="FX44" s="525">
        <v>0</v>
      </c>
      <c r="FY44" s="525">
        <v>0</v>
      </c>
      <c r="FZ44" s="525">
        <v>0</v>
      </c>
      <c r="GA44" s="525">
        <v>0</v>
      </c>
      <c r="GB44" s="525">
        <v>0</v>
      </c>
      <c r="GC44" s="525">
        <v>0</v>
      </c>
      <c r="GD44" s="525">
        <v>0</v>
      </c>
      <c r="GE44" s="525">
        <v>0</v>
      </c>
      <c r="GF44" s="525">
        <v>0</v>
      </c>
      <c r="GG44" s="525">
        <v>0</v>
      </c>
      <c r="GH44" s="525">
        <v>558.77</v>
      </c>
      <c r="GI44" s="525">
        <v>0</v>
      </c>
      <c r="GJ44" s="526"/>
      <c r="GK44" s="525">
        <v>558.77</v>
      </c>
      <c r="GL44" s="526"/>
      <c r="GM44" s="525">
        <v>0</v>
      </c>
      <c r="GN44" s="525">
        <v>0</v>
      </c>
      <c r="GO44" s="526"/>
      <c r="GP44" s="526"/>
      <c r="GQ44" s="525">
        <v>0</v>
      </c>
      <c r="GR44" s="526"/>
      <c r="GS44" s="526"/>
      <c r="GT44" s="525">
        <v>0</v>
      </c>
      <c r="GU44" s="525">
        <v>0</v>
      </c>
      <c r="GV44" s="525">
        <v>0</v>
      </c>
      <c r="GW44" s="525">
        <v>0</v>
      </c>
      <c r="GX44" s="525">
        <v>0</v>
      </c>
      <c r="GY44" s="525">
        <v>0</v>
      </c>
      <c r="GZ44" s="525">
        <v>0</v>
      </c>
      <c r="HA44" s="525">
        <v>0</v>
      </c>
      <c r="HB44" s="525">
        <v>0</v>
      </c>
      <c r="HC44" s="525">
        <v>0</v>
      </c>
      <c r="HD44" s="525">
        <v>0</v>
      </c>
      <c r="HE44" s="525">
        <v>0</v>
      </c>
      <c r="HF44" s="525">
        <v>0</v>
      </c>
      <c r="HG44" s="525">
        <v>0</v>
      </c>
      <c r="HH44" s="525">
        <v>0</v>
      </c>
      <c r="HI44" s="525">
        <v>0</v>
      </c>
      <c r="HJ44" s="525">
        <v>0</v>
      </c>
      <c r="HK44" s="525">
        <v>0</v>
      </c>
      <c r="HL44" s="526"/>
      <c r="HM44" s="526"/>
      <c r="HN44" s="526"/>
      <c r="HO44" s="526"/>
      <c r="HP44" s="526"/>
      <c r="HQ44" s="526"/>
      <c r="HR44" s="526"/>
      <c r="HS44" s="526"/>
      <c r="HT44" s="526"/>
      <c r="HU44" s="526"/>
      <c r="HV44" s="526"/>
      <c r="HW44" s="526"/>
      <c r="HX44" s="526"/>
      <c r="HY44" s="526"/>
      <c r="HZ44" s="526"/>
      <c r="IA44" s="526"/>
      <c r="IB44" s="526"/>
      <c r="IC44" s="526"/>
      <c r="ID44" s="526"/>
      <c r="IE44" s="526"/>
      <c r="IF44" s="526"/>
      <c r="IG44" s="526"/>
      <c r="IH44" s="526"/>
      <c r="II44" s="526"/>
      <c r="IJ44" s="526"/>
      <c r="IK44" s="526"/>
      <c r="IL44" s="526"/>
      <c r="IM44" s="526"/>
      <c r="IN44" s="526"/>
      <c r="IO44" s="526"/>
      <c r="IP44" s="526"/>
      <c r="IQ44" s="526"/>
      <c r="IR44" s="526"/>
      <c r="IS44" s="526"/>
      <c r="IT44" s="526"/>
      <c r="IU44" s="526"/>
      <c r="IV44" s="526"/>
      <c r="IW44" s="526"/>
      <c r="IX44" s="526"/>
      <c r="IY44" s="526"/>
      <c r="IZ44" s="526"/>
      <c r="JA44" s="526"/>
      <c r="JB44" s="526"/>
      <c r="JC44" s="526"/>
      <c r="JD44" s="526"/>
      <c r="JE44" s="526"/>
      <c r="JF44" s="526"/>
      <c r="JG44" s="526"/>
      <c r="JH44" s="526"/>
      <c r="JI44" s="526"/>
      <c r="JJ44" s="526"/>
      <c r="JK44" s="526"/>
      <c r="JL44" s="526"/>
      <c r="JM44" s="526"/>
      <c r="JN44" s="525">
        <v>8233.2520000000004</v>
      </c>
      <c r="JO44" s="525">
        <v>1946.5855799999999</v>
      </c>
      <c r="JP44" s="525">
        <v>10878.5116423</v>
      </c>
      <c r="JQ44" s="525">
        <v>0</v>
      </c>
      <c r="JR44" s="525">
        <v>558.77</v>
      </c>
      <c r="JS44" s="527">
        <v>22104.719222299998</v>
      </c>
      <c r="JT44" s="528">
        <f t="shared" si="10"/>
        <v>487.599999999999</v>
      </c>
      <c r="JU44" s="525">
        <v>26525.663066759997</v>
      </c>
      <c r="JV44" s="525">
        <v>5644.5854748522488</v>
      </c>
      <c r="JW44" s="525">
        <v>6773.5025698226982</v>
      </c>
      <c r="JX44" s="525">
        <v>10572.98</v>
      </c>
      <c r="JY44" s="525">
        <v>2699.88</v>
      </c>
      <c r="JZ44" s="526"/>
      <c r="KA44" s="525">
        <v>2699.88</v>
      </c>
      <c r="KB44" s="529">
        <v>2.6534368582333299</v>
      </c>
      <c r="KC44" s="525">
        <v>-1.7186303477519687</v>
      </c>
      <c r="KD44" s="525">
        <v>5646.3041052000008</v>
      </c>
      <c r="KE44" s="525">
        <v>2699.88</v>
      </c>
      <c r="KF44" s="525">
        <v>0</v>
      </c>
      <c r="KG44" s="530">
        <v>0</v>
      </c>
      <c r="KH44" s="525">
        <v>0</v>
      </c>
      <c r="KI44" s="525">
        <v>3950.97318</v>
      </c>
      <c r="KJ44" s="530">
        <v>2090.462</v>
      </c>
      <c r="KK44" s="525">
        <v>1890</v>
      </c>
      <c r="KL44" s="525">
        <v>1352.4461852000002</v>
      </c>
      <c r="KM44" s="530">
        <v>2093.9589168266552</v>
      </c>
      <c r="KN44" s="525">
        <v>645.88</v>
      </c>
      <c r="KO44" s="525">
        <v>342.88473999999997</v>
      </c>
      <c r="KP44" s="530">
        <v>2090.7606097560974</v>
      </c>
      <c r="KQ44" s="525">
        <v>164</v>
      </c>
      <c r="KR44" s="526"/>
      <c r="KS44" s="526"/>
      <c r="KT44" s="531">
        <v>15021.4</v>
      </c>
      <c r="KU44" s="531">
        <v>63.3</v>
      </c>
      <c r="KV44" s="526"/>
      <c r="KW44" s="531">
        <v>2900</v>
      </c>
      <c r="KX44" s="531">
        <v>1.9</v>
      </c>
      <c r="KY44" s="531">
        <v>1.9</v>
      </c>
      <c r="KZ44" s="526"/>
      <c r="LA44" s="531">
        <v>1500</v>
      </c>
      <c r="LB44" s="532">
        <v>145</v>
      </c>
      <c r="LC44" s="533">
        <v>0.01</v>
      </c>
      <c r="LD44" s="494">
        <f t="shared" si="11"/>
        <v>27310.360344848155</v>
      </c>
      <c r="LE44" s="509">
        <f t="shared" si="12"/>
        <v>22758.633620706798</v>
      </c>
      <c r="LF44" s="534">
        <f t="shared" si="13"/>
        <v>11215.042863762999</v>
      </c>
      <c r="LG44" s="535">
        <f t="shared" si="14"/>
        <v>9396.401879645</v>
      </c>
      <c r="LH44" s="536">
        <f t="shared" si="31"/>
        <v>1.03</v>
      </c>
      <c r="LI44" s="537">
        <f t="shared" si="15"/>
        <v>9396.401879645</v>
      </c>
      <c r="LJ44" s="536">
        <f t="shared" si="32"/>
        <v>1.0389999999999999</v>
      </c>
      <c r="LK44" s="537">
        <f t="shared" si="16"/>
        <v>0</v>
      </c>
      <c r="LL44" s="536">
        <f t="shared" si="33"/>
        <v>1.0349999999999999</v>
      </c>
      <c r="LM44" s="537">
        <f t="shared" si="17"/>
        <v>0</v>
      </c>
      <c r="LN44" s="536">
        <f t="shared" si="34"/>
        <v>1.0349999999999999</v>
      </c>
      <c r="LO44" s="537">
        <f t="shared" si="18"/>
        <v>0</v>
      </c>
      <c r="LP44" s="536">
        <f t="shared" si="35"/>
        <v>1.0349999999999999</v>
      </c>
      <c r="LQ44" s="537">
        <f t="shared" si="19"/>
        <v>1528.082593398</v>
      </c>
      <c r="LR44" s="536">
        <f t="shared" si="36"/>
        <v>1.04</v>
      </c>
      <c r="LS44" s="537">
        <f t="shared" si="20"/>
        <v>290.55839072000003</v>
      </c>
      <c r="LT44" s="539">
        <f t="shared" si="21"/>
        <v>8468.8053397200001</v>
      </c>
      <c r="LU44" s="540">
        <f t="shared" si="22"/>
        <v>3071.3677434000006</v>
      </c>
      <c r="LV44" s="541">
        <f t="shared" si="23"/>
        <v>5397.43759632</v>
      </c>
      <c r="LW44" s="542">
        <f t="shared" si="24"/>
        <v>2008.8584672237998</v>
      </c>
      <c r="LX44" s="540">
        <f t="shared" si="25"/>
        <v>942.90989722380004</v>
      </c>
      <c r="LY44" s="540">
        <f t="shared" si="26"/>
        <v>426.53592000000003</v>
      </c>
      <c r="LZ44" s="543">
        <f t="shared" si="27"/>
        <v>639.41264999999964</v>
      </c>
      <c r="MA44" s="544">
        <f t="shared" si="28"/>
        <v>487.599999999999</v>
      </c>
      <c r="MB44" s="545">
        <f t="shared" si="29"/>
        <v>578.3269499999999</v>
      </c>
    </row>
    <row r="45" spans="1:340" ht="16.5" customHeight="1">
      <c r="A45" s="465">
        <v>1</v>
      </c>
      <c r="B45" s="466">
        <v>35</v>
      </c>
      <c r="C45" s="467" t="s">
        <v>54</v>
      </c>
      <c r="D45" s="468">
        <v>4632068226</v>
      </c>
      <c r="E45" s="469">
        <f t="shared" si="3"/>
        <v>352394.66726075532</v>
      </c>
      <c r="F45" s="470" t="s">
        <v>281</v>
      </c>
      <c r="G45" s="595">
        <v>7638.7440299999998</v>
      </c>
      <c r="H45" s="597">
        <f t="shared" si="30"/>
        <v>344755.92323075532</v>
      </c>
      <c r="I45" s="597" t="s">
        <v>857</v>
      </c>
      <c r="J45" s="471">
        <f t="shared" si="4"/>
        <v>293662.2227172961</v>
      </c>
      <c r="K45" s="472">
        <f t="shared" si="5"/>
        <v>249179.71806378406</v>
      </c>
      <c r="L45" s="473">
        <f t="shared" si="6"/>
        <v>191633.01885014804</v>
      </c>
      <c r="M45" s="474">
        <v>191633.01885014804</v>
      </c>
      <c r="N45" s="475">
        <v>0</v>
      </c>
      <c r="O45" s="475">
        <v>0</v>
      </c>
      <c r="P45" s="476">
        <v>0</v>
      </c>
      <c r="Q45" s="477">
        <v>54098.062413636006</v>
      </c>
      <c r="R45" s="478">
        <f t="shared" si="7"/>
        <v>3448.6368000000002</v>
      </c>
      <c r="S45" s="479">
        <f t="shared" si="8"/>
        <v>33703.590356304005</v>
      </c>
      <c r="T45" s="479">
        <v>21234.948004000002</v>
      </c>
      <c r="U45" s="480">
        <v>12468.642352304003</v>
      </c>
      <c r="V45" s="481">
        <f t="shared" si="9"/>
        <v>7335.2342972080014</v>
      </c>
      <c r="W45" s="482">
        <v>6412.9542972080008</v>
      </c>
      <c r="X45" s="479">
        <v>0</v>
      </c>
      <c r="Y45" s="483">
        <v>922.28000000000065</v>
      </c>
      <c r="Z45" s="484">
        <v>3293.6799999999639</v>
      </c>
      <c r="AA45" s="485">
        <v>150</v>
      </c>
      <c r="AB45" s="486"/>
      <c r="AC45" s="487">
        <v>191633.01885014804</v>
      </c>
      <c r="AD45" s="487">
        <v>191633.01885014804</v>
      </c>
      <c r="AE45" s="487">
        <v>0</v>
      </c>
      <c r="AF45" s="487">
        <v>0</v>
      </c>
      <c r="AG45" s="487">
        <v>0</v>
      </c>
      <c r="AH45" s="487">
        <v>54098.062413636006</v>
      </c>
      <c r="AI45" s="487">
        <v>54098.062413636006</v>
      </c>
      <c r="AJ45" s="487">
        <v>0</v>
      </c>
      <c r="AK45" s="487">
        <v>0</v>
      </c>
      <c r="AL45" s="487">
        <v>0</v>
      </c>
      <c r="AM45" s="487">
        <v>0</v>
      </c>
      <c r="AN45" s="487">
        <v>0</v>
      </c>
      <c r="AO45" s="487">
        <v>0</v>
      </c>
      <c r="AP45" s="487">
        <v>0</v>
      </c>
      <c r="AQ45" s="487">
        <v>0</v>
      </c>
      <c r="AR45" s="487">
        <v>0</v>
      </c>
      <c r="AS45" s="487">
        <v>0</v>
      </c>
      <c r="AT45" s="487">
        <v>0</v>
      </c>
      <c r="AU45" s="487">
        <v>0</v>
      </c>
      <c r="AV45" s="487">
        <v>0</v>
      </c>
      <c r="AW45" s="487">
        <v>0</v>
      </c>
      <c r="AX45" s="487">
        <v>0</v>
      </c>
      <c r="AY45" s="487">
        <v>0</v>
      </c>
      <c r="AZ45" s="487">
        <v>0</v>
      </c>
      <c r="BA45" s="487">
        <v>54098.062413636006</v>
      </c>
      <c r="BB45" s="487">
        <v>11459.599</v>
      </c>
      <c r="BC45" s="487">
        <v>0</v>
      </c>
      <c r="BD45" s="487">
        <v>0</v>
      </c>
      <c r="BE45" s="487">
        <v>0</v>
      </c>
      <c r="BF45" s="487">
        <v>0</v>
      </c>
      <c r="BG45" s="487">
        <v>0</v>
      </c>
      <c r="BH45" s="487">
        <v>0</v>
      </c>
      <c r="BI45" s="487">
        <v>0</v>
      </c>
      <c r="BJ45" s="487">
        <v>54098.062413636006</v>
      </c>
      <c r="BK45" s="487">
        <v>4.7207640000000008</v>
      </c>
      <c r="BL45" s="487">
        <v>11459.599</v>
      </c>
      <c r="BM45" s="487">
        <v>0</v>
      </c>
      <c r="BN45" s="487">
        <v>0</v>
      </c>
      <c r="BO45" s="487">
        <v>0</v>
      </c>
      <c r="BP45" s="487">
        <v>0</v>
      </c>
      <c r="BQ45" s="487">
        <v>0</v>
      </c>
      <c r="BR45" s="487">
        <v>0</v>
      </c>
      <c r="BS45" s="487">
        <v>0</v>
      </c>
      <c r="BT45" s="487">
        <v>0</v>
      </c>
      <c r="BU45" s="487">
        <v>0</v>
      </c>
      <c r="BV45" s="487">
        <v>0</v>
      </c>
      <c r="BW45" s="487">
        <v>0</v>
      </c>
      <c r="BX45" s="487">
        <v>0</v>
      </c>
      <c r="BY45" s="487">
        <v>0</v>
      </c>
      <c r="BZ45" s="487">
        <v>0</v>
      </c>
      <c r="CA45" s="487">
        <v>0</v>
      </c>
      <c r="CB45" s="487">
        <v>0</v>
      </c>
      <c r="CC45" s="487">
        <v>0</v>
      </c>
      <c r="CD45" s="487">
        <v>0</v>
      </c>
      <c r="CE45" s="487">
        <v>0</v>
      </c>
      <c r="CF45" s="487">
        <v>0</v>
      </c>
      <c r="CG45" s="487">
        <v>0</v>
      </c>
      <c r="CH45" s="487">
        <v>0</v>
      </c>
      <c r="CI45" s="487">
        <v>0</v>
      </c>
      <c r="CJ45" s="487">
        <v>0</v>
      </c>
      <c r="CK45" s="487">
        <v>0</v>
      </c>
      <c r="CL45" s="487">
        <v>0</v>
      </c>
      <c r="CM45" s="487">
        <v>21234.948004000002</v>
      </c>
      <c r="CN45" s="487">
        <v>7554.3706336000005</v>
      </c>
      <c r="CO45" s="487">
        <v>0</v>
      </c>
      <c r="CP45" s="487">
        <v>10825.324918400001</v>
      </c>
      <c r="CQ45" s="487">
        <v>2855.2524520000006</v>
      </c>
      <c r="CR45" s="487">
        <v>0</v>
      </c>
      <c r="CS45" s="487">
        <v>6412.9542972080008</v>
      </c>
      <c r="CT45" s="487">
        <v>2281.4199313472</v>
      </c>
      <c r="CU45" s="487">
        <v>0</v>
      </c>
      <c r="CV45" s="487">
        <v>3269.2481253567998</v>
      </c>
      <c r="CW45" s="487">
        <v>862.28624050400026</v>
      </c>
      <c r="CX45" s="487">
        <v>0</v>
      </c>
      <c r="CY45" s="487">
        <v>3448.6368000000002</v>
      </c>
      <c r="CZ45" s="467"/>
      <c r="DA45" s="487">
        <v>159.20000000000002</v>
      </c>
      <c r="DB45" s="487">
        <v>0</v>
      </c>
      <c r="DC45" s="467"/>
      <c r="DD45" s="487">
        <v>0</v>
      </c>
      <c r="DE45" s="487">
        <v>0</v>
      </c>
      <c r="DF45" s="487">
        <v>0</v>
      </c>
      <c r="DG45" s="487">
        <v>8198.2941987039994</v>
      </c>
      <c r="DH45" s="487">
        <v>437.83006558400001</v>
      </c>
      <c r="DI45" s="487">
        <v>0</v>
      </c>
      <c r="DJ45" s="487">
        <v>7760.46413312</v>
      </c>
      <c r="DK45" s="487">
        <v>0</v>
      </c>
      <c r="DL45" s="487">
        <v>0</v>
      </c>
      <c r="DM45" s="487">
        <v>0</v>
      </c>
      <c r="DN45" s="487">
        <v>0</v>
      </c>
      <c r="DO45" s="487">
        <v>0</v>
      </c>
      <c r="DP45" s="487">
        <v>1547.7903935999998</v>
      </c>
      <c r="DQ45" s="487">
        <v>0</v>
      </c>
      <c r="DR45" s="487">
        <v>0</v>
      </c>
      <c r="DS45" s="487">
        <v>0</v>
      </c>
      <c r="DT45" s="487">
        <v>1547.7903935999998</v>
      </c>
      <c r="DU45" s="487">
        <v>2175.2884721600003</v>
      </c>
      <c r="DV45" s="487">
        <v>102.48882336000001</v>
      </c>
      <c r="DW45" s="487">
        <v>179.87834304</v>
      </c>
      <c r="DX45" s="487">
        <v>586.69612096000003</v>
      </c>
      <c r="DY45" s="487">
        <v>0</v>
      </c>
      <c r="DZ45" s="487">
        <v>0</v>
      </c>
      <c r="EA45" s="487">
        <v>1238.2479040000001</v>
      </c>
      <c r="EB45" s="487">
        <v>0</v>
      </c>
      <c r="EC45" s="487">
        <v>0</v>
      </c>
      <c r="ED45" s="487">
        <v>0</v>
      </c>
      <c r="EE45" s="487">
        <v>0</v>
      </c>
      <c r="EF45" s="487">
        <v>0</v>
      </c>
      <c r="EG45" s="487">
        <v>67.977280800000003</v>
      </c>
      <c r="EH45" s="487">
        <v>781.06</v>
      </c>
      <c r="EI45" s="487">
        <v>0</v>
      </c>
      <c r="EJ45" s="487">
        <v>0</v>
      </c>
      <c r="EK45" s="487">
        <v>781.06</v>
      </c>
      <c r="EL45" s="487">
        <v>0</v>
      </c>
      <c r="EM45" s="487">
        <v>94.122388799999996</v>
      </c>
      <c r="EN45" s="487">
        <v>0</v>
      </c>
      <c r="EO45" s="487">
        <v>0</v>
      </c>
      <c r="EP45" s="487">
        <v>453.14689904000011</v>
      </c>
      <c r="EQ45" s="487">
        <v>176.00875424</v>
      </c>
      <c r="ER45" s="487">
        <v>277.13814480000002</v>
      </c>
      <c r="ES45" s="487">
        <v>0</v>
      </c>
      <c r="ET45" s="487">
        <v>781.06</v>
      </c>
      <c r="EU45" s="487">
        <v>781.06</v>
      </c>
      <c r="EV45" s="487">
        <v>0</v>
      </c>
      <c r="EW45" s="487">
        <v>0</v>
      </c>
      <c r="EX45" s="487">
        <v>0</v>
      </c>
      <c r="EY45" s="487">
        <v>0</v>
      </c>
      <c r="EZ45" s="487">
        <v>0</v>
      </c>
      <c r="FA45" s="487">
        <v>0</v>
      </c>
      <c r="FB45" s="487">
        <v>103.72</v>
      </c>
      <c r="FC45" s="487">
        <v>4</v>
      </c>
      <c r="FD45" s="487">
        <v>99.72</v>
      </c>
      <c r="FE45" s="487">
        <v>0</v>
      </c>
      <c r="FF45" s="487">
        <v>0</v>
      </c>
      <c r="FG45" s="487">
        <v>0</v>
      </c>
      <c r="FH45" s="487">
        <v>0</v>
      </c>
      <c r="FI45" s="487">
        <v>0</v>
      </c>
      <c r="FJ45" s="487">
        <v>0</v>
      </c>
      <c r="FK45" s="487">
        <v>0</v>
      </c>
      <c r="FL45" s="487">
        <v>0</v>
      </c>
      <c r="FM45" s="487">
        <v>0</v>
      </c>
      <c r="FN45" s="487">
        <v>0</v>
      </c>
      <c r="FO45" s="487">
        <v>0</v>
      </c>
      <c r="FP45" s="487">
        <v>0</v>
      </c>
      <c r="FQ45" s="487">
        <v>0</v>
      </c>
      <c r="FR45" s="487">
        <v>37.5</v>
      </c>
      <c r="FS45" s="488">
        <v>290218.54271729605</v>
      </c>
      <c r="FT45" s="487">
        <v>0</v>
      </c>
      <c r="FU45" s="487">
        <v>0</v>
      </c>
      <c r="FV45" s="487">
        <v>0</v>
      </c>
      <c r="FW45" s="487">
        <v>0</v>
      </c>
      <c r="FX45" s="487">
        <v>0</v>
      </c>
      <c r="FY45" s="487">
        <v>0</v>
      </c>
      <c r="FZ45" s="487">
        <v>0</v>
      </c>
      <c r="GA45" s="487">
        <v>0</v>
      </c>
      <c r="GB45" s="487">
        <v>0</v>
      </c>
      <c r="GC45" s="487">
        <v>0</v>
      </c>
      <c r="GD45" s="487">
        <v>0</v>
      </c>
      <c r="GE45" s="487">
        <v>0</v>
      </c>
      <c r="GF45" s="487">
        <v>0</v>
      </c>
      <c r="GG45" s="487">
        <v>0</v>
      </c>
      <c r="GH45" s="487">
        <v>150</v>
      </c>
      <c r="GI45" s="487">
        <v>0</v>
      </c>
      <c r="GJ45" s="467"/>
      <c r="GK45" s="487">
        <v>150</v>
      </c>
      <c r="GL45" s="467"/>
      <c r="GM45" s="487">
        <v>0</v>
      </c>
      <c r="GN45" s="487">
        <v>0</v>
      </c>
      <c r="GO45" s="467"/>
      <c r="GP45" s="467"/>
      <c r="GQ45" s="487">
        <v>0</v>
      </c>
      <c r="GR45" s="467"/>
      <c r="GS45" s="467"/>
      <c r="GT45" s="487">
        <v>0</v>
      </c>
      <c r="GU45" s="487">
        <v>0</v>
      </c>
      <c r="GV45" s="487">
        <v>0</v>
      </c>
      <c r="GW45" s="487">
        <v>0</v>
      </c>
      <c r="GX45" s="487">
        <v>0</v>
      </c>
      <c r="GY45" s="487">
        <v>0</v>
      </c>
      <c r="GZ45" s="487">
        <v>0</v>
      </c>
      <c r="HA45" s="487">
        <v>0</v>
      </c>
      <c r="HB45" s="487">
        <v>0</v>
      </c>
      <c r="HC45" s="487">
        <v>0</v>
      </c>
      <c r="HD45" s="487">
        <v>0</v>
      </c>
      <c r="HE45" s="487">
        <v>0</v>
      </c>
      <c r="HF45" s="487">
        <v>0</v>
      </c>
      <c r="HG45" s="487">
        <v>0</v>
      </c>
      <c r="HH45" s="487">
        <v>0</v>
      </c>
      <c r="HI45" s="487">
        <v>0</v>
      </c>
      <c r="HJ45" s="487">
        <v>0</v>
      </c>
      <c r="HK45" s="487">
        <v>0</v>
      </c>
      <c r="HL45" s="467"/>
      <c r="HM45" s="467"/>
      <c r="HN45" s="467"/>
      <c r="HO45" s="467"/>
      <c r="HP45" s="467"/>
      <c r="HQ45" s="467"/>
      <c r="HR45" s="467"/>
      <c r="HS45" s="467"/>
      <c r="HT45" s="467"/>
      <c r="HU45" s="467"/>
      <c r="HV45" s="467"/>
      <c r="HW45" s="467"/>
      <c r="HX45" s="467"/>
      <c r="HY45" s="467"/>
      <c r="HZ45" s="467"/>
      <c r="IA45" s="467"/>
      <c r="IB45" s="467"/>
      <c r="IC45" s="467"/>
      <c r="ID45" s="467"/>
      <c r="IE45" s="467"/>
      <c r="IF45" s="467"/>
      <c r="IG45" s="467"/>
      <c r="IH45" s="467"/>
      <c r="II45" s="467"/>
      <c r="IJ45" s="467"/>
      <c r="IK45" s="467"/>
      <c r="IL45" s="467"/>
      <c r="IM45" s="467"/>
      <c r="IN45" s="467"/>
      <c r="IO45" s="467"/>
      <c r="IP45" s="467"/>
      <c r="IQ45" s="467"/>
      <c r="IR45" s="467"/>
      <c r="IS45" s="467"/>
      <c r="IT45" s="467"/>
      <c r="IU45" s="467"/>
      <c r="IV45" s="467"/>
      <c r="IW45" s="467"/>
      <c r="IX45" s="467"/>
      <c r="IY45" s="467"/>
      <c r="IZ45" s="467"/>
      <c r="JA45" s="467"/>
      <c r="JB45" s="467"/>
      <c r="JC45" s="467"/>
      <c r="JD45" s="467"/>
      <c r="JE45" s="467"/>
      <c r="JF45" s="467"/>
      <c r="JG45" s="467"/>
      <c r="JH45" s="467"/>
      <c r="JI45" s="467"/>
      <c r="JJ45" s="467"/>
      <c r="JK45" s="467"/>
      <c r="JL45" s="467"/>
      <c r="JM45" s="467"/>
      <c r="JN45" s="487">
        <v>33703.590356304005</v>
      </c>
      <c r="JO45" s="487">
        <v>7335.2342972080014</v>
      </c>
      <c r="JP45" s="487">
        <v>249179.71806378406</v>
      </c>
      <c r="JQ45" s="487">
        <v>0</v>
      </c>
      <c r="JR45" s="487">
        <v>150</v>
      </c>
      <c r="JS45" s="488">
        <v>293662.22271729604</v>
      </c>
      <c r="JT45" s="489">
        <f t="shared" si="10"/>
        <v>3293.6799999999639</v>
      </c>
      <c r="JU45" s="487">
        <v>352394.66726075526</v>
      </c>
      <c r="JV45" s="487">
        <v>293662.22271729604</v>
      </c>
      <c r="JW45" s="487">
        <v>352394.66726075526</v>
      </c>
      <c r="JX45" s="487">
        <v>236907</v>
      </c>
      <c r="JY45" s="487">
        <v>236907</v>
      </c>
      <c r="JZ45" s="467"/>
      <c r="KA45" s="487">
        <v>5190</v>
      </c>
      <c r="KB45" s="490">
        <v>5.1685188201815231E-2</v>
      </c>
      <c r="KC45" s="487">
        <v>0.23015729599865153</v>
      </c>
      <c r="KD45" s="487">
        <v>293661.99256000004</v>
      </c>
      <c r="KE45" s="487">
        <v>236907</v>
      </c>
      <c r="KF45" s="487">
        <v>287296.37530000001</v>
      </c>
      <c r="KG45" s="491">
        <v>1239.8588592981957</v>
      </c>
      <c r="KH45" s="487">
        <v>231717</v>
      </c>
      <c r="KI45" s="487">
        <v>314.15301999999997</v>
      </c>
      <c r="KJ45" s="491">
        <v>1227.1602343749998</v>
      </c>
      <c r="KK45" s="487">
        <v>256</v>
      </c>
      <c r="KL45" s="487">
        <v>189.69830000000002</v>
      </c>
      <c r="KM45" s="491">
        <v>1231.8071428571429</v>
      </c>
      <c r="KN45" s="487">
        <v>154</v>
      </c>
      <c r="KO45" s="487">
        <v>5861.7659400000002</v>
      </c>
      <c r="KP45" s="491">
        <v>1226.3108661087867</v>
      </c>
      <c r="KQ45" s="487">
        <v>4780</v>
      </c>
      <c r="KR45" s="467"/>
      <c r="KS45" s="467"/>
      <c r="KT45" s="487">
        <v>18591.511999999999</v>
      </c>
      <c r="KU45" s="487">
        <v>37</v>
      </c>
      <c r="KV45" s="467"/>
      <c r="KW45" s="487">
        <v>108.621</v>
      </c>
      <c r="KX45" s="487">
        <v>3.4849999999999999</v>
      </c>
      <c r="KY45" s="487">
        <v>0.1</v>
      </c>
      <c r="KZ45" s="467"/>
      <c r="LA45" s="487">
        <v>218710</v>
      </c>
      <c r="LB45" s="492">
        <v>33</v>
      </c>
      <c r="LC45" s="493">
        <v>4.2000000000000003E-2</v>
      </c>
      <c r="LD45" s="494">
        <f t="shared" si="11"/>
        <v>363153.42609817762</v>
      </c>
      <c r="LE45" s="471">
        <f t="shared" si="12"/>
        <v>302627.85508181469</v>
      </c>
      <c r="LF45" s="495">
        <f t="shared" si="13"/>
        <v>256960.08628576575</v>
      </c>
      <c r="LG45" s="476">
        <f t="shared" si="14"/>
        <v>197382.00941565249</v>
      </c>
      <c r="LH45" s="496">
        <f t="shared" si="31"/>
        <v>1.03</v>
      </c>
      <c r="LI45" s="497">
        <f t="shared" si="15"/>
        <v>197382.00941565249</v>
      </c>
      <c r="LJ45" s="496">
        <f t="shared" si="32"/>
        <v>1.0389999999999999</v>
      </c>
      <c r="LK45" s="497">
        <f t="shared" si="16"/>
        <v>0</v>
      </c>
      <c r="LL45" s="496">
        <f t="shared" si="33"/>
        <v>1.0349999999999999</v>
      </c>
      <c r="LM45" s="497">
        <f t="shared" si="17"/>
        <v>0</v>
      </c>
      <c r="LN45" s="496">
        <f t="shared" si="34"/>
        <v>1.0349999999999999</v>
      </c>
      <c r="LO45" s="497">
        <f t="shared" si="18"/>
        <v>0</v>
      </c>
      <c r="LP45" s="496">
        <f t="shared" si="35"/>
        <v>1.0349999999999999</v>
      </c>
      <c r="LQ45" s="497">
        <f t="shared" si="19"/>
        <v>55991.494598113262</v>
      </c>
      <c r="LR45" s="496">
        <f t="shared" si="36"/>
        <v>1.04</v>
      </c>
      <c r="LS45" s="497">
        <f t="shared" si="20"/>
        <v>3586.5822720000006</v>
      </c>
      <c r="LT45" s="499">
        <f t="shared" si="21"/>
        <v>34667.850076397859</v>
      </c>
      <c r="LU45" s="500">
        <f t="shared" si="22"/>
        <v>21842.479866394438</v>
      </c>
      <c r="LV45" s="501">
        <f t="shared" si="23"/>
        <v>12825.370210003419</v>
      </c>
      <c r="LW45" s="499">
        <f t="shared" si="24"/>
        <v>7550.9887196511218</v>
      </c>
      <c r="LX45" s="500">
        <f t="shared" si="25"/>
        <v>6596.4289196511209</v>
      </c>
      <c r="LY45" s="500">
        <f t="shared" si="26"/>
        <v>0</v>
      </c>
      <c r="LZ45" s="502">
        <f t="shared" si="27"/>
        <v>954.55980000000056</v>
      </c>
      <c r="MA45" s="503">
        <f t="shared" si="28"/>
        <v>3293.6799999999639</v>
      </c>
      <c r="MB45" s="504">
        <f t="shared" si="29"/>
        <v>155.25</v>
      </c>
    </row>
    <row r="46" spans="1:340" ht="16.5" customHeight="1">
      <c r="A46" s="505">
        <v>1</v>
      </c>
      <c r="B46" s="506">
        <v>36</v>
      </c>
      <c r="C46" s="507" t="s">
        <v>10</v>
      </c>
      <c r="D46" s="508">
        <v>4603005599</v>
      </c>
      <c r="E46" s="469">
        <f t="shared" si="3"/>
        <v>11656.110637839998</v>
      </c>
      <c r="F46" s="470" t="s">
        <v>287</v>
      </c>
      <c r="G46" s="595">
        <v>11656.1113761</v>
      </c>
      <c r="H46" s="595">
        <f t="shared" si="30"/>
        <v>-7.3826000152621418E-4</v>
      </c>
      <c r="I46" s="595"/>
      <c r="J46" s="509">
        <f t="shared" si="4"/>
        <v>11656.110637839998</v>
      </c>
      <c r="K46" s="510">
        <f t="shared" si="5"/>
        <v>7558.6014378400005</v>
      </c>
      <c r="L46" s="511">
        <f t="shared" si="6"/>
        <v>6125.278475600001</v>
      </c>
      <c r="M46" s="512">
        <v>6125.278475600001</v>
      </c>
      <c r="N46" s="513">
        <v>0</v>
      </c>
      <c r="O46" s="513">
        <v>0</v>
      </c>
      <c r="P46" s="514">
        <v>0</v>
      </c>
      <c r="Q46" s="515">
        <v>1259.36569024</v>
      </c>
      <c r="R46" s="516">
        <f t="shared" si="7"/>
        <v>173.95727200000002</v>
      </c>
      <c r="S46" s="517">
        <f t="shared" si="8"/>
        <v>3060.91</v>
      </c>
      <c r="T46" s="518">
        <v>1966.6</v>
      </c>
      <c r="U46" s="519">
        <v>1094.31</v>
      </c>
      <c r="V46" s="520">
        <f t="shared" si="9"/>
        <v>732.97919999999999</v>
      </c>
      <c r="W46" s="521">
        <v>593.91319999999996</v>
      </c>
      <c r="X46" s="518">
        <v>5.88</v>
      </c>
      <c r="Y46" s="522">
        <v>133.18600000000004</v>
      </c>
      <c r="Z46" s="523">
        <v>179.45999999999987</v>
      </c>
      <c r="AA46" s="524">
        <v>124.16000000000001</v>
      </c>
      <c r="AB46" s="486"/>
      <c r="AC46" s="525">
        <v>6125.278475600001</v>
      </c>
      <c r="AD46" s="525">
        <v>6125.278475600001</v>
      </c>
      <c r="AE46" s="525">
        <v>0</v>
      </c>
      <c r="AF46" s="525">
        <v>0</v>
      </c>
      <c r="AG46" s="525">
        <v>0</v>
      </c>
      <c r="AH46" s="525">
        <v>1259.36569024</v>
      </c>
      <c r="AI46" s="525">
        <v>1259.36569024</v>
      </c>
      <c r="AJ46" s="525">
        <v>0</v>
      </c>
      <c r="AK46" s="525">
        <v>0</v>
      </c>
      <c r="AL46" s="525">
        <v>0</v>
      </c>
      <c r="AM46" s="525">
        <v>0</v>
      </c>
      <c r="AN46" s="525">
        <v>0</v>
      </c>
      <c r="AO46" s="525">
        <v>0</v>
      </c>
      <c r="AP46" s="525">
        <v>0</v>
      </c>
      <c r="AQ46" s="525">
        <v>0</v>
      </c>
      <c r="AR46" s="525">
        <v>0</v>
      </c>
      <c r="AS46" s="525">
        <v>0</v>
      </c>
      <c r="AT46" s="525">
        <v>0</v>
      </c>
      <c r="AU46" s="525">
        <v>0</v>
      </c>
      <c r="AV46" s="525">
        <v>0</v>
      </c>
      <c r="AW46" s="525">
        <v>0</v>
      </c>
      <c r="AX46" s="525">
        <v>0</v>
      </c>
      <c r="AY46" s="525">
        <v>0</v>
      </c>
      <c r="AZ46" s="525">
        <v>0</v>
      </c>
      <c r="BA46" s="525">
        <v>1259.36569024</v>
      </c>
      <c r="BB46" s="525">
        <v>145.9136</v>
      </c>
      <c r="BC46" s="525">
        <v>0</v>
      </c>
      <c r="BD46" s="525">
        <v>1259.36569024</v>
      </c>
      <c r="BE46" s="525">
        <v>8.6309000000000005</v>
      </c>
      <c r="BF46" s="525">
        <v>145.9136</v>
      </c>
      <c r="BG46" s="525">
        <v>0</v>
      </c>
      <c r="BH46" s="525">
        <v>0</v>
      </c>
      <c r="BI46" s="525">
        <v>0</v>
      </c>
      <c r="BJ46" s="525">
        <v>0</v>
      </c>
      <c r="BK46" s="525">
        <v>0</v>
      </c>
      <c r="BL46" s="525">
        <v>0</v>
      </c>
      <c r="BM46" s="525">
        <v>0</v>
      </c>
      <c r="BN46" s="525">
        <v>0</v>
      </c>
      <c r="BO46" s="525">
        <v>0</v>
      </c>
      <c r="BP46" s="525">
        <v>0</v>
      </c>
      <c r="BQ46" s="525">
        <v>0</v>
      </c>
      <c r="BR46" s="525">
        <v>0</v>
      </c>
      <c r="BS46" s="525">
        <v>0</v>
      </c>
      <c r="BT46" s="525">
        <v>0</v>
      </c>
      <c r="BU46" s="525">
        <v>0</v>
      </c>
      <c r="BV46" s="525">
        <v>0</v>
      </c>
      <c r="BW46" s="525">
        <v>0</v>
      </c>
      <c r="BX46" s="525">
        <v>0</v>
      </c>
      <c r="BY46" s="525">
        <v>0</v>
      </c>
      <c r="BZ46" s="525">
        <v>0</v>
      </c>
      <c r="CA46" s="525">
        <v>0</v>
      </c>
      <c r="CB46" s="525">
        <v>0</v>
      </c>
      <c r="CC46" s="525">
        <v>0</v>
      </c>
      <c r="CD46" s="525">
        <v>0</v>
      </c>
      <c r="CE46" s="525">
        <v>0</v>
      </c>
      <c r="CF46" s="525">
        <v>0</v>
      </c>
      <c r="CG46" s="525">
        <v>0</v>
      </c>
      <c r="CH46" s="525">
        <v>0</v>
      </c>
      <c r="CI46" s="525">
        <v>0</v>
      </c>
      <c r="CJ46" s="525">
        <v>0</v>
      </c>
      <c r="CK46" s="525">
        <v>0</v>
      </c>
      <c r="CL46" s="525">
        <v>0</v>
      </c>
      <c r="CM46" s="525">
        <v>1966.6</v>
      </c>
      <c r="CN46" s="525">
        <v>1580.5</v>
      </c>
      <c r="CO46" s="525">
        <v>0</v>
      </c>
      <c r="CP46" s="525">
        <v>0</v>
      </c>
      <c r="CQ46" s="525">
        <v>386.1</v>
      </c>
      <c r="CR46" s="525">
        <v>0</v>
      </c>
      <c r="CS46" s="525">
        <v>593.91319999999996</v>
      </c>
      <c r="CT46" s="525">
        <v>477.31100000000004</v>
      </c>
      <c r="CU46" s="525">
        <v>0</v>
      </c>
      <c r="CV46" s="525">
        <v>0</v>
      </c>
      <c r="CW46" s="525">
        <v>116.60220000000001</v>
      </c>
      <c r="CX46" s="525">
        <v>0</v>
      </c>
      <c r="CY46" s="525">
        <v>173.95727200000002</v>
      </c>
      <c r="CZ46" s="526"/>
      <c r="DA46" s="525">
        <v>2.9182999999999999</v>
      </c>
      <c r="DB46" s="525">
        <v>0</v>
      </c>
      <c r="DC46" s="526"/>
      <c r="DD46" s="525">
        <v>0</v>
      </c>
      <c r="DE46" s="525">
        <v>0</v>
      </c>
      <c r="DF46" s="525">
        <v>0</v>
      </c>
      <c r="DG46" s="525">
        <v>429.32</v>
      </c>
      <c r="DH46" s="525">
        <v>43.5</v>
      </c>
      <c r="DI46" s="525">
        <v>0</v>
      </c>
      <c r="DJ46" s="525">
        <v>385.82</v>
      </c>
      <c r="DK46" s="525">
        <v>0</v>
      </c>
      <c r="DL46" s="525">
        <v>0</v>
      </c>
      <c r="DM46" s="525">
        <v>0</v>
      </c>
      <c r="DN46" s="525">
        <v>0</v>
      </c>
      <c r="DO46" s="525">
        <v>0</v>
      </c>
      <c r="DP46" s="525">
        <v>0</v>
      </c>
      <c r="DQ46" s="525">
        <v>0</v>
      </c>
      <c r="DR46" s="525">
        <v>0</v>
      </c>
      <c r="DS46" s="525">
        <v>0</v>
      </c>
      <c r="DT46" s="525">
        <v>0</v>
      </c>
      <c r="DU46" s="525">
        <v>126.65999999999998</v>
      </c>
      <c r="DV46" s="525">
        <v>0</v>
      </c>
      <c r="DW46" s="525">
        <v>0</v>
      </c>
      <c r="DX46" s="525">
        <v>0</v>
      </c>
      <c r="DY46" s="525">
        <v>0</v>
      </c>
      <c r="DZ46" s="525">
        <v>0</v>
      </c>
      <c r="EA46" s="525">
        <v>0</v>
      </c>
      <c r="EB46" s="525">
        <v>0</v>
      </c>
      <c r="EC46" s="525">
        <v>0</v>
      </c>
      <c r="ED46" s="525">
        <v>0</v>
      </c>
      <c r="EE46" s="525">
        <v>0</v>
      </c>
      <c r="EF46" s="525">
        <v>0</v>
      </c>
      <c r="EG46" s="525">
        <v>126.65999999999998</v>
      </c>
      <c r="EH46" s="525">
        <v>0</v>
      </c>
      <c r="EI46" s="525">
        <v>0</v>
      </c>
      <c r="EJ46" s="525">
        <v>0</v>
      </c>
      <c r="EK46" s="525">
        <v>0</v>
      </c>
      <c r="EL46" s="525">
        <v>0</v>
      </c>
      <c r="EM46" s="525">
        <v>15.48</v>
      </c>
      <c r="EN46" s="525">
        <v>0</v>
      </c>
      <c r="EO46" s="525">
        <v>0</v>
      </c>
      <c r="EP46" s="525">
        <v>522.85</v>
      </c>
      <c r="EQ46" s="525">
        <v>522.85</v>
      </c>
      <c r="ER46" s="525">
        <v>0</v>
      </c>
      <c r="ES46" s="525">
        <v>0</v>
      </c>
      <c r="ET46" s="525">
        <v>0</v>
      </c>
      <c r="EU46" s="525">
        <v>0</v>
      </c>
      <c r="EV46" s="525">
        <v>0</v>
      </c>
      <c r="EW46" s="525">
        <v>0</v>
      </c>
      <c r="EX46" s="525">
        <v>0</v>
      </c>
      <c r="EY46" s="525">
        <v>0</v>
      </c>
      <c r="EZ46" s="525">
        <v>0</v>
      </c>
      <c r="FA46" s="525">
        <v>0</v>
      </c>
      <c r="FB46" s="525">
        <v>16.62</v>
      </c>
      <c r="FC46" s="525">
        <v>9.8000000000000007</v>
      </c>
      <c r="FD46" s="525">
        <v>4.18</v>
      </c>
      <c r="FE46" s="525">
        <v>0</v>
      </c>
      <c r="FF46" s="525">
        <v>2.64</v>
      </c>
      <c r="FG46" s="525">
        <v>0</v>
      </c>
      <c r="FH46" s="525">
        <v>0</v>
      </c>
      <c r="FI46" s="525">
        <v>2.64</v>
      </c>
      <c r="FJ46" s="525">
        <v>0</v>
      </c>
      <c r="FK46" s="525">
        <v>0</v>
      </c>
      <c r="FL46" s="525">
        <v>0</v>
      </c>
      <c r="FM46" s="525">
        <v>5.88</v>
      </c>
      <c r="FN46" s="525">
        <v>5.88</v>
      </c>
      <c r="FO46" s="525">
        <v>0</v>
      </c>
      <c r="FP46" s="525">
        <v>0</v>
      </c>
      <c r="FQ46" s="525">
        <v>116.566</v>
      </c>
      <c r="FR46" s="525">
        <v>0</v>
      </c>
      <c r="FS46" s="527">
        <v>11352.490637840001</v>
      </c>
      <c r="FT46" s="525">
        <v>0</v>
      </c>
      <c r="FU46" s="525">
        <v>0</v>
      </c>
      <c r="FV46" s="525">
        <v>0</v>
      </c>
      <c r="FW46" s="525">
        <v>0</v>
      </c>
      <c r="FX46" s="525">
        <v>0</v>
      </c>
      <c r="FY46" s="525">
        <v>0</v>
      </c>
      <c r="FZ46" s="525">
        <v>0</v>
      </c>
      <c r="GA46" s="525">
        <v>0</v>
      </c>
      <c r="GB46" s="525">
        <v>0</v>
      </c>
      <c r="GC46" s="525">
        <v>0</v>
      </c>
      <c r="GD46" s="525">
        <v>0</v>
      </c>
      <c r="GE46" s="525">
        <v>0</v>
      </c>
      <c r="GF46" s="525">
        <v>0</v>
      </c>
      <c r="GG46" s="525">
        <v>0</v>
      </c>
      <c r="GH46" s="525">
        <v>124.16000000000001</v>
      </c>
      <c r="GI46" s="525">
        <v>0</v>
      </c>
      <c r="GJ46" s="526"/>
      <c r="GK46" s="525">
        <v>124.16000000000001</v>
      </c>
      <c r="GL46" s="526"/>
      <c r="GM46" s="525">
        <v>0</v>
      </c>
      <c r="GN46" s="525">
        <v>0</v>
      </c>
      <c r="GO46" s="526"/>
      <c r="GP46" s="526"/>
      <c r="GQ46" s="525">
        <v>0</v>
      </c>
      <c r="GR46" s="526"/>
      <c r="GS46" s="526"/>
      <c r="GT46" s="525">
        <v>0</v>
      </c>
      <c r="GU46" s="525">
        <v>0</v>
      </c>
      <c r="GV46" s="525">
        <v>0</v>
      </c>
      <c r="GW46" s="525">
        <v>0</v>
      </c>
      <c r="GX46" s="525">
        <v>0</v>
      </c>
      <c r="GY46" s="525">
        <v>0</v>
      </c>
      <c r="GZ46" s="525">
        <v>0</v>
      </c>
      <c r="HA46" s="525">
        <v>0</v>
      </c>
      <c r="HB46" s="525">
        <v>0</v>
      </c>
      <c r="HC46" s="525">
        <v>0</v>
      </c>
      <c r="HD46" s="525">
        <v>0</v>
      </c>
      <c r="HE46" s="525">
        <v>0</v>
      </c>
      <c r="HF46" s="525">
        <v>0</v>
      </c>
      <c r="HG46" s="525">
        <v>0</v>
      </c>
      <c r="HH46" s="525">
        <v>0</v>
      </c>
      <c r="HI46" s="525">
        <v>0</v>
      </c>
      <c r="HJ46" s="525">
        <v>0</v>
      </c>
      <c r="HK46" s="525">
        <v>0</v>
      </c>
      <c r="HL46" s="526"/>
      <c r="HM46" s="526"/>
      <c r="HN46" s="526"/>
      <c r="HO46" s="526"/>
      <c r="HP46" s="526"/>
      <c r="HQ46" s="526"/>
      <c r="HR46" s="526"/>
      <c r="HS46" s="526"/>
      <c r="HT46" s="526"/>
      <c r="HU46" s="526"/>
      <c r="HV46" s="526"/>
      <c r="HW46" s="526"/>
      <c r="HX46" s="526"/>
      <c r="HY46" s="526"/>
      <c r="HZ46" s="526"/>
      <c r="IA46" s="526"/>
      <c r="IB46" s="526"/>
      <c r="IC46" s="526"/>
      <c r="ID46" s="526"/>
      <c r="IE46" s="526"/>
      <c r="IF46" s="526"/>
      <c r="IG46" s="526"/>
      <c r="IH46" s="526"/>
      <c r="II46" s="526"/>
      <c r="IJ46" s="526"/>
      <c r="IK46" s="526"/>
      <c r="IL46" s="526"/>
      <c r="IM46" s="526"/>
      <c r="IN46" s="526"/>
      <c r="IO46" s="526"/>
      <c r="IP46" s="526"/>
      <c r="IQ46" s="526"/>
      <c r="IR46" s="526"/>
      <c r="IS46" s="526"/>
      <c r="IT46" s="526"/>
      <c r="IU46" s="526"/>
      <c r="IV46" s="526"/>
      <c r="IW46" s="526"/>
      <c r="IX46" s="526"/>
      <c r="IY46" s="526"/>
      <c r="IZ46" s="526"/>
      <c r="JA46" s="526"/>
      <c r="JB46" s="526"/>
      <c r="JC46" s="526"/>
      <c r="JD46" s="526"/>
      <c r="JE46" s="526"/>
      <c r="JF46" s="526"/>
      <c r="JG46" s="526"/>
      <c r="JH46" s="526"/>
      <c r="JI46" s="526"/>
      <c r="JJ46" s="526"/>
      <c r="JK46" s="526"/>
      <c r="JL46" s="526"/>
      <c r="JM46" s="526"/>
      <c r="JN46" s="525">
        <v>3060.91</v>
      </c>
      <c r="JO46" s="525">
        <v>732.97919999999999</v>
      </c>
      <c r="JP46" s="525">
        <v>7558.6014378400005</v>
      </c>
      <c r="JQ46" s="525">
        <v>0</v>
      </c>
      <c r="JR46" s="525">
        <v>124.16000000000001</v>
      </c>
      <c r="JS46" s="527">
        <v>11656.11063784</v>
      </c>
      <c r="JT46" s="528">
        <f t="shared" si="10"/>
        <v>179.45999999999987</v>
      </c>
      <c r="JU46" s="525">
        <v>11656.11063784</v>
      </c>
      <c r="JV46" s="525">
        <v>11656.11063784</v>
      </c>
      <c r="JW46" s="525">
        <v>11656.11063784</v>
      </c>
      <c r="JX46" s="525">
        <v>4365.57</v>
      </c>
      <c r="JY46" s="525">
        <v>4365.57</v>
      </c>
      <c r="JZ46" s="526"/>
      <c r="KA46" s="525">
        <v>4365.57</v>
      </c>
      <c r="KB46" s="529">
        <v>1.0936807081447943</v>
      </c>
      <c r="KC46" s="525">
        <v>-7.3825999970722478E-4</v>
      </c>
      <c r="KD46" s="525">
        <v>11656.1113761</v>
      </c>
      <c r="KE46" s="525">
        <v>4365.57</v>
      </c>
      <c r="KF46" s="525">
        <v>0</v>
      </c>
      <c r="KG46" s="530">
        <v>0</v>
      </c>
      <c r="KH46" s="525">
        <v>0</v>
      </c>
      <c r="KI46" s="525">
        <v>4756.2845219999999</v>
      </c>
      <c r="KJ46" s="530">
        <v>2669.9699797911753</v>
      </c>
      <c r="KK46" s="525">
        <v>1781.4</v>
      </c>
      <c r="KL46" s="525">
        <v>6340.8245540999997</v>
      </c>
      <c r="KM46" s="530">
        <v>2670.7542232022133</v>
      </c>
      <c r="KN46" s="525">
        <v>2374.17</v>
      </c>
      <c r="KO46" s="525">
        <v>559.00229999999999</v>
      </c>
      <c r="KP46" s="530">
        <v>2661.9157142857143</v>
      </c>
      <c r="KQ46" s="525">
        <v>210</v>
      </c>
      <c r="KR46" s="526"/>
      <c r="KS46" s="526"/>
      <c r="KT46" s="531">
        <v>12710</v>
      </c>
      <c r="KU46" s="531">
        <v>59</v>
      </c>
      <c r="KV46" s="526"/>
      <c r="KW46" s="531">
        <v>841</v>
      </c>
      <c r="KX46" s="531">
        <v>7.12</v>
      </c>
      <c r="KY46" s="531">
        <v>5.07</v>
      </c>
      <c r="KZ46" s="526"/>
      <c r="LA46" s="531">
        <v>2374</v>
      </c>
      <c r="LB46" s="532">
        <v>396</v>
      </c>
      <c r="LC46" s="533">
        <v>0.28499999999999998</v>
      </c>
      <c r="LD46" s="494">
        <f t="shared" si="11"/>
        <v>12004.682483898401</v>
      </c>
      <c r="LE46" s="509">
        <f t="shared" si="12"/>
        <v>12004.682483898401</v>
      </c>
      <c r="LF46" s="534">
        <f t="shared" si="13"/>
        <v>7793.3958821464012</v>
      </c>
      <c r="LG46" s="535">
        <f t="shared" si="14"/>
        <v>6309.0368298680014</v>
      </c>
      <c r="LH46" s="536">
        <f t="shared" si="31"/>
        <v>1.03</v>
      </c>
      <c r="LI46" s="537">
        <f t="shared" si="15"/>
        <v>6309.0368298680014</v>
      </c>
      <c r="LJ46" s="536">
        <f t="shared" si="32"/>
        <v>1.0389999999999999</v>
      </c>
      <c r="LK46" s="537">
        <f t="shared" si="16"/>
        <v>0</v>
      </c>
      <c r="LL46" s="536">
        <f t="shared" si="33"/>
        <v>1.0349999999999999</v>
      </c>
      <c r="LM46" s="537">
        <f t="shared" si="17"/>
        <v>0</v>
      </c>
      <c r="LN46" s="536">
        <f t="shared" si="34"/>
        <v>1.0349999999999999</v>
      </c>
      <c r="LO46" s="537">
        <f t="shared" si="18"/>
        <v>0</v>
      </c>
      <c r="LP46" s="536">
        <f t="shared" si="35"/>
        <v>1.0349999999999999</v>
      </c>
      <c r="LQ46" s="537">
        <f t="shared" si="19"/>
        <v>1303.4434893984001</v>
      </c>
      <c r="LR46" s="536">
        <f t="shared" si="36"/>
        <v>1.04</v>
      </c>
      <c r="LS46" s="537">
        <f t="shared" si="20"/>
        <v>180.91556288000001</v>
      </c>
      <c r="LT46" s="539">
        <f t="shared" si="21"/>
        <v>3148.4826350999997</v>
      </c>
      <c r="LU46" s="540">
        <f t="shared" si="22"/>
        <v>2022.8644259999999</v>
      </c>
      <c r="LV46" s="541">
        <f t="shared" si="23"/>
        <v>1125.6182090999998</v>
      </c>
      <c r="LW46" s="542">
        <f t="shared" si="24"/>
        <v>754.83836665199999</v>
      </c>
      <c r="LX46" s="540">
        <f t="shared" si="25"/>
        <v>610.90505665199998</v>
      </c>
      <c r="LY46" s="540">
        <f t="shared" si="26"/>
        <v>6.085799999999999</v>
      </c>
      <c r="LZ46" s="543">
        <f t="shared" si="27"/>
        <v>137.84751000000003</v>
      </c>
      <c r="MA46" s="544">
        <f t="shared" si="28"/>
        <v>179.45999999999987</v>
      </c>
      <c r="MB46" s="545">
        <f t="shared" si="29"/>
        <v>128.50560000000002</v>
      </c>
    </row>
    <row r="47" spans="1:340" ht="16.5" customHeight="1">
      <c r="A47" s="465">
        <v>1</v>
      </c>
      <c r="B47" s="466">
        <v>37</v>
      </c>
      <c r="C47" s="467" t="s">
        <v>38</v>
      </c>
      <c r="D47" s="468">
        <v>4625004944</v>
      </c>
      <c r="E47" s="469">
        <f t="shared" si="3"/>
        <v>27811.385423583473</v>
      </c>
      <c r="F47" s="470" t="s">
        <v>287</v>
      </c>
      <c r="G47" s="595">
        <v>27811.373394500006</v>
      </c>
      <c r="H47" s="595">
        <f t="shared" si="30"/>
        <v>1.2029083467496093E-2</v>
      </c>
      <c r="I47" s="595"/>
      <c r="J47" s="471">
        <f t="shared" si="4"/>
        <v>27811.385423583473</v>
      </c>
      <c r="K47" s="472">
        <f t="shared" si="5"/>
        <v>14969.515469183478</v>
      </c>
      <c r="L47" s="473">
        <f t="shared" si="6"/>
        <v>11893.471235384479</v>
      </c>
      <c r="M47" s="474">
        <v>11893.471235384479</v>
      </c>
      <c r="N47" s="475">
        <v>0</v>
      </c>
      <c r="O47" s="475">
        <v>0</v>
      </c>
      <c r="P47" s="476">
        <v>0</v>
      </c>
      <c r="Q47" s="477">
        <v>2964.6054507989998</v>
      </c>
      <c r="R47" s="478">
        <f t="shared" si="7"/>
        <v>111.438783</v>
      </c>
      <c r="S47" s="479">
        <f t="shared" si="8"/>
        <v>9703.3559823999985</v>
      </c>
      <c r="T47" s="479">
        <v>7119.6859999999997</v>
      </c>
      <c r="U47" s="480">
        <v>2583.6699823999988</v>
      </c>
      <c r="V47" s="481">
        <f t="shared" si="9"/>
        <v>2723.0059720000004</v>
      </c>
      <c r="W47" s="482">
        <v>2150.145172</v>
      </c>
      <c r="X47" s="479">
        <v>0</v>
      </c>
      <c r="Y47" s="483">
        <v>572.86080000000038</v>
      </c>
      <c r="Z47" s="484">
        <v>313.97999999999797</v>
      </c>
      <c r="AA47" s="485">
        <v>101.52800000000001</v>
      </c>
      <c r="AB47" s="486"/>
      <c r="AC47" s="487">
        <v>11893.471235384479</v>
      </c>
      <c r="AD47" s="487">
        <v>11893.471235384479</v>
      </c>
      <c r="AE47" s="487">
        <v>0</v>
      </c>
      <c r="AF47" s="487">
        <v>0</v>
      </c>
      <c r="AG47" s="487">
        <v>0</v>
      </c>
      <c r="AH47" s="487">
        <v>2964.6054507989998</v>
      </c>
      <c r="AI47" s="487">
        <v>2964.6054507989998</v>
      </c>
      <c r="AJ47" s="487">
        <v>0</v>
      </c>
      <c r="AK47" s="487">
        <v>0</v>
      </c>
      <c r="AL47" s="487">
        <v>0</v>
      </c>
      <c r="AM47" s="487">
        <v>0</v>
      </c>
      <c r="AN47" s="487">
        <v>0</v>
      </c>
      <c r="AO47" s="487">
        <v>0</v>
      </c>
      <c r="AP47" s="487">
        <v>0</v>
      </c>
      <c r="AQ47" s="487">
        <v>0</v>
      </c>
      <c r="AR47" s="487">
        <v>0</v>
      </c>
      <c r="AS47" s="487">
        <v>0</v>
      </c>
      <c r="AT47" s="487">
        <v>0</v>
      </c>
      <c r="AU47" s="487">
        <v>0</v>
      </c>
      <c r="AV47" s="487">
        <v>0</v>
      </c>
      <c r="AW47" s="487">
        <v>0</v>
      </c>
      <c r="AX47" s="487">
        <v>0</v>
      </c>
      <c r="AY47" s="487">
        <v>0</v>
      </c>
      <c r="AZ47" s="487">
        <v>0</v>
      </c>
      <c r="BA47" s="487">
        <v>2964.6054507989998</v>
      </c>
      <c r="BB47" s="487">
        <v>328.15700000000004</v>
      </c>
      <c r="BC47" s="487">
        <v>0</v>
      </c>
      <c r="BD47" s="487">
        <v>2964.6054507989998</v>
      </c>
      <c r="BE47" s="487">
        <v>9.0341069999999988</v>
      </c>
      <c r="BF47" s="487">
        <v>328.15700000000004</v>
      </c>
      <c r="BG47" s="487">
        <v>0</v>
      </c>
      <c r="BH47" s="487">
        <v>0</v>
      </c>
      <c r="BI47" s="487">
        <v>0</v>
      </c>
      <c r="BJ47" s="487">
        <v>0</v>
      </c>
      <c r="BK47" s="487">
        <v>0</v>
      </c>
      <c r="BL47" s="487">
        <v>0</v>
      </c>
      <c r="BM47" s="487">
        <v>0</v>
      </c>
      <c r="BN47" s="487">
        <v>0</v>
      </c>
      <c r="BO47" s="487">
        <v>0</v>
      </c>
      <c r="BP47" s="487">
        <v>0</v>
      </c>
      <c r="BQ47" s="487">
        <v>0</v>
      </c>
      <c r="BR47" s="487">
        <v>0</v>
      </c>
      <c r="BS47" s="487">
        <v>0</v>
      </c>
      <c r="BT47" s="487">
        <v>0</v>
      </c>
      <c r="BU47" s="487">
        <v>0</v>
      </c>
      <c r="BV47" s="487">
        <v>0</v>
      </c>
      <c r="BW47" s="487">
        <v>0</v>
      </c>
      <c r="BX47" s="487">
        <v>0</v>
      </c>
      <c r="BY47" s="487">
        <v>0</v>
      </c>
      <c r="BZ47" s="487">
        <v>0</v>
      </c>
      <c r="CA47" s="487">
        <v>0</v>
      </c>
      <c r="CB47" s="487">
        <v>0</v>
      </c>
      <c r="CC47" s="487">
        <v>0</v>
      </c>
      <c r="CD47" s="487">
        <v>0</v>
      </c>
      <c r="CE47" s="487">
        <v>0</v>
      </c>
      <c r="CF47" s="487">
        <v>0</v>
      </c>
      <c r="CG47" s="487">
        <v>0</v>
      </c>
      <c r="CH47" s="487">
        <v>0</v>
      </c>
      <c r="CI47" s="487">
        <v>0</v>
      </c>
      <c r="CJ47" s="487">
        <v>0</v>
      </c>
      <c r="CK47" s="487">
        <v>0</v>
      </c>
      <c r="CL47" s="487">
        <v>0</v>
      </c>
      <c r="CM47" s="487">
        <v>7119.6859999999997</v>
      </c>
      <c r="CN47" s="487">
        <v>3918.2</v>
      </c>
      <c r="CO47" s="487">
        <v>0</v>
      </c>
      <c r="CP47" s="487">
        <v>1542.066</v>
      </c>
      <c r="CQ47" s="487">
        <v>1659.42</v>
      </c>
      <c r="CR47" s="487">
        <v>0</v>
      </c>
      <c r="CS47" s="487">
        <v>2150.145172</v>
      </c>
      <c r="CT47" s="487">
        <v>1183.2963999999999</v>
      </c>
      <c r="CU47" s="487">
        <v>0</v>
      </c>
      <c r="CV47" s="487">
        <v>465.70393200000001</v>
      </c>
      <c r="CW47" s="487">
        <v>501.14484000000004</v>
      </c>
      <c r="CX47" s="487">
        <v>0</v>
      </c>
      <c r="CY47" s="487">
        <v>111.438783</v>
      </c>
      <c r="CZ47" s="467"/>
      <c r="DA47" s="487">
        <v>3.2005000000000003</v>
      </c>
      <c r="DB47" s="487">
        <v>0</v>
      </c>
      <c r="DC47" s="467"/>
      <c r="DD47" s="487">
        <v>0</v>
      </c>
      <c r="DE47" s="487">
        <v>0</v>
      </c>
      <c r="DF47" s="487">
        <v>0</v>
      </c>
      <c r="DG47" s="487">
        <v>1173.9017600000002</v>
      </c>
      <c r="DH47" s="487">
        <v>44.203360000000004</v>
      </c>
      <c r="DI47" s="487">
        <v>0</v>
      </c>
      <c r="DJ47" s="487">
        <v>510.2360000000001</v>
      </c>
      <c r="DK47" s="487">
        <v>0</v>
      </c>
      <c r="DL47" s="487">
        <v>0</v>
      </c>
      <c r="DM47" s="487">
        <v>0</v>
      </c>
      <c r="DN47" s="487">
        <v>619.4624</v>
      </c>
      <c r="DO47" s="487">
        <v>0</v>
      </c>
      <c r="DP47" s="487">
        <v>574.33600000000001</v>
      </c>
      <c r="DQ47" s="487">
        <v>0</v>
      </c>
      <c r="DR47" s="487">
        <v>0</v>
      </c>
      <c r="DS47" s="487">
        <v>0</v>
      </c>
      <c r="DT47" s="487">
        <v>574.33600000000001</v>
      </c>
      <c r="DU47" s="487">
        <v>641.08204799999999</v>
      </c>
      <c r="DV47" s="487">
        <v>136.19968000000003</v>
      </c>
      <c r="DW47" s="487">
        <v>0</v>
      </c>
      <c r="DX47" s="487">
        <v>271.16863999999998</v>
      </c>
      <c r="DY47" s="487">
        <v>0</v>
      </c>
      <c r="DZ47" s="487">
        <v>0</v>
      </c>
      <c r="EA47" s="487">
        <v>0</v>
      </c>
      <c r="EB47" s="487">
        <v>0</v>
      </c>
      <c r="EC47" s="487">
        <v>0</v>
      </c>
      <c r="ED47" s="487">
        <v>0</v>
      </c>
      <c r="EE47" s="487">
        <v>0</v>
      </c>
      <c r="EF47" s="487">
        <v>0</v>
      </c>
      <c r="EG47" s="487">
        <v>233.71372799999997</v>
      </c>
      <c r="EH47" s="487">
        <v>26.299999999989726</v>
      </c>
      <c r="EI47" s="487">
        <v>0</v>
      </c>
      <c r="EJ47" s="487">
        <v>26.299999999989726</v>
      </c>
      <c r="EK47" s="487">
        <v>0</v>
      </c>
      <c r="EL47" s="487">
        <v>5.3331200000000019</v>
      </c>
      <c r="EM47" s="487">
        <v>6.665374400000001</v>
      </c>
      <c r="EN47" s="487">
        <v>0</v>
      </c>
      <c r="EO47" s="487">
        <v>0</v>
      </c>
      <c r="EP47" s="487">
        <v>182.35168000000002</v>
      </c>
      <c r="EQ47" s="487">
        <v>0</v>
      </c>
      <c r="ER47" s="487">
        <v>182.35168000000002</v>
      </c>
      <c r="ES47" s="487">
        <v>43.589999999999996</v>
      </c>
      <c r="ET47" s="487">
        <v>26.3</v>
      </c>
      <c r="EU47" s="487">
        <v>26.3</v>
      </c>
      <c r="EV47" s="487">
        <v>0</v>
      </c>
      <c r="EW47" s="487">
        <v>0</v>
      </c>
      <c r="EX47" s="487">
        <v>0</v>
      </c>
      <c r="EY47" s="487">
        <v>0</v>
      </c>
      <c r="EZ47" s="487">
        <v>0</v>
      </c>
      <c r="FA47" s="487">
        <v>0</v>
      </c>
      <c r="FB47" s="487">
        <v>29.878999999999998</v>
      </c>
      <c r="FC47" s="487">
        <v>0</v>
      </c>
      <c r="FD47" s="487">
        <v>11.879</v>
      </c>
      <c r="FE47" s="487">
        <v>0</v>
      </c>
      <c r="FF47" s="487">
        <v>18</v>
      </c>
      <c r="FG47" s="487">
        <v>0</v>
      </c>
      <c r="FH47" s="487">
        <v>0</v>
      </c>
      <c r="FI47" s="487">
        <v>18</v>
      </c>
      <c r="FJ47" s="487">
        <v>0</v>
      </c>
      <c r="FK47" s="487">
        <v>0</v>
      </c>
      <c r="FL47" s="487">
        <v>0</v>
      </c>
      <c r="FM47" s="487">
        <v>0</v>
      </c>
      <c r="FN47" s="487">
        <v>0</v>
      </c>
      <c r="FO47" s="487">
        <v>0</v>
      </c>
      <c r="FP47" s="487">
        <v>121.03379999999999</v>
      </c>
      <c r="FQ47" s="487">
        <v>352.05799999999999</v>
      </c>
      <c r="FR47" s="487">
        <v>0</v>
      </c>
      <c r="FS47" s="488">
        <v>27395.877423583479</v>
      </c>
      <c r="FT47" s="487">
        <v>0</v>
      </c>
      <c r="FU47" s="487">
        <v>0</v>
      </c>
      <c r="FV47" s="487">
        <v>0</v>
      </c>
      <c r="FW47" s="487">
        <v>0</v>
      </c>
      <c r="FX47" s="487">
        <v>0</v>
      </c>
      <c r="FY47" s="487">
        <v>0</v>
      </c>
      <c r="FZ47" s="487">
        <v>0</v>
      </c>
      <c r="GA47" s="487">
        <v>0</v>
      </c>
      <c r="GB47" s="487">
        <v>0</v>
      </c>
      <c r="GC47" s="487">
        <v>0</v>
      </c>
      <c r="GD47" s="487">
        <v>0</v>
      </c>
      <c r="GE47" s="487">
        <v>0</v>
      </c>
      <c r="GF47" s="487">
        <v>0</v>
      </c>
      <c r="GG47" s="487">
        <v>0</v>
      </c>
      <c r="GH47" s="487">
        <v>101.52800000000001</v>
      </c>
      <c r="GI47" s="487">
        <v>0</v>
      </c>
      <c r="GJ47" s="467"/>
      <c r="GK47" s="487">
        <v>101.52800000000001</v>
      </c>
      <c r="GL47" s="467"/>
      <c r="GM47" s="487">
        <v>0</v>
      </c>
      <c r="GN47" s="487">
        <v>0</v>
      </c>
      <c r="GO47" s="467"/>
      <c r="GP47" s="467"/>
      <c r="GQ47" s="487">
        <v>0</v>
      </c>
      <c r="GR47" s="467"/>
      <c r="GS47" s="467"/>
      <c r="GT47" s="487">
        <v>0</v>
      </c>
      <c r="GU47" s="487">
        <v>0</v>
      </c>
      <c r="GV47" s="487">
        <v>0</v>
      </c>
      <c r="GW47" s="487">
        <v>0</v>
      </c>
      <c r="GX47" s="487">
        <v>0</v>
      </c>
      <c r="GY47" s="487">
        <v>0</v>
      </c>
      <c r="GZ47" s="487">
        <v>0</v>
      </c>
      <c r="HA47" s="487">
        <v>0</v>
      </c>
      <c r="HB47" s="487">
        <v>0</v>
      </c>
      <c r="HC47" s="487">
        <v>0</v>
      </c>
      <c r="HD47" s="487">
        <v>0</v>
      </c>
      <c r="HE47" s="487">
        <v>0</v>
      </c>
      <c r="HF47" s="487">
        <v>0</v>
      </c>
      <c r="HG47" s="487">
        <v>0</v>
      </c>
      <c r="HH47" s="487">
        <v>0</v>
      </c>
      <c r="HI47" s="487">
        <v>0</v>
      </c>
      <c r="HJ47" s="487">
        <v>0</v>
      </c>
      <c r="HK47" s="487">
        <v>0</v>
      </c>
      <c r="HL47" s="467"/>
      <c r="HM47" s="467"/>
      <c r="HN47" s="467"/>
      <c r="HO47" s="467"/>
      <c r="HP47" s="467"/>
      <c r="HQ47" s="467"/>
      <c r="HR47" s="467"/>
      <c r="HS47" s="467"/>
      <c r="HT47" s="467"/>
      <c r="HU47" s="467"/>
      <c r="HV47" s="467"/>
      <c r="HW47" s="467"/>
      <c r="HX47" s="467"/>
      <c r="HY47" s="467"/>
      <c r="HZ47" s="467"/>
      <c r="IA47" s="467"/>
      <c r="IB47" s="467"/>
      <c r="IC47" s="467"/>
      <c r="ID47" s="467"/>
      <c r="IE47" s="467"/>
      <c r="IF47" s="467"/>
      <c r="IG47" s="467"/>
      <c r="IH47" s="467"/>
      <c r="II47" s="467"/>
      <c r="IJ47" s="467"/>
      <c r="IK47" s="467"/>
      <c r="IL47" s="467"/>
      <c r="IM47" s="467"/>
      <c r="IN47" s="467"/>
      <c r="IO47" s="467"/>
      <c r="IP47" s="467"/>
      <c r="IQ47" s="467"/>
      <c r="IR47" s="467"/>
      <c r="IS47" s="467"/>
      <c r="IT47" s="467"/>
      <c r="IU47" s="467"/>
      <c r="IV47" s="467"/>
      <c r="IW47" s="467"/>
      <c r="IX47" s="467"/>
      <c r="IY47" s="467"/>
      <c r="IZ47" s="467"/>
      <c r="JA47" s="467"/>
      <c r="JB47" s="467"/>
      <c r="JC47" s="467"/>
      <c r="JD47" s="467"/>
      <c r="JE47" s="467"/>
      <c r="JF47" s="467"/>
      <c r="JG47" s="467"/>
      <c r="JH47" s="467"/>
      <c r="JI47" s="467"/>
      <c r="JJ47" s="467"/>
      <c r="JK47" s="467"/>
      <c r="JL47" s="467"/>
      <c r="JM47" s="467"/>
      <c r="JN47" s="487">
        <v>9703.3559823999985</v>
      </c>
      <c r="JO47" s="487">
        <v>2723.0059720000004</v>
      </c>
      <c r="JP47" s="487">
        <v>14969.515469183478</v>
      </c>
      <c r="JQ47" s="487">
        <v>0</v>
      </c>
      <c r="JR47" s="487">
        <v>101.52800000000001</v>
      </c>
      <c r="JS47" s="488">
        <v>27811.385423583477</v>
      </c>
      <c r="JT47" s="489">
        <f t="shared" si="10"/>
        <v>313.97999999999797</v>
      </c>
      <c r="JU47" s="487">
        <v>27811.385423583477</v>
      </c>
      <c r="JV47" s="487">
        <v>27811.385423583477</v>
      </c>
      <c r="JW47" s="487">
        <v>27811.385423583477</v>
      </c>
      <c r="JX47" s="487">
        <v>10850.63</v>
      </c>
      <c r="JY47" s="487">
        <v>10850.63</v>
      </c>
      <c r="JZ47" s="467"/>
      <c r="KA47" s="487">
        <v>10850.63</v>
      </c>
      <c r="KB47" s="490">
        <v>0.37059590547226129</v>
      </c>
      <c r="KC47" s="487">
        <v>1.2029083475681546E-2</v>
      </c>
      <c r="KD47" s="487">
        <v>27811.373394500002</v>
      </c>
      <c r="KE47" s="487">
        <v>10850.63</v>
      </c>
      <c r="KF47" s="487">
        <v>0</v>
      </c>
      <c r="KG47" s="491">
        <v>0</v>
      </c>
      <c r="KH47" s="487">
        <v>0</v>
      </c>
      <c r="KI47" s="487">
        <v>11383.155277000002</v>
      </c>
      <c r="KJ47" s="491">
        <v>2564.8250582445962</v>
      </c>
      <c r="KK47" s="487">
        <v>4438.18</v>
      </c>
      <c r="KL47" s="487">
        <v>10169.072037500002</v>
      </c>
      <c r="KM47" s="491">
        <v>2563.2546568781904</v>
      </c>
      <c r="KN47" s="487">
        <v>3967.25</v>
      </c>
      <c r="KO47" s="487">
        <v>6259.1460800000004</v>
      </c>
      <c r="KP47" s="491">
        <v>2559.7685588090958</v>
      </c>
      <c r="KQ47" s="487">
        <v>2445.1999999999998</v>
      </c>
      <c r="KR47" s="467"/>
      <c r="KS47" s="467"/>
      <c r="KT47" s="487">
        <v>3905.8</v>
      </c>
      <c r="KU47" s="487">
        <v>96</v>
      </c>
      <c r="KV47" s="467"/>
      <c r="KW47" s="487">
        <v>8341</v>
      </c>
      <c r="KX47" s="487">
        <v>8.6340000000000003</v>
      </c>
      <c r="KY47" s="487">
        <v>7.5</v>
      </c>
      <c r="KZ47" s="467"/>
      <c r="LA47" s="487">
        <v>624.9</v>
      </c>
      <c r="LB47" s="492">
        <v>1467</v>
      </c>
      <c r="LC47" s="493">
        <v>0.53500000000000003</v>
      </c>
      <c r="LD47" s="494">
        <f t="shared" si="11"/>
        <v>28639.140578770362</v>
      </c>
      <c r="LE47" s="471">
        <f t="shared" si="12"/>
        <v>28639.140578770362</v>
      </c>
      <c r="LF47" s="495">
        <f t="shared" si="13"/>
        <v>15434.538348342978</v>
      </c>
      <c r="LG47" s="476">
        <f t="shared" si="14"/>
        <v>12250.275372446014</v>
      </c>
      <c r="LH47" s="496">
        <f t="shared" si="31"/>
        <v>1.03</v>
      </c>
      <c r="LI47" s="497">
        <f t="shared" si="15"/>
        <v>12250.275372446014</v>
      </c>
      <c r="LJ47" s="496">
        <f t="shared" si="32"/>
        <v>1.0389999999999999</v>
      </c>
      <c r="LK47" s="497">
        <f t="shared" si="16"/>
        <v>0</v>
      </c>
      <c r="LL47" s="496">
        <f t="shared" si="33"/>
        <v>1.0349999999999999</v>
      </c>
      <c r="LM47" s="497">
        <f t="shared" si="17"/>
        <v>0</v>
      </c>
      <c r="LN47" s="496">
        <f t="shared" si="34"/>
        <v>1.0349999999999999</v>
      </c>
      <c r="LO47" s="497">
        <f t="shared" si="18"/>
        <v>0</v>
      </c>
      <c r="LP47" s="496">
        <f t="shared" si="35"/>
        <v>1.0349999999999999</v>
      </c>
      <c r="LQ47" s="497">
        <f t="shared" si="19"/>
        <v>3068.3666415769644</v>
      </c>
      <c r="LR47" s="496">
        <f t="shared" si="36"/>
        <v>1.04</v>
      </c>
      <c r="LS47" s="497">
        <f t="shared" si="20"/>
        <v>115.89633432000001</v>
      </c>
      <c r="LT47" s="499">
        <f t="shared" si="21"/>
        <v>9980.9689970564614</v>
      </c>
      <c r="LU47" s="500">
        <f t="shared" si="22"/>
        <v>7323.3802164599992</v>
      </c>
      <c r="LV47" s="501">
        <f t="shared" si="23"/>
        <v>2657.5887805964626</v>
      </c>
      <c r="LW47" s="499">
        <f t="shared" si="24"/>
        <v>2804.5717533709199</v>
      </c>
      <c r="LX47" s="500">
        <f t="shared" si="25"/>
        <v>2211.6608253709196</v>
      </c>
      <c r="LY47" s="500">
        <f t="shared" si="26"/>
        <v>0</v>
      </c>
      <c r="LZ47" s="502">
        <f t="shared" si="27"/>
        <v>592.91092800000035</v>
      </c>
      <c r="MA47" s="503">
        <f t="shared" si="28"/>
        <v>313.97999999999797</v>
      </c>
      <c r="MB47" s="504">
        <f t="shared" si="29"/>
        <v>105.08148</v>
      </c>
    </row>
    <row r="48" spans="1:340" ht="16.5" customHeight="1">
      <c r="A48" s="505">
        <v>1</v>
      </c>
      <c r="B48" s="506">
        <v>38</v>
      </c>
      <c r="C48" s="507" t="s">
        <v>306</v>
      </c>
      <c r="D48" s="508">
        <v>4626006207</v>
      </c>
      <c r="E48" s="469">
        <f t="shared" si="3"/>
        <v>22582.019027111248</v>
      </c>
      <c r="F48" s="470" t="s">
        <v>287</v>
      </c>
      <c r="G48" s="595">
        <v>22582.046269999999</v>
      </c>
      <c r="H48" s="595">
        <f t="shared" si="30"/>
        <v>-2.72428887510614E-2</v>
      </c>
      <c r="I48" s="595"/>
      <c r="J48" s="509">
        <f t="shared" si="4"/>
        <v>22582.019027111248</v>
      </c>
      <c r="K48" s="510">
        <f t="shared" si="5"/>
        <v>13971.5835439</v>
      </c>
      <c r="L48" s="511">
        <f t="shared" si="6"/>
        <v>10684.054351300001</v>
      </c>
      <c r="M48" s="512">
        <v>10684.054351300001</v>
      </c>
      <c r="N48" s="513">
        <v>0</v>
      </c>
      <c r="O48" s="513">
        <v>0</v>
      </c>
      <c r="P48" s="514">
        <v>0</v>
      </c>
      <c r="Q48" s="515">
        <v>2945.3483136000004</v>
      </c>
      <c r="R48" s="516">
        <f t="shared" si="7"/>
        <v>342.180879</v>
      </c>
      <c r="S48" s="517">
        <f t="shared" si="8"/>
        <v>4696.1419999999998</v>
      </c>
      <c r="T48" s="518">
        <v>3826.3159999999998</v>
      </c>
      <c r="U48" s="519">
        <v>869.82600000000002</v>
      </c>
      <c r="V48" s="520">
        <f t="shared" si="9"/>
        <v>1692.2674320000001</v>
      </c>
      <c r="W48" s="521">
        <v>1155.5474320000001</v>
      </c>
      <c r="X48" s="518">
        <v>0</v>
      </c>
      <c r="Y48" s="522">
        <v>536.72</v>
      </c>
      <c r="Z48" s="523">
        <v>2168.4600000000009</v>
      </c>
      <c r="AA48" s="524">
        <v>53.566051211246396</v>
      </c>
      <c r="AB48" s="486"/>
      <c r="AC48" s="525">
        <v>10684.054351300001</v>
      </c>
      <c r="AD48" s="525">
        <v>10684.054351300001</v>
      </c>
      <c r="AE48" s="525">
        <v>0</v>
      </c>
      <c r="AF48" s="525">
        <v>0</v>
      </c>
      <c r="AG48" s="525">
        <v>0</v>
      </c>
      <c r="AH48" s="525">
        <v>2945.3483136000004</v>
      </c>
      <c r="AI48" s="525">
        <v>2945.3483136000004</v>
      </c>
      <c r="AJ48" s="525">
        <v>0</v>
      </c>
      <c r="AK48" s="525">
        <v>0</v>
      </c>
      <c r="AL48" s="525">
        <v>0</v>
      </c>
      <c r="AM48" s="525">
        <v>0</v>
      </c>
      <c r="AN48" s="525">
        <v>0</v>
      </c>
      <c r="AO48" s="525">
        <v>0</v>
      </c>
      <c r="AP48" s="525">
        <v>0</v>
      </c>
      <c r="AQ48" s="525">
        <v>0</v>
      </c>
      <c r="AR48" s="525">
        <v>0</v>
      </c>
      <c r="AS48" s="525">
        <v>0</v>
      </c>
      <c r="AT48" s="525">
        <v>0</v>
      </c>
      <c r="AU48" s="525">
        <v>0</v>
      </c>
      <c r="AV48" s="525">
        <v>0</v>
      </c>
      <c r="AW48" s="525">
        <v>0</v>
      </c>
      <c r="AX48" s="525">
        <v>0</v>
      </c>
      <c r="AY48" s="525">
        <v>0</v>
      </c>
      <c r="AZ48" s="525">
        <v>0</v>
      </c>
      <c r="BA48" s="525">
        <v>2945.3483136000004</v>
      </c>
      <c r="BB48" s="525">
        <v>296.12799999999999</v>
      </c>
      <c r="BC48" s="525">
        <v>0</v>
      </c>
      <c r="BD48" s="525">
        <v>2945.3483136000004</v>
      </c>
      <c r="BE48" s="525">
        <v>9.9462000000000028</v>
      </c>
      <c r="BF48" s="525">
        <v>296.12799999999999</v>
      </c>
      <c r="BG48" s="525">
        <v>0</v>
      </c>
      <c r="BH48" s="525">
        <v>0</v>
      </c>
      <c r="BI48" s="525">
        <v>0</v>
      </c>
      <c r="BJ48" s="525">
        <v>0</v>
      </c>
      <c r="BK48" s="525">
        <v>0</v>
      </c>
      <c r="BL48" s="525">
        <v>0</v>
      </c>
      <c r="BM48" s="525">
        <v>0</v>
      </c>
      <c r="BN48" s="525">
        <v>0</v>
      </c>
      <c r="BO48" s="525">
        <v>0</v>
      </c>
      <c r="BP48" s="525">
        <v>0</v>
      </c>
      <c r="BQ48" s="525">
        <v>0</v>
      </c>
      <c r="BR48" s="525">
        <v>0</v>
      </c>
      <c r="BS48" s="525">
        <v>0</v>
      </c>
      <c r="BT48" s="525">
        <v>0</v>
      </c>
      <c r="BU48" s="525">
        <v>0</v>
      </c>
      <c r="BV48" s="525">
        <v>0</v>
      </c>
      <c r="BW48" s="525">
        <v>0</v>
      </c>
      <c r="BX48" s="525">
        <v>0</v>
      </c>
      <c r="BY48" s="525">
        <v>0</v>
      </c>
      <c r="BZ48" s="525">
        <v>0</v>
      </c>
      <c r="CA48" s="525">
        <v>0</v>
      </c>
      <c r="CB48" s="525">
        <v>0</v>
      </c>
      <c r="CC48" s="525">
        <v>0</v>
      </c>
      <c r="CD48" s="525">
        <v>0</v>
      </c>
      <c r="CE48" s="525">
        <v>0</v>
      </c>
      <c r="CF48" s="525">
        <v>0</v>
      </c>
      <c r="CG48" s="525">
        <v>0</v>
      </c>
      <c r="CH48" s="525">
        <v>0</v>
      </c>
      <c r="CI48" s="525">
        <v>0</v>
      </c>
      <c r="CJ48" s="525">
        <v>0</v>
      </c>
      <c r="CK48" s="525">
        <v>0</v>
      </c>
      <c r="CL48" s="525">
        <v>0</v>
      </c>
      <c r="CM48" s="525">
        <v>3826.3159999999998</v>
      </c>
      <c r="CN48" s="525">
        <v>2194.288</v>
      </c>
      <c r="CO48" s="525">
        <v>0</v>
      </c>
      <c r="CP48" s="525">
        <v>141.608</v>
      </c>
      <c r="CQ48" s="525">
        <v>1490.42</v>
      </c>
      <c r="CR48" s="525">
        <v>0</v>
      </c>
      <c r="CS48" s="525">
        <v>1155.5474320000001</v>
      </c>
      <c r="CT48" s="525">
        <v>662.6749759999999</v>
      </c>
      <c r="CU48" s="525">
        <v>0</v>
      </c>
      <c r="CV48" s="525">
        <v>42.765616000000001</v>
      </c>
      <c r="CW48" s="525">
        <v>450.10683999999998</v>
      </c>
      <c r="CX48" s="525">
        <v>0</v>
      </c>
      <c r="CY48" s="525">
        <v>342.180879</v>
      </c>
      <c r="CZ48" s="526"/>
      <c r="DA48" s="525">
        <v>10.681700000000001</v>
      </c>
      <c r="DB48" s="525">
        <v>0</v>
      </c>
      <c r="DC48" s="526"/>
      <c r="DD48" s="525">
        <v>0</v>
      </c>
      <c r="DE48" s="525">
        <v>0</v>
      </c>
      <c r="DF48" s="525">
        <v>0</v>
      </c>
      <c r="DG48" s="525">
        <v>533.06599999999992</v>
      </c>
      <c r="DH48" s="525">
        <v>114.72799999999999</v>
      </c>
      <c r="DI48" s="525">
        <v>0</v>
      </c>
      <c r="DJ48" s="525">
        <v>418.33800000000002</v>
      </c>
      <c r="DK48" s="525">
        <v>0</v>
      </c>
      <c r="DL48" s="525">
        <v>0</v>
      </c>
      <c r="DM48" s="525">
        <v>0</v>
      </c>
      <c r="DN48" s="525">
        <v>0</v>
      </c>
      <c r="DO48" s="525">
        <v>0</v>
      </c>
      <c r="DP48" s="525">
        <v>0</v>
      </c>
      <c r="DQ48" s="525">
        <v>0</v>
      </c>
      <c r="DR48" s="525">
        <v>0</v>
      </c>
      <c r="DS48" s="525">
        <v>0</v>
      </c>
      <c r="DT48" s="525">
        <v>0</v>
      </c>
      <c r="DU48" s="525">
        <v>174.65800000000002</v>
      </c>
      <c r="DV48" s="525">
        <v>49.158000000000001</v>
      </c>
      <c r="DW48" s="525">
        <v>0</v>
      </c>
      <c r="DX48" s="525">
        <v>0</v>
      </c>
      <c r="DY48" s="525">
        <v>0</v>
      </c>
      <c r="DZ48" s="525">
        <v>0</v>
      </c>
      <c r="EA48" s="525">
        <v>0</v>
      </c>
      <c r="EB48" s="525">
        <v>0</v>
      </c>
      <c r="EC48" s="525">
        <v>0</v>
      </c>
      <c r="ED48" s="525">
        <v>0</v>
      </c>
      <c r="EE48" s="525">
        <v>0</v>
      </c>
      <c r="EF48" s="525">
        <v>0</v>
      </c>
      <c r="EG48" s="525">
        <v>125.5</v>
      </c>
      <c r="EH48" s="525">
        <v>136</v>
      </c>
      <c r="EI48" s="525">
        <v>0</v>
      </c>
      <c r="EJ48" s="525">
        <v>136</v>
      </c>
      <c r="EK48" s="525">
        <v>0</v>
      </c>
      <c r="EL48" s="525">
        <v>20.911999999999999</v>
      </c>
      <c r="EM48" s="525">
        <v>0</v>
      </c>
      <c r="EN48" s="525">
        <v>0</v>
      </c>
      <c r="EO48" s="525">
        <v>0</v>
      </c>
      <c r="EP48" s="525">
        <v>141.19</v>
      </c>
      <c r="EQ48" s="525">
        <v>0</v>
      </c>
      <c r="ER48" s="525">
        <v>141.19</v>
      </c>
      <c r="ES48" s="525">
        <v>0</v>
      </c>
      <c r="ET48" s="525">
        <v>136</v>
      </c>
      <c r="EU48" s="525">
        <v>136</v>
      </c>
      <c r="EV48" s="525">
        <v>0</v>
      </c>
      <c r="EW48" s="525">
        <v>0</v>
      </c>
      <c r="EX48" s="525">
        <v>0</v>
      </c>
      <c r="EY48" s="525">
        <v>0</v>
      </c>
      <c r="EZ48" s="525">
        <v>0</v>
      </c>
      <c r="FA48" s="525">
        <v>0</v>
      </c>
      <c r="FB48" s="525">
        <v>0</v>
      </c>
      <c r="FC48" s="525">
        <v>0</v>
      </c>
      <c r="FD48" s="525">
        <v>0</v>
      </c>
      <c r="FE48" s="525">
        <v>0</v>
      </c>
      <c r="FF48" s="525">
        <v>0</v>
      </c>
      <c r="FG48" s="525">
        <v>0</v>
      </c>
      <c r="FH48" s="525">
        <v>0</v>
      </c>
      <c r="FI48" s="525">
        <v>0</v>
      </c>
      <c r="FJ48" s="525">
        <v>0</v>
      </c>
      <c r="FK48" s="525">
        <v>0</v>
      </c>
      <c r="FL48" s="525">
        <v>0</v>
      </c>
      <c r="FM48" s="525">
        <v>0</v>
      </c>
      <c r="FN48" s="525">
        <v>0</v>
      </c>
      <c r="FO48" s="525">
        <v>0</v>
      </c>
      <c r="FP48" s="525">
        <v>0</v>
      </c>
      <c r="FQ48" s="525">
        <v>400.71999999999997</v>
      </c>
      <c r="FR48" s="525">
        <v>0</v>
      </c>
      <c r="FS48" s="527">
        <v>20359.992975900001</v>
      </c>
      <c r="FT48" s="525">
        <v>0</v>
      </c>
      <c r="FU48" s="525">
        <v>0</v>
      </c>
      <c r="FV48" s="525">
        <v>0</v>
      </c>
      <c r="FW48" s="525">
        <v>0</v>
      </c>
      <c r="FX48" s="525">
        <v>0</v>
      </c>
      <c r="FY48" s="525">
        <v>0</v>
      </c>
      <c r="FZ48" s="525">
        <v>0</v>
      </c>
      <c r="GA48" s="525">
        <v>0</v>
      </c>
      <c r="GB48" s="525">
        <v>0</v>
      </c>
      <c r="GC48" s="525">
        <v>0</v>
      </c>
      <c r="GD48" s="525">
        <v>0</v>
      </c>
      <c r="GE48" s="525">
        <v>0</v>
      </c>
      <c r="GF48" s="525">
        <v>0</v>
      </c>
      <c r="GG48" s="525">
        <v>0</v>
      </c>
      <c r="GH48" s="525">
        <v>53.566051211246396</v>
      </c>
      <c r="GI48" s="525">
        <v>0</v>
      </c>
      <c r="GJ48" s="526"/>
      <c r="GK48" s="525">
        <v>53.566051211246396</v>
      </c>
      <c r="GL48" s="526"/>
      <c r="GM48" s="525">
        <v>0</v>
      </c>
      <c r="GN48" s="525">
        <v>53.56</v>
      </c>
      <c r="GO48" s="526"/>
      <c r="GP48" s="526"/>
      <c r="GQ48" s="525">
        <v>0</v>
      </c>
      <c r="GR48" s="526"/>
      <c r="GS48" s="526"/>
      <c r="GT48" s="525">
        <v>0</v>
      </c>
      <c r="GU48" s="525">
        <v>0</v>
      </c>
      <c r="GV48" s="525">
        <v>0</v>
      </c>
      <c r="GW48" s="525">
        <v>0</v>
      </c>
      <c r="GX48" s="525">
        <v>0</v>
      </c>
      <c r="GY48" s="525">
        <v>0</v>
      </c>
      <c r="GZ48" s="525">
        <v>0</v>
      </c>
      <c r="HA48" s="525">
        <v>0</v>
      </c>
      <c r="HB48" s="525">
        <v>0</v>
      </c>
      <c r="HC48" s="525">
        <v>0</v>
      </c>
      <c r="HD48" s="525">
        <v>0</v>
      </c>
      <c r="HE48" s="525">
        <v>0</v>
      </c>
      <c r="HF48" s="525">
        <v>0</v>
      </c>
      <c r="HG48" s="525">
        <v>0</v>
      </c>
      <c r="HH48" s="525">
        <v>0</v>
      </c>
      <c r="HI48" s="525">
        <v>0</v>
      </c>
      <c r="HJ48" s="525">
        <v>0</v>
      </c>
      <c r="HK48" s="525">
        <v>0</v>
      </c>
      <c r="HL48" s="526"/>
      <c r="HM48" s="526"/>
      <c r="HN48" s="526"/>
      <c r="HO48" s="526"/>
      <c r="HP48" s="526"/>
      <c r="HQ48" s="526"/>
      <c r="HR48" s="526"/>
      <c r="HS48" s="526"/>
      <c r="HT48" s="526"/>
      <c r="HU48" s="526"/>
      <c r="HV48" s="526"/>
      <c r="HW48" s="526"/>
      <c r="HX48" s="526"/>
      <c r="HY48" s="526"/>
      <c r="HZ48" s="526"/>
      <c r="IA48" s="526"/>
      <c r="IB48" s="526"/>
      <c r="IC48" s="526"/>
      <c r="ID48" s="526"/>
      <c r="IE48" s="526"/>
      <c r="IF48" s="526"/>
      <c r="IG48" s="526"/>
      <c r="IH48" s="526"/>
      <c r="II48" s="526"/>
      <c r="IJ48" s="526"/>
      <c r="IK48" s="526"/>
      <c r="IL48" s="526"/>
      <c r="IM48" s="526"/>
      <c r="IN48" s="526"/>
      <c r="IO48" s="526"/>
      <c r="IP48" s="526"/>
      <c r="IQ48" s="526"/>
      <c r="IR48" s="526"/>
      <c r="IS48" s="526"/>
      <c r="IT48" s="526"/>
      <c r="IU48" s="526"/>
      <c r="IV48" s="526"/>
      <c r="IW48" s="526"/>
      <c r="IX48" s="526"/>
      <c r="IY48" s="526"/>
      <c r="IZ48" s="526"/>
      <c r="JA48" s="526"/>
      <c r="JB48" s="526"/>
      <c r="JC48" s="526"/>
      <c r="JD48" s="526"/>
      <c r="JE48" s="526"/>
      <c r="JF48" s="526"/>
      <c r="JG48" s="526"/>
      <c r="JH48" s="526"/>
      <c r="JI48" s="526"/>
      <c r="JJ48" s="526"/>
      <c r="JK48" s="526"/>
      <c r="JL48" s="526"/>
      <c r="JM48" s="526"/>
      <c r="JN48" s="525">
        <v>4696.1419999999998</v>
      </c>
      <c r="JO48" s="525">
        <v>1692.2674320000001</v>
      </c>
      <c r="JP48" s="525">
        <v>13971.5835439</v>
      </c>
      <c r="JQ48" s="525">
        <v>0</v>
      </c>
      <c r="JR48" s="525">
        <v>53.566051211246396</v>
      </c>
      <c r="JS48" s="527">
        <v>22582.019027111248</v>
      </c>
      <c r="JT48" s="528">
        <f t="shared" si="10"/>
        <v>2168.4600000000009</v>
      </c>
      <c r="JU48" s="525">
        <v>22582.019027111248</v>
      </c>
      <c r="JV48" s="525">
        <v>22582.019027111248</v>
      </c>
      <c r="JW48" s="525">
        <v>22582.019027111248</v>
      </c>
      <c r="JX48" s="525">
        <v>7967</v>
      </c>
      <c r="JY48" s="525">
        <v>7967</v>
      </c>
      <c r="JZ48" s="526"/>
      <c r="KA48" s="525">
        <v>7967</v>
      </c>
      <c r="KB48" s="529">
        <v>0.26309464484910283</v>
      </c>
      <c r="KC48" s="525">
        <v>-2.72428887510614E-2</v>
      </c>
      <c r="KD48" s="525">
        <v>22582.046269999999</v>
      </c>
      <c r="KE48" s="525">
        <v>7967</v>
      </c>
      <c r="KF48" s="525">
        <v>0</v>
      </c>
      <c r="KG48" s="530">
        <v>0</v>
      </c>
      <c r="KH48" s="525">
        <v>0</v>
      </c>
      <c r="KI48" s="525">
        <v>7746.2010399999999</v>
      </c>
      <c r="KJ48" s="530">
        <v>2825.0186141502554</v>
      </c>
      <c r="KK48" s="525">
        <v>2742</v>
      </c>
      <c r="KL48" s="525">
        <v>12505.353080000001</v>
      </c>
      <c r="KM48" s="530">
        <v>2842.1257000000001</v>
      </c>
      <c r="KN48" s="525">
        <v>4400</v>
      </c>
      <c r="KO48" s="525">
        <v>2330.49215</v>
      </c>
      <c r="KP48" s="530">
        <v>2824.8389696969698</v>
      </c>
      <c r="KQ48" s="525">
        <v>825</v>
      </c>
      <c r="KR48" s="526"/>
      <c r="KS48" s="526"/>
      <c r="KT48" s="531">
        <v>5340</v>
      </c>
      <c r="KU48" s="531">
        <v>80</v>
      </c>
      <c r="KV48" s="526"/>
      <c r="KW48" s="531">
        <v>3408</v>
      </c>
      <c r="KX48" s="531">
        <v>12.2</v>
      </c>
      <c r="KY48" s="531">
        <v>3.8</v>
      </c>
      <c r="KZ48" s="526"/>
      <c r="LA48" s="531">
        <v>836.26599999999996</v>
      </c>
      <c r="LB48" s="532">
        <v>1872</v>
      </c>
      <c r="LC48" s="533">
        <v>0.624</v>
      </c>
      <c r="LD48" s="494">
        <f t="shared" si="11"/>
        <v>23207.391930228165</v>
      </c>
      <c r="LE48" s="509">
        <f t="shared" si="12"/>
        <v>23207.391930228165</v>
      </c>
      <c r="LF48" s="534">
        <f t="shared" si="13"/>
        <v>14408.879600575001</v>
      </c>
      <c r="LG48" s="535">
        <f t="shared" si="14"/>
        <v>11004.575981839002</v>
      </c>
      <c r="LH48" s="536">
        <f t="shared" si="31"/>
        <v>1.03</v>
      </c>
      <c r="LI48" s="537">
        <f t="shared" si="15"/>
        <v>11004.575981839002</v>
      </c>
      <c r="LJ48" s="536">
        <f t="shared" si="32"/>
        <v>1.0389999999999999</v>
      </c>
      <c r="LK48" s="537">
        <f t="shared" si="16"/>
        <v>0</v>
      </c>
      <c r="LL48" s="536">
        <f t="shared" si="33"/>
        <v>1.0349999999999999</v>
      </c>
      <c r="LM48" s="537">
        <f t="shared" si="17"/>
        <v>0</v>
      </c>
      <c r="LN48" s="536">
        <f t="shared" si="34"/>
        <v>1.0349999999999999</v>
      </c>
      <c r="LO48" s="537">
        <f t="shared" si="18"/>
        <v>0</v>
      </c>
      <c r="LP48" s="536">
        <f t="shared" si="35"/>
        <v>1.0349999999999999</v>
      </c>
      <c r="LQ48" s="537">
        <f t="shared" si="19"/>
        <v>3048.4355045760003</v>
      </c>
      <c r="LR48" s="536">
        <f t="shared" si="36"/>
        <v>1.04</v>
      </c>
      <c r="LS48" s="537">
        <f t="shared" si="20"/>
        <v>355.86811416</v>
      </c>
      <c r="LT48" s="539">
        <f t="shared" si="21"/>
        <v>4830.4986226199999</v>
      </c>
      <c r="LU48" s="540">
        <f t="shared" si="22"/>
        <v>3935.7869007599998</v>
      </c>
      <c r="LV48" s="541">
        <f t="shared" si="23"/>
        <v>894.7117218599999</v>
      </c>
      <c r="LW48" s="542">
        <f t="shared" si="24"/>
        <v>1744.1128440295197</v>
      </c>
      <c r="LX48" s="540">
        <f t="shared" si="25"/>
        <v>1188.6076440295199</v>
      </c>
      <c r="LY48" s="540">
        <f t="shared" si="26"/>
        <v>0</v>
      </c>
      <c r="LZ48" s="543">
        <f t="shared" si="27"/>
        <v>555.50519999999995</v>
      </c>
      <c r="MA48" s="544">
        <f t="shared" si="28"/>
        <v>2168.4600000000009</v>
      </c>
      <c r="MB48" s="545">
        <f t="shared" si="29"/>
        <v>55.440863003640018</v>
      </c>
    </row>
    <row r="49" spans="1:340" ht="16.5" customHeight="1">
      <c r="A49" s="465">
        <v>1</v>
      </c>
      <c r="B49" s="466">
        <v>39</v>
      </c>
      <c r="C49" s="467" t="s">
        <v>50</v>
      </c>
      <c r="D49" s="468">
        <v>4632032678</v>
      </c>
      <c r="E49" s="469">
        <f t="shared" si="3"/>
        <v>16778.441815627197</v>
      </c>
      <c r="F49" s="470" t="s">
        <v>281</v>
      </c>
      <c r="G49" s="595">
        <v>16778.41128</v>
      </c>
      <c r="H49" s="597">
        <f t="shared" si="30"/>
        <v>3.0535627196513815E-2</v>
      </c>
      <c r="I49" s="597"/>
      <c r="J49" s="471">
        <f t="shared" si="4"/>
        <v>13982.034846355999</v>
      </c>
      <c r="K49" s="472">
        <f t="shared" si="5"/>
        <v>7957.3950277959993</v>
      </c>
      <c r="L49" s="473">
        <f t="shared" si="6"/>
        <v>6934.3557621959999</v>
      </c>
      <c r="M49" s="474">
        <v>6934.3557621959999</v>
      </c>
      <c r="N49" s="475">
        <v>0</v>
      </c>
      <c r="O49" s="475">
        <v>0</v>
      </c>
      <c r="P49" s="476">
        <v>0</v>
      </c>
      <c r="Q49" s="477">
        <v>864.49219999999991</v>
      </c>
      <c r="R49" s="478">
        <f t="shared" si="7"/>
        <v>158.5470656</v>
      </c>
      <c r="S49" s="479">
        <f t="shared" si="8"/>
        <v>3816.6465377599998</v>
      </c>
      <c r="T49" s="479">
        <v>2512.7067999999999</v>
      </c>
      <c r="U49" s="480">
        <v>1303.9397377599998</v>
      </c>
      <c r="V49" s="481">
        <f t="shared" si="9"/>
        <v>896.15188080000007</v>
      </c>
      <c r="W49" s="482">
        <v>768.88828079999996</v>
      </c>
      <c r="X49" s="479">
        <v>64.937700000000007</v>
      </c>
      <c r="Y49" s="483">
        <v>62.32589999999999</v>
      </c>
      <c r="Z49" s="484">
        <v>1016.6499999999994</v>
      </c>
      <c r="AA49" s="485">
        <v>295.19139999999999</v>
      </c>
      <c r="AB49" s="486"/>
      <c r="AC49" s="487">
        <v>6934.3557621959999</v>
      </c>
      <c r="AD49" s="487">
        <v>6934.3557621959999</v>
      </c>
      <c r="AE49" s="487">
        <v>0</v>
      </c>
      <c r="AF49" s="487">
        <v>0</v>
      </c>
      <c r="AG49" s="487">
        <v>0</v>
      </c>
      <c r="AH49" s="487">
        <v>864.49219999999991</v>
      </c>
      <c r="AI49" s="487">
        <v>864.49219999999991</v>
      </c>
      <c r="AJ49" s="487">
        <v>0</v>
      </c>
      <c r="AK49" s="487">
        <v>0</v>
      </c>
      <c r="AL49" s="487">
        <v>0</v>
      </c>
      <c r="AM49" s="487">
        <v>0</v>
      </c>
      <c r="AN49" s="487">
        <v>0</v>
      </c>
      <c r="AO49" s="487">
        <v>0</v>
      </c>
      <c r="AP49" s="487">
        <v>0</v>
      </c>
      <c r="AQ49" s="487">
        <v>0</v>
      </c>
      <c r="AR49" s="487">
        <v>0</v>
      </c>
      <c r="AS49" s="487">
        <v>0</v>
      </c>
      <c r="AT49" s="487">
        <v>0</v>
      </c>
      <c r="AU49" s="487">
        <v>0</v>
      </c>
      <c r="AV49" s="487">
        <v>0</v>
      </c>
      <c r="AW49" s="487">
        <v>0</v>
      </c>
      <c r="AX49" s="487">
        <v>0</v>
      </c>
      <c r="AY49" s="487">
        <v>0</v>
      </c>
      <c r="AZ49" s="487">
        <v>0</v>
      </c>
      <c r="BA49" s="487">
        <v>864.49219999999991</v>
      </c>
      <c r="BB49" s="487">
        <v>173.68</v>
      </c>
      <c r="BC49" s="487">
        <v>0</v>
      </c>
      <c r="BD49" s="487">
        <v>0</v>
      </c>
      <c r="BE49" s="487">
        <v>0</v>
      </c>
      <c r="BF49" s="487">
        <v>0</v>
      </c>
      <c r="BG49" s="487">
        <v>0</v>
      </c>
      <c r="BH49" s="487">
        <v>0</v>
      </c>
      <c r="BI49" s="487">
        <v>0</v>
      </c>
      <c r="BJ49" s="487">
        <v>864.49219999999991</v>
      </c>
      <c r="BK49" s="487">
        <v>4.9774999999999991</v>
      </c>
      <c r="BL49" s="487">
        <v>173.68</v>
      </c>
      <c r="BM49" s="487">
        <v>0</v>
      </c>
      <c r="BN49" s="487">
        <v>0</v>
      </c>
      <c r="BO49" s="487">
        <v>0</v>
      </c>
      <c r="BP49" s="487">
        <v>0</v>
      </c>
      <c r="BQ49" s="487">
        <v>0</v>
      </c>
      <c r="BR49" s="487">
        <v>0</v>
      </c>
      <c r="BS49" s="487">
        <v>0</v>
      </c>
      <c r="BT49" s="487">
        <v>0</v>
      </c>
      <c r="BU49" s="487">
        <v>0</v>
      </c>
      <c r="BV49" s="487">
        <v>0</v>
      </c>
      <c r="BW49" s="487">
        <v>0</v>
      </c>
      <c r="BX49" s="487">
        <v>0</v>
      </c>
      <c r="BY49" s="487">
        <v>0</v>
      </c>
      <c r="BZ49" s="487">
        <v>0</v>
      </c>
      <c r="CA49" s="487">
        <v>0</v>
      </c>
      <c r="CB49" s="487">
        <v>0</v>
      </c>
      <c r="CC49" s="487">
        <v>0</v>
      </c>
      <c r="CD49" s="487">
        <v>0</v>
      </c>
      <c r="CE49" s="487">
        <v>0</v>
      </c>
      <c r="CF49" s="487">
        <v>0</v>
      </c>
      <c r="CG49" s="487">
        <v>0</v>
      </c>
      <c r="CH49" s="487">
        <v>0</v>
      </c>
      <c r="CI49" s="487">
        <v>0</v>
      </c>
      <c r="CJ49" s="487">
        <v>0</v>
      </c>
      <c r="CK49" s="487">
        <v>0</v>
      </c>
      <c r="CL49" s="487">
        <v>0</v>
      </c>
      <c r="CM49" s="487">
        <v>2512.7067999999999</v>
      </c>
      <c r="CN49" s="487">
        <v>1643.2388000000001</v>
      </c>
      <c r="CO49" s="487">
        <v>0</v>
      </c>
      <c r="CP49" s="487">
        <v>869.46800000000007</v>
      </c>
      <c r="CQ49" s="487">
        <v>0</v>
      </c>
      <c r="CR49" s="487">
        <v>0</v>
      </c>
      <c r="CS49" s="487">
        <v>768.88828079999996</v>
      </c>
      <c r="CT49" s="487">
        <v>502.83107280000007</v>
      </c>
      <c r="CU49" s="487">
        <v>0</v>
      </c>
      <c r="CV49" s="487">
        <v>266.057208</v>
      </c>
      <c r="CW49" s="487">
        <v>0</v>
      </c>
      <c r="CX49" s="487">
        <v>0</v>
      </c>
      <c r="CY49" s="487">
        <v>158.5470656</v>
      </c>
      <c r="CZ49" s="467"/>
      <c r="DA49" s="487">
        <v>7.3479999999999999</v>
      </c>
      <c r="DB49" s="487">
        <v>0</v>
      </c>
      <c r="DC49" s="467"/>
      <c r="DD49" s="487">
        <v>0</v>
      </c>
      <c r="DE49" s="487">
        <v>0</v>
      </c>
      <c r="DF49" s="487">
        <v>0</v>
      </c>
      <c r="DG49" s="487">
        <v>429.32518528000003</v>
      </c>
      <c r="DH49" s="487">
        <v>36.435465600000008</v>
      </c>
      <c r="DI49" s="487">
        <v>0</v>
      </c>
      <c r="DJ49" s="487">
        <v>392.88971968000004</v>
      </c>
      <c r="DK49" s="487">
        <v>0</v>
      </c>
      <c r="DL49" s="487">
        <v>0</v>
      </c>
      <c r="DM49" s="487">
        <v>0</v>
      </c>
      <c r="DN49" s="487">
        <v>0</v>
      </c>
      <c r="DO49" s="487">
        <v>0</v>
      </c>
      <c r="DP49" s="487">
        <v>354.52735680000001</v>
      </c>
      <c r="DQ49" s="487">
        <v>0</v>
      </c>
      <c r="DR49" s="487">
        <v>0</v>
      </c>
      <c r="DS49" s="487">
        <v>0</v>
      </c>
      <c r="DT49" s="487">
        <v>354.52735680000001</v>
      </c>
      <c r="DU49" s="487">
        <v>449.99092272000007</v>
      </c>
      <c r="DV49" s="487">
        <v>2.0916086400000005</v>
      </c>
      <c r="DW49" s="487">
        <v>129.05227360000001</v>
      </c>
      <c r="DX49" s="487">
        <v>0</v>
      </c>
      <c r="DY49" s="487">
        <v>0</v>
      </c>
      <c r="DZ49" s="487">
        <v>0</v>
      </c>
      <c r="EA49" s="487">
        <v>240.26690176000002</v>
      </c>
      <c r="EB49" s="487">
        <v>0</v>
      </c>
      <c r="EC49" s="487">
        <v>0</v>
      </c>
      <c r="ED49" s="487">
        <v>0</v>
      </c>
      <c r="EE49" s="487">
        <v>0</v>
      </c>
      <c r="EF49" s="487">
        <v>0</v>
      </c>
      <c r="EG49" s="487">
        <v>78.580138720000008</v>
      </c>
      <c r="EH49" s="487">
        <v>0</v>
      </c>
      <c r="EI49" s="487">
        <v>0</v>
      </c>
      <c r="EJ49" s="487">
        <v>0</v>
      </c>
      <c r="EK49" s="487">
        <v>0</v>
      </c>
      <c r="EL49" s="487">
        <v>0</v>
      </c>
      <c r="EM49" s="487">
        <v>16.110124800000001</v>
      </c>
      <c r="EN49" s="487">
        <v>0</v>
      </c>
      <c r="EO49" s="487">
        <v>0</v>
      </c>
      <c r="EP49" s="487">
        <v>53.986148159999999</v>
      </c>
      <c r="EQ49" s="487">
        <v>0</v>
      </c>
      <c r="ER49" s="487">
        <v>53.986148159999999</v>
      </c>
      <c r="ES49" s="487">
        <v>38.404900000000005</v>
      </c>
      <c r="ET49" s="487">
        <v>0</v>
      </c>
      <c r="EU49" s="487">
        <v>0</v>
      </c>
      <c r="EV49" s="487">
        <v>0</v>
      </c>
      <c r="EW49" s="487">
        <v>0</v>
      </c>
      <c r="EX49" s="487">
        <v>0</v>
      </c>
      <c r="EY49" s="487">
        <v>0</v>
      </c>
      <c r="EZ49" s="487">
        <v>0</v>
      </c>
      <c r="FA49" s="487">
        <v>0</v>
      </c>
      <c r="FB49" s="487">
        <v>16.321999999999999</v>
      </c>
      <c r="FC49" s="487">
        <v>0</v>
      </c>
      <c r="FD49" s="487">
        <v>15.940000000000001</v>
      </c>
      <c r="FE49" s="487">
        <v>0</v>
      </c>
      <c r="FF49" s="487">
        <v>0.38200000000000006</v>
      </c>
      <c r="FG49" s="487">
        <v>0.38200000000000006</v>
      </c>
      <c r="FH49" s="487">
        <v>0</v>
      </c>
      <c r="FI49" s="487">
        <v>0</v>
      </c>
      <c r="FJ49" s="487">
        <v>0</v>
      </c>
      <c r="FK49" s="487">
        <v>0</v>
      </c>
      <c r="FL49" s="487">
        <v>0</v>
      </c>
      <c r="FM49" s="487">
        <v>64.937700000000007</v>
      </c>
      <c r="FN49" s="487">
        <v>64.937700000000007</v>
      </c>
      <c r="FO49" s="487">
        <v>0</v>
      </c>
      <c r="FP49" s="487">
        <v>0</v>
      </c>
      <c r="FQ49" s="487">
        <v>7.5989999999999984</v>
      </c>
      <c r="FR49" s="487">
        <v>0</v>
      </c>
      <c r="FS49" s="488">
        <v>12670.193446355999</v>
      </c>
      <c r="FT49" s="487">
        <v>0</v>
      </c>
      <c r="FU49" s="487">
        <v>0</v>
      </c>
      <c r="FV49" s="487">
        <v>0</v>
      </c>
      <c r="FW49" s="487">
        <v>0</v>
      </c>
      <c r="FX49" s="487">
        <v>0</v>
      </c>
      <c r="FY49" s="487">
        <v>0</v>
      </c>
      <c r="FZ49" s="487">
        <v>0</v>
      </c>
      <c r="GA49" s="487">
        <v>0</v>
      </c>
      <c r="GB49" s="487">
        <v>0</v>
      </c>
      <c r="GC49" s="487">
        <v>0</v>
      </c>
      <c r="GD49" s="487">
        <v>0</v>
      </c>
      <c r="GE49" s="487">
        <v>0</v>
      </c>
      <c r="GF49" s="487">
        <v>0</v>
      </c>
      <c r="GG49" s="487">
        <v>0</v>
      </c>
      <c r="GH49" s="487">
        <v>295.19139999999999</v>
      </c>
      <c r="GI49" s="487">
        <v>295.19139999999999</v>
      </c>
      <c r="GJ49" s="467"/>
      <c r="GK49" s="487">
        <v>0</v>
      </c>
      <c r="GL49" s="467"/>
      <c r="GM49" s="487">
        <v>0</v>
      </c>
      <c r="GN49" s="487">
        <v>0</v>
      </c>
      <c r="GO49" s="467"/>
      <c r="GP49" s="467"/>
      <c r="GQ49" s="487">
        <v>0</v>
      </c>
      <c r="GR49" s="467"/>
      <c r="GS49" s="467"/>
      <c r="GT49" s="487">
        <v>0</v>
      </c>
      <c r="GU49" s="487">
        <v>0</v>
      </c>
      <c r="GV49" s="487">
        <v>0</v>
      </c>
      <c r="GW49" s="487">
        <v>0</v>
      </c>
      <c r="GX49" s="487">
        <v>0</v>
      </c>
      <c r="GY49" s="487">
        <v>0</v>
      </c>
      <c r="GZ49" s="487">
        <v>0</v>
      </c>
      <c r="HA49" s="487">
        <v>0</v>
      </c>
      <c r="HB49" s="487">
        <v>0</v>
      </c>
      <c r="HC49" s="487">
        <v>0</v>
      </c>
      <c r="HD49" s="487">
        <v>0</v>
      </c>
      <c r="HE49" s="487">
        <v>0</v>
      </c>
      <c r="HF49" s="487">
        <v>0</v>
      </c>
      <c r="HG49" s="487">
        <v>0</v>
      </c>
      <c r="HH49" s="487">
        <v>0</v>
      </c>
      <c r="HI49" s="487">
        <v>0</v>
      </c>
      <c r="HJ49" s="487">
        <v>0</v>
      </c>
      <c r="HK49" s="487">
        <v>0</v>
      </c>
      <c r="HL49" s="467"/>
      <c r="HM49" s="467"/>
      <c r="HN49" s="467"/>
      <c r="HO49" s="467"/>
      <c r="HP49" s="467"/>
      <c r="HQ49" s="467"/>
      <c r="HR49" s="467"/>
      <c r="HS49" s="467"/>
      <c r="HT49" s="467"/>
      <c r="HU49" s="467"/>
      <c r="HV49" s="467"/>
      <c r="HW49" s="467"/>
      <c r="HX49" s="467"/>
      <c r="HY49" s="467"/>
      <c r="HZ49" s="467"/>
      <c r="IA49" s="467"/>
      <c r="IB49" s="467"/>
      <c r="IC49" s="467"/>
      <c r="ID49" s="467"/>
      <c r="IE49" s="467"/>
      <c r="IF49" s="467"/>
      <c r="IG49" s="467"/>
      <c r="IH49" s="467"/>
      <c r="II49" s="467"/>
      <c r="IJ49" s="467"/>
      <c r="IK49" s="467"/>
      <c r="IL49" s="467"/>
      <c r="IM49" s="467"/>
      <c r="IN49" s="467"/>
      <c r="IO49" s="467"/>
      <c r="IP49" s="467"/>
      <c r="IQ49" s="467"/>
      <c r="IR49" s="467"/>
      <c r="IS49" s="467"/>
      <c r="IT49" s="467"/>
      <c r="IU49" s="467"/>
      <c r="IV49" s="467"/>
      <c r="IW49" s="467"/>
      <c r="IX49" s="467"/>
      <c r="IY49" s="467"/>
      <c r="IZ49" s="467"/>
      <c r="JA49" s="467"/>
      <c r="JB49" s="467"/>
      <c r="JC49" s="467"/>
      <c r="JD49" s="467"/>
      <c r="JE49" s="467"/>
      <c r="JF49" s="467"/>
      <c r="JG49" s="467"/>
      <c r="JH49" s="467"/>
      <c r="JI49" s="467"/>
      <c r="JJ49" s="467"/>
      <c r="JK49" s="467"/>
      <c r="JL49" s="467"/>
      <c r="JM49" s="467"/>
      <c r="JN49" s="487">
        <v>3816.6465377599998</v>
      </c>
      <c r="JO49" s="487">
        <v>896.15188079999996</v>
      </c>
      <c r="JP49" s="487">
        <v>7957.3950277959993</v>
      </c>
      <c r="JQ49" s="487">
        <v>0</v>
      </c>
      <c r="JR49" s="487">
        <v>295.19139999999999</v>
      </c>
      <c r="JS49" s="488">
        <v>13982.034846355999</v>
      </c>
      <c r="JT49" s="489">
        <f t="shared" si="10"/>
        <v>1016.6499999999994</v>
      </c>
      <c r="JU49" s="487">
        <v>16778.441815627197</v>
      </c>
      <c r="JV49" s="487">
        <v>13982.034846355999</v>
      </c>
      <c r="JW49" s="487">
        <v>16778.441815627197</v>
      </c>
      <c r="JX49" s="487">
        <v>7767</v>
      </c>
      <c r="JY49" s="487">
        <v>7767</v>
      </c>
      <c r="JZ49" s="467"/>
      <c r="KA49" s="487">
        <v>7767</v>
      </c>
      <c r="KB49" s="490">
        <v>2.3298097321860407</v>
      </c>
      <c r="KC49" s="487">
        <v>4.3863559985766187E-3</v>
      </c>
      <c r="KD49" s="487">
        <v>13982.03046</v>
      </c>
      <c r="KE49" s="487">
        <v>7767</v>
      </c>
      <c r="KF49" s="487">
        <v>0</v>
      </c>
      <c r="KG49" s="491">
        <v>0</v>
      </c>
      <c r="KH49" s="487">
        <v>0</v>
      </c>
      <c r="KI49" s="487">
        <v>1172.9649300000001</v>
      </c>
      <c r="KJ49" s="491">
        <v>1790.7861526717559</v>
      </c>
      <c r="KK49" s="487">
        <v>655</v>
      </c>
      <c r="KL49" s="487">
        <v>0</v>
      </c>
      <c r="KM49" s="491">
        <v>0</v>
      </c>
      <c r="KN49" s="487">
        <v>0</v>
      </c>
      <c r="KO49" s="487">
        <v>12809.06553</v>
      </c>
      <c r="KP49" s="491">
        <v>1801.0497089426322</v>
      </c>
      <c r="KQ49" s="487">
        <v>7112</v>
      </c>
      <c r="KR49" s="467"/>
      <c r="KS49" s="467"/>
      <c r="KT49" s="487">
        <v>11266</v>
      </c>
      <c r="KU49" s="487">
        <v>5</v>
      </c>
      <c r="KV49" s="467"/>
      <c r="KW49" s="487">
        <v>31.58</v>
      </c>
      <c r="KX49" s="487">
        <v>2.02</v>
      </c>
      <c r="KY49" s="487"/>
      <c r="KZ49" s="467"/>
      <c r="LA49" s="487">
        <v>4370.6000000000004</v>
      </c>
      <c r="LB49" s="492"/>
      <c r="LC49" s="493">
        <v>1.4E-2</v>
      </c>
      <c r="LD49" s="494">
        <f t="shared" si="11"/>
        <v>17247.171246005855</v>
      </c>
      <c r="LE49" s="471">
        <f t="shared" si="12"/>
        <v>14372.642705004879</v>
      </c>
      <c r="LF49" s="495">
        <f t="shared" si="13"/>
        <v>8202.0248102858786</v>
      </c>
      <c r="LG49" s="476">
        <f t="shared" si="14"/>
        <v>7142.3864350618796</v>
      </c>
      <c r="LH49" s="496">
        <f t="shared" si="31"/>
        <v>1.03</v>
      </c>
      <c r="LI49" s="497">
        <f t="shared" si="15"/>
        <v>7142.3864350618796</v>
      </c>
      <c r="LJ49" s="496">
        <f t="shared" si="32"/>
        <v>1.0389999999999999</v>
      </c>
      <c r="LK49" s="497">
        <f t="shared" si="16"/>
        <v>0</v>
      </c>
      <c r="LL49" s="496">
        <f t="shared" si="33"/>
        <v>1.0349999999999999</v>
      </c>
      <c r="LM49" s="497">
        <f t="shared" si="17"/>
        <v>0</v>
      </c>
      <c r="LN49" s="496">
        <f t="shared" si="34"/>
        <v>1.0349999999999999</v>
      </c>
      <c r="LO49" s="497">
        <f t="shared" si="18"/>
        <v>0</v>
      </c>
      <c r="LP49" s="496">
        <f t="shared" si="35"/>
        <v>1.0349999999999999</v>
      </c>
      <c r="LQ49" s="497">
        <f t="shared" si="19"/>
        <v>894.74942699999986</v>
      </c>
      <c r="LR49" s="496">
        <f t="shared" si="36"/>
        <v>1.04</v>
      </c>
      <c r="LS49" s="497">
        <f t="shared" si="20"/>
        <v>164.88894822399999</v>
      </c>
      <c r="LT49" s="499">
        <f t="shared" si="21"/>
        <v>3925.840795205313</v>
      </c>
      <c r="LU49" s="500">
        <f t="shared" si="22"/>
        <v>2584.5953415479994</v>
      </c>
      <c r="LV49" s="501">
        <f t="shared" si="23"/>
        <v>1341.2454536573134</v>
      </c>
      <c r="LW49" s="499">
        <f t="shared" si="24"/>
        <v>922.60400051368799</v>
      </c>
      <c r="LX49" s="500">
        <f t="shared" si="25"/>
        <v>790.88617451368793</v>
      </c>
      <c r="LY49" s="500">
        <f t="shared" si="26"/>
        <v>67.210519500000004</v>
      </c>
      <c r="LZ49" s="502">
        <f t="shared" si="27"/>
        <v>64.507306499999984</v>
      </c>
      <c r="MA49" s="503">
        <f t="shared" si="28"/>
        <v>1016.6499999999994</v>
      </c>
      <c r="MB49" s="504">
        <f t="shared" si="29"/>
        <v>305.52309899999995</v>
      </c>
    </row>
    <row r="50" spans="1:340" ht="16.5" customHeight="1">
      <c r="A50" s="505">
        <v>1</v>
      </c>
      <c r="B50" s="506">
        <v>40</v>
      </c>
      <c r="C50" s="507" t="s">
        <v>307</v>
      </c>
      <c r="D50" s="508">
        <v>4632077904</v>
      </c>
      <c r="E50" s="469">
        <f t="shared" si="3"/>
        <v>10241.943883943999</v>
      </c>
      <c r="F50" s="470" t="s">
        <v>281</v>
      </c>
      <c r="G50" s="595">
        <v>10241.942159999999</v>
      </c>
      <c r="H50" s="595">
        <f t="shared" si="30"/>
        <v>1.723944000332267E-3</v>
      </c>
      <c r="I50" s="595"/>
      <c r="J50" s="509">
        <f t="shared" si="4"/>
        <v>8534.9532366200001</v>
      </c>
      <c r="K50" s="510">
        <f t="shared" si="5"/>
        <v>3670.0678137400005</v>
      </c>
      <c r="L50" s="511">
        <f t="shared" si="6"/>
        <v>3670.0678137400005</v>
      </c>
      <c r="M50" s="512">
        <v>3670.0678137400005</v>
      </c>
      <c r="N50" s="513">
        <v>0</v>
      </c>
      <c r="O50" s="513">
        <v>0</v>
      </c>
      <c r="P50" s="514">
        <v>0</v>
      </c>
      <c r="Q50" s="515">
        <v>0</v>
      </c>
      <c r="R50" s="516">
        <f t="shared" si="7"/>
        <v>0</v>
      </c>
      <c r="S50" s="517">
        <f t="shared" si="8"/>
        <v>2473.5095940800002</v>
      </c>
      <c r="T50" s="518">
        <v>963.22969999999998</v>
      </c>
      <c r="U50" s="519">
        <v>1510.2798940800003</v>
      </c>
      <c r="V50" s="520">
        <f t="shared" si="9"/>
        <v>1635.1658288000001</v>
      </c>
      <c r="W50" s="521">
        <v>292.82182879999999</v>
      </c>
      <c r="X50" s="518">
        <v>28.095000000000002</v>
      </c>
      <c r="Y50" s="522">
        <v>1314.249</v>
      </c>
      <c r="Z50" s="523">
        <v>756.20999999999958</v>
      </c>
      <c r="AA50" s="524">
        <v>0</v>
      </c>
      <c r="AB50" s="486"/>
      <c r="AC50" s="525">
        <v>3670.0678137400005</v>
      </c>
      <c r="AD50" s="525">
        <v>3670.0678137400005</v>
      </c>
      <c r="AE50" s="525">
        <v>0</v>
      </c>
      <c r="AF50" s="525">
        <v>0</v>
      </c>
      <c r="AG50" s="525">
        <v>0</v>
      </c>
      <c r="AH50" s="525">
        <v>0</v>
      </c>
      <c r="AI50" s="525">
        <v>0</v>
      </c>
      <c r="AJ50" s="525">
        <v>0</v>
      </c>
      <c r="AK50" s="525">
        <v>0</v>
      </c>
      <c r="AL50" s="525">
        <v>0</v>
      </c>
      <c r="AM50" s="525">
        <v>0</v>
      </c>
      <c r="AN50" s="525">
        <v>0</v>
      </c>
      <c r="AO50" s="525">
        <v>0</v>
      </c>
      <c r="AP50" s="525">
        <v>0</v>
      </c>
      <c r="AQ50" s="525">
        <v>0</v>
      </c>
      <c r="AR50" s="525">
        <v>0</v>
      </c>
      <c r="AS50" s="525">
        <v>0</v>
      </c>
      <c r="AT50" s="525">
        <v>0</v>
      </c>
      <c r="AU50" s="525">
        <v>0</v>
      </c>
      <c r="AV50" s="525">
        <v>0</v>
      </c>
      <c r="AW50" s="525">
        <v>0</v>
      </c>
      <c r="AX50" s="525">
        <v>0</v>
      </c>
      <c r="AY50" s="525">
        <v>0</v>
      </c>
      <c r="AZ50" s="525">
        <v>0</v>
      </c>
      <c r="BA50" s="525">
        <v>0</v>
      </c>
      <c r="BB50" s="525">
        <v>0</v>
      </c>
      <c r="BC50" s="525">
        <v>0</v>
      </c>
      <c r="BD50" s="525">
        <v>0</v>
      </c>
      <c r="BE50" s="525">
        <v>0</v>
      </c>
      <c r="BF50" s="525">
        <v>0</v>
      </c>
      <c r="BG50" s="525">
        <v>0</v>
      </c>
      <c r="BH50" s="525">
        <v>0</v>
      </c>
      <c r="BI50" s="525">
        <v>0</v>
      </c>
      <c r="BJ50" s="525">
        <v>0</v>
      </c>
      <c r="BK50" s="525">
        <v>0</v>
      </c>
      <c r="BL50" s="525">
        <v>0</v>
      </c>
      <c r="BM50" s="525">
        <v>0</v>
      </c>
      <c r="BN50" s="525">
        <v>0</v>
      </c>
      <c r="BO50" s="525">
        <v>0</v>
      </c>
      <c r="BP50" s="525">
        <v>0</v>
      </c>
      <c r="BQ50" s="525">
        <v>0</v>
      </c>
      <c r="BR50" s="525">
        <v>0</v>
      </c>
      <c r="BS50" s="525">
        <v>0</v>
      </c>
      <c r="BT50" s="525">
        <v>0</v>
      </c>
      <c r="BU50" s="525">
        <v>0</v>
      </c>
      <c r="BV50" s="525">
        <v>0</v>
      </c>
      <c r="BW50" s="525">
        <v>0</v>
      </c>
      <c r="BX50" s="525">
        <v>0</v>
      </c>
      <c r="BY50" s="525">
        <v>0</v>
      </c>
      <c r="BZ50" s="525">
        <v>0</v>
      </c>
      <c r="CA50" s="525">
        <v>0</v>
      </c>
      <c r="CB50" s="525">
        <v>0</v>
      </c>
      <c r="CC50" s="525">
        <v>0</v>
      </c>
      <c r="CD50" s="525">
        <v>0</v>
      </c>
      <c r="CE50" s="525">
        <v>0</v>
      </c>
      <c r="CF50" s="525">
        <v>0</v>
      </c>
      <c r="CG50" s="525">
        <v>0</v>
      </c>
      <c r="CH50" s="525">
        <v>0</v>
      </c>
      <c r="CI50" s="525">
        <v>0</v>
      </c>
      <c r="CJ50" s="525">
        <v>0</v>
      </c>
      <c r="CK50" s="525">
        <v>0</v>
      </c>
      <c r="CL50" s="525">
        <v>0</v>
      </c>
      <c r="CM50" s="525">
        <v>963.22969999999998</v>
      </c>
      <c r="CN50" s="525">
        <v>496.66470000000004</v>
      </c>
      <c r="CO50" s="525">
        <v>0</v>
      </c>
      <c r="CP50" s="525">
        <v>172.85</v>
      </c>
      <c r="CQ50" s="525">
        <v>293.71499999999997</v>
      </c>
      <c r="CR50" s="525">
        <v>0</v>
      </c>
      <c r="CS50" s="525">
        <v>292.82182879999999</v>
      </c>
      <c r="CT50" s="525">
        <v>150.9860688</v>
      </c>
      <c r="CU50" s="525">
        <v>0</v>
      </c>
      <c r="CV50" s="525">
        <v>52.546399999999991</v>
      </c>
      <c r="CW50" s="525">
        <v>89.289359999999988</v>
      </c>
      <c r="CX50" s="525">
        <v>0</v>
      </c>
      <c r="CY50" s="525">
        <v>0</v>
      </c>
      <c r="CZ50" s="526"/>
      <c r="DA50" s="525">
        <v>0</v>
      </c>
      <c r="DB50" s="525">
        <v>0</v>
      </c>
      <c r="DC50" s="526"/>
      <c r="DD50" s="525">
        <v>0</v>
      </c>
      <c r="DE50" s="525">
        <v>0</v>
      </c>
      <c r="DF50" s="525">
        <v>0</v>
      </c>
      <c r="DG50" s="525">
        <v>1295.0402988800001</v>
      </c>
      <c r="DH50" s="525">
        <v>0</v>
      </c>
      <c r="DI50" s="525">
        <v>0</v>
      </c>
      <c r="DJ50" s="525">
        <v>789.23714720000009</v>
      </c>
      <c r="DK50" s="525">
        <v>0</v>
      </c>
      <c r="DL50" s="525">
        <v>0</v>
      </c>
      <c r="DM50" s="525">
        <v>0</v>
      </c>
      <c r="DN50" s="525">
        <v>505.80315168000004</v>
      </c>
      <c r="DO50" s="525">
        <v>0</v>
      </c>
      <c r="DP50" s="525">
        <v>0</v>
      </c>
      <c r="DQ50" s="525">
        <v>0</v>
      </c>
      <c r="DR50" s="525">
        <v>0</v>
      </c>
      <c r="DS50" s="525">
        <v>0</v>
      </c>
      <c r="DT50" s="525">
        <v>0</v>
      </c>
      <c r="DU50" s="525">
        <v>0</v>
      </c>
      <c r="DV50" s="525">
        <v>0</v>
      </c>
      <c r="DW50" s="525">
        <v>0</v>
      </c>
      <c r="DX50" s="525">
        <v>0</v>
      </c>
      <c r="DY50" s="525">
        <v>0</v>
      </c>
      <c r="DZ50" s="525">
        <v>0</v>
      </c>
      <c r="EA50" s="525">
        <v>0</v>
      </c>
      <c r="EB50" s="525">
        <v>0</v>
      </c>
      <c r="EC50" s="525">
        <v>0</v>
      </c>
      <c r="ED50" s="525">
        <v>0</v>
      </c>
      <c r="EE50" s="525">
        <v>0</v>
      </c>
      <c r="EF50" s="525">
        <v>0</v>
      </c>
      <c r="EG50" s="525">
        <v>0</v>
      </c>
      <c r="EH50" s="525">
        <v>1314.249</v>
      </c>
      <c r="EI50" s="525">
        <v>0</v>
      </c>
      <c r="EJ50" s="525">
        <v>0</v>
      </c>
      <c r="EK50" s="525">
        <v>1314.249</v>
      </c>
      <c r="EL50" s="525">
        <v>0</v>
      </c>
      <c r="EM50" s="525">
        <v>0</v>
      </c>
      <c r="EN50" s="525">
        <v>0</v>
      </c>
      <c r="EO50" s="525">
        <v>0</v>
      </c>
      <c r="EP50" s="525">
        <v>215.2395952</v>
      </c>
      <c r="EQ50" s="525">
        <v>0</v>
      </c>
      <c r="ER50" s="525">
        <v>215.2395952</v>
      </c>
      <c r="ES50" s="525">
        <v>0</v>
      </c>
      <c r="ET50" s="525">
        <v>1314.249</v>
      </c>
      <c r="EU50" s="525">
        <v>1314.249</v>
      </c>
      <c r="EV50" s="525">
        <v>0</v>
      </c>
      <c r="EW50" s="525">
        <v>0</v>
      </c>
      <c r="EX50" s="525">
        <v>0</v>
      </c>
      <c r="EY50" s="525">
        <v>0</v>
      </c>
      <c r="EZ50" s="525">
        <v>0</v>
      </c>
      <c r="FA50" s="525">
        <v>0</v>
      </c>
      <c r="FB50" s="525">
        <v>0</v>
      </c>
      <c r="FC50" s="525">
        <v>0</v>
      </c>
      <c r="FD50" s="525">
        <v>0</v>
      </c>
      <c r="FE50" s="525">
        <v>0</v>
      </c>
      <c r="FF50" s="525">
        <v>0</v>
      </c>
      <c r="FG50" s="525">
        <v>0</v>
      </c>
      <c r="FH50" s="525">
        <v>0</v>
      </c>
      <c r="FI50" s="525">
        <v>0</v>
      </c>
      <c r="FJ50" s="525">
        <v>0</v>
      </c>
      <c r="FK50" s="525">
        <v>0</v>
      </c>
      <c r="FL50" s="525">
        <v>0</v>
      </c>
      <c r="FM50" s="525">
        <v>28.095000000000002</v>
      </c>
      <c r="FN50" s="525">
        <v>28.095000000000002</v>
      </c>
      <c r="FO50" s="525">
        <v>0</v>
      </c>
      <c r="FP50" s="525">
        <v>0</v>
      </c>
      <c r="FQ50" s="525">
        <v>0</v>
      </c>
      <c r="FR50" s="525">
        <v>0</v>
      </c>
      <c r="FS50" s="527">
        <v>7778.743236620001</v>
      </c>
      <c r="FT50" s="525">
        <v>0</v>
      </c>
      <c r="FU50" s="525">
        <v>0</v>
      </c>
      <c r="FV50" s="525">
        <v>0</v>
      </c>
      <c r="FW50" s="525">
        <v>0</v>
      </c>
      <c r="FX50" s="525">
        <v>0</v>
      </c>
      <c r="FY50" s="525">
        <v>0</v>
      </c>
      <c r="FZ50" s="525">
        <v>0</v>
      </c>
      <c r="GA50" s="525">
        <v>0</v>
      </c>
      <c r="GB50" s="525">
        <v>0</v>
      </c>
      <c r="GC50" s="525">
        <v>0</v>
      </c>
      <c r="GD50" s="525">
        <v>0</v>
      </c>
      <c r="GE50" s="525">
        <v>0</v>
      </c>
      <c r="GF50" s="525">
        <v>0</v>
      </c>
      <c r="GG50" s="525">
        <v>0</v>
      </c>
      <c r="GH50" s="525">
        <v>0</v>
      </c>
      <c r="GI50" s="525">
        <v>0</v>
      </c>
      <c r="GJ50" s="526"/>
      <c r="GK50" s="525">
        <v>0</v>
      </c>
      <c r="GL50" s="526"/>
      <c r="GM50" s="525">
        <v>0</v>
      </c>
      <c r="GN50" s="525">
        <v>0</v>
      </c>
      <c r="GO50" s="526"/>
      <c r="GP50" s="526"/>
      <c r="GQ50" s="525">
        <v>0</v>
      </c>
      <c r="GR50" s="526"/>
      <c r="GS50" s="526"/>
      <c r="GT50" s="525">
        <v>0</v>
      </c>
      <c r="GU50" s="525">
        <v>0</v>
      </c>
      <c r="GV50" s="525">
        <v>0</v>
      </c>
      <c r="GW50" s="525">
        <v>0</v>
      </c>
      <c r="GX50" s="525">
        <v>0</v>
      </c>
      <c r="GY50" s="525">
        <v>0</v>
      </c>
      <c r="GZ50" s="525">
        <v>0</v>
      </c>
      <c r="HA50" s="525">
        <v>0</v>
      </c>
      <c r="HB50" s="525">
        <v>0</v>
      </c>
      <c r="HC50" s="525">
        <v>0</v>
      </c>
      <c r="HD50" s="525">
        <v>0</v>
      </c>
      <c r="HE50" s="525">
        <v>0</v>
      </c>
      <c r="HF50" s="525">
        <v>0</v>
      </c>
      <c r="HG50" s="525">
        <v>0</v>
      </c>
      <c r="HH50" s="525">
        <v>0</v>
      </c>
      <c r="HI50" s="525">
        <v>0</v>
      </c>
      <c r="HJ50" s="525">
        <v>0</v>
      </c>
      <c r="HK50" s="525">
        <v>0</v>
      </c>
      <c r="HL50" s="526"/>
      <c r="HM50" s="526"/>
      <c r="HN50" s="526"/>
      <c r="HO50" s="526"/>
      <c r="HP50" s="526"/>
      <c r="HQ50" s="526"/>
      <c r="HR50" s="526"/>
      <c r="HS50" s="526"/>
      <c r="HT50" s="526"/>
      <c r="HU50" s="526"/>
      <c r="HV50" s="526"/>
      <c r="HW50" s="526"/>
      <c r="HX50" s="526"/>
      <c r="HY50" s="526"/>
      <c r="HZ50" s="526"/>
      <c r="IA50" s="526"/>
      <c r="IB50" s="526"/>
      <c r="IC50" s="526"/>
      <c r="ID50" s="526"/>
      <c r="IE50" s="526"/>
      <c r="IF50" s="526"/>
      <c r="IG50" s="526"/>
      <c r="IH50" s="526"/>
      <c r="II50" s="526"/>
      <c r="IJ50" s="526"/>
      <c r="IK50" s="526"/>
      <c r="IL50" s="526"/>
      <c r="IM50" s="526"/>
      <c r="IN50" s="526"/>
      <c r="IO50" s="526"/>
      <c r="IP50" s="526"/>
      <c r="IQ50" s="526"/>
      <c r="IR50" s="526"/>
      <c r="IS50" s="526"/>
      <c r="IT50" s="526"/>
      <c r="IU50" s="526"/>
      <c r="IV50" s="526"/>
      <c r="IW50" s="526"/>
      <c r="IX50" s="526"/>
      <c r="IY50" s="526"/>
      <c r="IZ50" s="526"/>
      <c r="JA50" s="526"/>
      <c r="JB50" s="526"/>
      <c r="JC50" s="526"/>
      <c r="JD50" s="526"/>
      <c r="JE50" s="526"/>
      <c r="JF50" s="526"/>
      <c r="JG50" s="526"/>
      <c r="JH50" s="526"/>
      <c r="JI50" s="526"/>
      <c r="JJ50" s="526"/>
      <c r="JK50" s="526"/>
      <c r="JL50" s="526"/>
      <c r="JM50" s="526"/>
      <c r="JN50" s="525">
        <v>2473.5095940800002</v>
      </c>
      <c r="JO50" s="525">
        <v>1635.1658288000001</v>
      </c>
      <c r="JP50" s="525">
        <v>3670.0678137400005</v>
      </c>
      <c r="JQ50" s="525">
        <v>0</v>
      </c>
      <c r="JR50" s="525">
        <v>0</v>
      </c>
      <c r="JS50" s="527">
        <v>8534.9532366200001</v>
      </c>
      <c r="JT50" s="528">
        <f t="shared" si="10"/>
        <v>756.20999999999958</v>
      </c>
      <c r="JU50" s="525">
        <v>10241.943883943999</v>
      </c>
      <c r="JV50" s="525">
        <v>8534.9532366200001</v>
      </c>
      <c r="JW50" s="525">
        <v>10241.943883943999</v>
      </c>
      <c r="JX50" s="525">
        <v>9924</v>
      </c>
      <c r="JY50" s="525">
        <v>9924</v>
      </c>
      <c r="JZ50" s="526"/>
      <c r="KA50" s="525">
        <v>9924</v>
      </c>
      <c r="KB50" s="529">
        <v>0</v>
      </c>
      <c r="KC50" s="525">
        <v>1.4366200011863839E-3</v>
      </c>
      <c r="KD50" s="525">
        <v>8534.9517999999989</v>
      </c>
      <c r="KE50" s="525">
        <v>9924</v>
      </c>
      <c r="KF50" s="525">
        <v>0</v>
      </c>
      <c r="KG50" s="530">
        <v>0</v>
      </c>
      <c r="KH50" s="525">
        <v>0</v>
      </c>
      <c r="KI50" s="525">
        <v>93.420600000000007</v>
      </c>
      <c r="KJ50" s="530">
        <v>865.00555555555559</v>
      </c>
      <c r="KK50" s="525">
        <v>108</v>
      </c>
      <c r="KL50" s="525">
        <v>0</v>
      </c>
      <c r="KM50" s="530">
        <v>0</v>
      </c>
      <c r="KN50" s="525">
        <v>0</v>
      </c>
      <c r="KO50" s="525">
        <v>8441.5311999999994</v>
      </c>
      <c r="KP50" s="530">
        <v>859.97669111654432</v>
      </c>
      <c r="KQ50" s="525">
        <v>9816</v>
      </c>
      <c r="KR50" s="526"/>
      <c r="KS50" s="526"/>
      <c r="KT50" s="531"/>
      <c r="KU50" s="531"/>
      <c r="KV50" s="526"/>
      <c r="KW50" s="531"/>
      <c r="KX50" s="531"/>
      <c r="KY50" s="531"/>
      <c r="KZ50" s="526"/>
      <c r="LA50" s="531">
        <v>10350</v>
      </c>
      <c r="LB50" s="532"/>
      <c r="LC50" s="533">
        <v>4.0000000000000001E-3</v>
      </c>
      <c r="LD50" s="494">
        <f t="shared" si="11"/>
        <v>10525.418463648955</v>
      </c>
      <c r="LE50" s="509">
        <f t="shared" si="12"/>
        <v>8771.1820530407967</v>
      </c>
      <c r="LF50" s="534">
        <f t="shared" si="13"/>
        <v>3780.1698481522008</v>
      </c>
      <c r="LG50" s="535">
        <f t="shared" si="14"/>
        <v>3780.1698481522008</v>
      </c>
      <c r="LH50" s="536">
        <f t="shared" si="31"/>
        <v>1.03</v>
      </c>
      <c r="LI50" s="537">
        <f t="shared" si="15"/>
        <v>3780.1698481522008</v>
      </c>
      <c r="LJ50" s="536">
        <f t="shared" si="32"/>
        <v>1.0389999999999999</v>
      </c>
      <c r="LK50" s="537">
        <f t="shared" si="16"/>
        <v>0</v>
      </c>
      <c r="LL50" s="536">
        <f t="shared" si="33"/>
        <v>1.0349999999999999</v>
      </c>
      <c r="LM50" s="537">
        <f t="shared" si="17"/>
        <v>0</v>
      </c>
      <c r="LN50" s="536">
        <f t="shared" si="34"/>
        <v>1.0349999999999999</v>
      </c>
      <c r="LO50" s="537">
        <f t="shared" si="18"/>
        <v>0</v>
      </c>
      <c r="LP50" s="536">
        <f t="shared" si="35"/>
        <v>1.0349999999999999</v>
      </c>
      <c r="LQ50" s="537">
        <f t="shared" si="19"/>
        <v>0</v>
      </c>
      <c r="LR50" s="536">
        <f t="shared" si="36"/>
        <v>1.04</v>
      </c>
      <c r="LS50" s="537">
        <f t="shared" si="20"/>
        <v>0</v>
      </c>
      <c r="LT50" s="539">
        <f t="shared" si="21"/>
        <v>2544.2767035666288</v>
      </c>
      <c r="LU50" s="540">
        <f t="shared" si="22"/>
        <v>990.78770171699989</v>
      </c>
      <c r="LV50" s="541">
        <f t="shared" si="23"/>
        <v>1553.4890018496289</v>
      </c>
      <c r="LW50" s="542">
        <f t="shared" si="24"/>
        <v>1690.525501321968</v>
      </c>
      <c r="LX50" s="540">
        <f t="shared" si="25"/>
        <v>301.19946132196799</v>
      </c>
      <c r="LY50" s="540">
        <f t="shared" si="26"/>
        <v>29.078325</v>
      </c>
      <c r="LZ50" s="543">
        <f t="shared" si="27"/>
        <v>1360.247715</v>
      </c>
      <c r="MA50" s="544">
        <f t="shared" si="28"/>
        <v>756.20999999999958</v>
      </c>
      <c r="MB50" s="545">
        <f t="shared" si="29"/>
        <v>0</v>
      </c>
    </row>
    <row r="51" spans="1:340" ht="16.5" customHeight="1">
      <c r="A51" s="465">
        <v>1</v>
      </c>
      <c r="B51" s="466">
        <v>41</v>
      </c>
      <c r="C51" s="467" t="s">
        <v>290</v>
      </c>
      <c r="D51" s="468">
        <v>4617004147</v>
      </c>
      <c r="E51" s="469">
        <f t="shared" si="3"/>
        <v>34340.226514400805</v>
      </c>
      <c r="F51" s="470" t="s">
        <v>287</v>
      </c>
      <c r="G51" s="595">
        <v>34340.22651439999</v>
      </c>
      <c r="H51" s="595">
        <f t="shared" si="30"/>
        <v>8.149072527885437E-10</v>
      </c>
      <c r="I51" s="595"/>
      <c r="J51" s="471">
        <f t="shared" si="4"/>
        <v>34340.226514400805</v>
      </c>
      <c r="K51" s="472">
        <f t="shared" si="5"/>
        <v>17963.390005330766</v>
      </c>
      <c r="L51" s="473">
        <f t="shared" si="6"/>
        <v>13991.964722947752</v>
      </c>
      <c r="M51" s="474">
        <v>13991.964722947752</v>
      </c>
      <c r="N51" s="475">
        <v>0</v>
      </c>
      <c r="O51" s="475">
        <v>0</v>
      </c>
      <c r="P51" s="476">
        <v>0</v>
      </c>
      <c r="Q51" s="477">
        <v>3916.2581139162553</v>
      </c>
      <c r="R51" s="478">
        <f t="shared" si="7"/>
        <v>55.167168466758881</v>
      </c>
      <c r="S51" s="479">
        <f t="shared" si="8"/>
        <v>11744.5221613454</v>
      </c>
      <c r="T51" s="479">
        <v>9924.3379833444033</v>
      </c>
      <c r="U51" s="480">
        <v>1820.1841780009963</v>
      </c>
      <c r="V51" s="481">
        <f t="shared" si="9"/>
        <v>3779.8566084019899</v>
      </c>
      <c r="W51" s="482">
        <v>2997.1500709700094</v>
      </c>
      <c r="X51" s="479">
        <v>0</v>
      </c>
      <c r="Y51" s="483">
        <v>782.70653743198045</v>
      </c>
      <c r="Z51" s="484">
        <v>628.52704777431802</v>
      </c>
      <c r="AA51" s="485">
        <v>223.93069154833199</v>
      </c>
      <c r="AB51" s="486"/>
      <c r="AC51" s="487">
        <v>13991.964722947752</v>
      </c>
      <c r="AD51" s="487">
        <v>13991.964722947752</v>
      </c>
      <c r="AE51" s="487">
        <v>0</v>
      </c>
      <c r="AF51" s="487">
        <v>0</v>
      </c>
      <c r="AG51" s="487">
        <v>0</v>
      </c>
      <c r="AH51" s="487">
        <v>3916.2581139162553</v>
      </c>
      <c r="AI51" s="487">
        <v>3916.2581139162553</v>
      </c>
      <c r="AJ51" s="487">
        <v>0</v>
      </c>
      <c r="AK51" s="487">
        <v>0</v>
      </c>
      <c r="AL51" s="487">
        <v>0</v>
      </c>
      <c r="AM51" s="487">
        <v>0</v>
      </c>
      <c r="AN51" s="487">
        <v>0</v>
      </c>
      <c r="AO51" s="487">
        <v>0</v>
      </c>
      <c r="AP51" s="487">
        <v>0</v>
      </c>
      <c r="AQ51" s="487">
        <v>0</v>
      </c>
      <c r="AR51" s="487">
        <v>0</v>
      </c>
      <c r="AS51" s="487">
        <v>0</v>
      </c>
      <c r="AT51" s="487">
        <v>0</v>
      </c>
      <c r="AU51" s="487">
        <v>0</v>
      </c>
      <c r="AV51" s="487">
        <v>0</v>
      </c>
      <c r="AW51" s="487">
        <v>0</v>
      </c>
      <c r="AX51" s="487">
        <v>0</v>
      </c>
      <c r="AY51" s="487">
        <v>0</v>
      </c>
      <c r="AZ51" s="487">
        <v>0</v>
      </c>
      <c r="BA51" s="487">
        <v>3916.2581139162553</v>
      </c>
      <c r="BB51" s="487">
        <v>428.74868000002442</v>
      </c>
      <c r="BC51" s="487">
        <v>0</v>
      </c>
      <c r="BD51" s="487">
        <v>3916.2581139162553</v>
      </c>
      <c r="BE51" s="487">
        <v>9.1341578332463484</v>
      </c>
      <c r="BF51" s="487">
        <v>428.74868000002442</v>
      </c>
      <c r="BG51" s="487">
        <v>0</v>
      </c>
      <c r="BH51" s="487">
        <v>0</v>
      </c>
      <c r="BI51" s="487">
        <v>0</v>
      </c>
      <c r="BJ51" s="487">
        <v>0</v>
      </c>
      <c r="BK51" s="487">
        <v>0</v>
      </c>
      <c r="BL51" s="487">
        <v>0</v>
      </c>
      <c r="BM51" s="487">
        <v>0</v>
      </c>
      <c r="BN51" s="487">
        <v>0</v>
      </c>
      <c r="BO51" s="487">
        <v>0</v>
      </c>
      <c r="BP51" s="487">
        <v>0</v>
      </c>
      <c r="BQ51" s="487">
        <v>0</v>
      </c>
      <c r="BR51" s="487">
        <v>0</v>
      </c>
      <c r="BS51" s="487">
        <v>0</v>
      </c>
      <c r="BT51" s="487">
        <v>0</v>
      </c>
      <c r="BU51" s="487">
        <v>0</v>
      </c>
      <c r="BV51" s="487">
        <v>0</v>
      </c>
      <c r="BW51" s="487">
        <v>0</v>
      </c>
      <c r="BX51" s="487">
        <v>0</v>
      </c>
      <c r="BY51" s="487">
        <v>0</v>
      </c>
      <c r="BZ51" s="487">
        <v>0</v>
      </c>
      <c r="CA51" s="487">
        <v>0</v>
      </c>
      <c r="CB51" s="487">
        <v>0</v>
      </c>
      <c r="CC51" s="487">
        <v>0</v>
      </c>
      <c r="CD51" s="487">
        <v>0</v>
      </c>
      <c r="CE51" s="487">
        <v>0</v>
      </c>
      <c r="CF51" s="487">
        <v>0</v>
      </c>
      <c r="CG51" s="487">
        <v>0</v>
      </c>
      <c r="CH51" s="487">
        <v>0</v>
      </c>
      <c r="CI51" s="487">
        <v>0</v>
      </c>
      <c r="CJ51" s="487">
        <v>0</v>
      </c>
      <c r="CK51" s="487">
        <v>0</v>
      </c>
      <c r="CL51" s="487">
        <v>0</v>
      </c>
      <c r="CM51" s="487">
        <v>9924.3379833444033</v>
      </c>
      <c r="CN51" s="487">
        <v>7344.0101076748588</v>
      </c>
      <c r="CO51" s="487">
        <v>0</v>
      </c>
      <c r="CP51" s="487">
        <v>0</v>
      </c>
      <c r="CQ51" s="487">
        <v>2580.327875669544</v>
      </c>
      <c r="CR51" s="487">
        <v>0</v>
      </c>
      <c r="CS51" s="487">
        <v>2997.1500709700094</v>
      </c>
      <c r="CT51" s="487">
        <v>2217.8910525178071</v>
      </c>
      <c r="CU51" s="487">
        <v>0</v>
      </c>
      <c r="CV51" s="487">
        <v>0</v>
      </c>
      <c r="CW51" s="487">
        <v>779.25901845220233</v>
      </c>
      <c r="CX51" s="487">
        <v>0</v>
      </c>
      <c r="CY51" s="487">
        <v>55.167168466758881</v>
      </c>
      <c r="CZ51" s="467"/>
      <c r="DA51" s="487">
        <v>1.3131125839989444</v>
      </c>
      <c r="DB51" s="487">
        <v>0</v>
      </c>
      <c r="DC51" s="467"/>
      <c r="DD51" s="487">
        <v>0</v>
      </c>
      <c r="DE51" s="487">
        <v>0</v>
      </c>
      <c r="DF51" s="487">
        <v>0</v>
      </c>
      <c r="DG51" s="487">
        <v>1494.9619939318438</v>
      </c>
      <c r="DH51" s="487">
        <v>424.34290701354399</v>
      </c>
      <c r="DI51" s="487">
        <v>0</v>
      </c>
      <c r="DJ51" s="487">
        <v>1070.6190869182999</v>
      </c>
      <c r="DK51" s="487">
        <v>0</v>
      </c>
      <c r="DL51" s="487">
        <v>0</v>
      </c>
      <c r="DM51" s="487">
        <v>0</v>
      </c>
      <c r="DN51" s="487">
        <v>0</v>
      </c>
      <c r="DO51" s="487">
        <v>0</v>
      </c>
      <c r="DP51" s="487">
        <v>0</v>
      </c>
      <c r="DQ51" s="487">
        <v>0</v>
      </c>
      <c r="DR51" s="487">
        <v>0</v>
      </c>
      <c r="DS51" s="487">
        <v>0</v>
      </c>
      <c r="DT51" s="487">
        <v>0</v>
      </c>
      <c r="DU51" s="487">
        <v>42.092504565914865</v>
      </c>
      <c r="DV51" s="487">
        <v>36.014554803870702</v>
      </c>
      <c r="DW51" s="487">
        <v>0</v>
      </c>
      <c r="DX51" s="487">
        <v>6.0779497620441587</v>
      </c>
      <c r="DY51" s="487">
        <v>0</v>
      </c>
      <c r="DZ51" s="487">
        <v>0</v>
      </c>
      <c r="EA51" s="487">
        <v>0</v>
      </c>
      <c r="EB51" s="487">
        <v>0</v>
      </c>
      <c r="EC51" s="487">
        <v>0</v>
      </c>
      <c r="ED51" s="487">
        <v>0</v>
      </c>
      <c r="EE51" s="487">
        <v>0</v>
      </c>
      <c r="EF51" s="487">
        <v>0</v>
      </c>
      <c r="EG51" s="487">
        <v>0</v>
      </c>
      <c r="EH51" s="487">
        <v>142.23434566803502</v>
      </c>
      <c r="EI51" s="487">
        <v>142.23434566803502</v>
      </c>
      <c r="EJ51" s="487">
        <v>0</v>
      </c>
      <c r="EK51" s="487">
        <v>0</v>
      </c>
      <c r="EL51" s="487">
        <v>11.852911224</v>
      </c>
      <c r="EM51" s="487">
        <v>26.494742735999999</v>
      </c>
      <c r="EN51" s="487">
        <v>0</v>
      </c>
      <c r="EO51" s="487">
        <v>0</v>
      </c>
      <c r="EP51" s="487">
        <v>102.547679875203</v>
      </c>
      <c r="EQ51" s="487">
        <v>102.547679875203</v>
      </c>
      <c r="ER51" s="487">
        <v>0</v>
      </c>
      <c r="ES51" s="487">
        <v>169.20350719999996</v>
      </c>
      <c r="ET51" s="487">
        <v>355.13511075603498</v>
      </c>
      <c r="EU51" s="487">
        <v>212.90076508799999</v>
      </c>
      <c r="EV51" s="487">
        <v>142.23434566803502</v>
      </c>
      <c r="EW51" s="487">
        <v>0</v>
      </c>
      <c r="EX51" s="487">
        <v>0</v>
      </c>
      <c r="EY51" s="487">
        <v>0</v>
      </c>
      <c r="EZ51" s="487">
        <v>0</v>
      </c>
      <c r="FA51" s="487">
        <v>0</v>
      </c>
      <c r="FB51" s="487">
        <v>400.60226514398056</v>
      </c>
      <c r="FC51" s="487">
        <v>10.8</v>
      </c>
      <c r="FD51" s="487">
        <v>39.599999999980511</v>
      </c>
      <c r="FE51" s="487">
        <v>0</v>
      </c>
      <c r="FF51" s="487">
        <v>350.20226514400002</v>
      </c>
      <c r="FG51" s="487">
        <v>0</v>
      </c>
      <c r="FH51" s="487">
        <v>0</v>
      </c>
      <c r="FI51" s="487">
        <v>6.7999999999999989</v>
      </c>
      <c r="FJ51" s="487">
        <v>0</v>
      </c>
      <c r="FK51" s="487">
        <v>343.40226514400001</v>
      </c>
      <c r="FL51" s="487">
        <v>0</v>
      </c>
      <c r="FM51" s="487">
        <v>0</v>
      </c>
      <c r="FN51" s="487">
        <v>0</v>
      </c>
      <c r="FO51" s="487">
        <v>0</v>
      </c>
      <c r="FP51" s="487">
        <v>0</v>
      </c>
      <c r="FQ51" s="487">
        <v>0</v>
      </c>
      <c r="FR51" s="487">
        <v>0</v>
      </c>
      <c r="FS51" s="488">
        <v>33487.768775078155</v>
      </c>
      <c r="FT51" s="487">
        <v>0</v>
      </c>
      <c r="FU51" s="487">
        <v>0</v>
      </c>
      <c r="FV51" s="487">
        <v>0</v>
      </c>
      <c r="FW51" s="487">
        <v>0</v>
      </c>
      <c r="FX51" s="487">
        <v>0</v>
      </c>
      <c r="FY51" s="487">
        <v>0</v>
      </c>
      <c r="FZ51" s="487">
        <v>0</v>
      </c>
      <c r="GA51" s="487">
        <v>0</v>
      </c>
      <c r="GB51" s="487">
        <v>0</v>
      </c>
      <c r="GC51" s="487">
        <v>0</v>
      </c>
      <c r="GD51" s="487">
        <v>0</v>
      </c>
      <c r="GE51" s="487">
        <v>0</v>
      </c>
      <c r="GF51" s="487">
        <v>0</v>
      </c>
      <c r="GG51" s="487">
        <v>0</v>
      </c>
      <c r="GH51" s="487">
        <v>223.93069154833199</v>
      </c>
      <c r="GI51" s="487">
        <v>0</v>
      </c>
      <c r="GJ51" s="467"/>
      <c r="GK51" s="487">
        <v>223.93069154833199</v>
      </c>
      <c r="GL51" s="467"/>
      <c r="GM51" s="487">
        <v>0</v>
      </c>
      <c r="GN51" s="487">
        <v>0</v>
      </c>
      <c r="GO51" s="467"/>
      <c r="GP51" s="467"/>
      <c r="GQ51" s="487">
        <v>0</v>
      </c>
      <c r="GR51" s="467"/>
      <c r="GS51" s="467"/>
      <c r="GT51" s="487">
        <v>0</v>
      </c>
      <c r="GU51" s="487">
        <v>0</v>
      </c>
      <c r="GV51" s="487">
        <v>0</v>
      </c>
      <c r="GW51" s="487">
        <v>0</v>
      </c>
      <c r="GX51" s="487">
        <v>0</v>
      </c>
      <c r="GY51" s="487">
        <v>0</v>
      </c>
      <c r="GZ51" s="487">
        <v>0</v>
      </c>
      <c r="HA51" s="487">
        <v>0</v>
      </c>
      <c r="HB51" s="487">
        <v>0</v>
      </c>
      <c r="HC51" s="487">
        <v>0</v>
      </c>
      <c r="HD51" s="487">
        <v>0</v>
      </c>
      <c r="HE51" s="487">
        <v>0</v>
      </c>
      <c r="HF51" s="487">
        <v>0</v>
      </c>
      <c r="HG51" s="487">
        <v>0</v>
      </c>
      <c r="HH51" s="487">
        <v>0</v>
      </c>
      <c r="HI51" s="487">
        <v>0</v>
      </c>
      <c r="HJ51" s="487">
        <v>0</v>
      </c>
      <c r="HK51" s="487">
        <v>0</v>
      </c>
      <c r="HL51" s="467"/>
      <c r="HM51" s="467"/>
      <c r="HN51" s="467"/>
      <c r="HO51" s="467"/>
      <c r="HP51" s="467"/>
      <c r="HQ51" s="467"/>
      <c r="HR51" s="467"/>
      <c r="HS51" s="467"/>
      <c r="HT51" s="467"/>
      <c r="HU51" s="467"/>
      <c r="HV51" s="467"/>
      <c r="HW51" s="467"/>
      <c r="HX51" s="467"/>
      <c r="HY51" s="467"/>
      <c r="HZ51" s="467"/>
      <c r="IA51" s="467"/>
      <c r="IB51" s="467"/>
      <c r="IC51" s="467"/>
      <c r="ID51" s="467"/>
      <c r="IE51" s="467"/>
      <c r="IF51" s="467"/>
      <c r="IG51" s="467"/>
      <c r="IH51" s="467"/>
      <c r="II51" s="467"/>
      <c r="IJ51" s="467"/>
      <c r="IK51" s="467"/>
      <c r="IL51" s="467"/>
      <c r="IM51" s="467"/>
      <c r="IN51" s="467"/>
      <c r="IO51" s="467"/>
      <c r="IP51" s="467"/>
      <c r="IQ51" s="467"/>
      <c r="IR51" s="467"/>
      <c r="IS51" s="467"/>
      <c r="IT51" s="467"/>
      <c r="IU51" s="467"/>
      <c r="IV51" s="467"/>
      <c r="IW51" s="467"/>
      <c r="IX51" s="467"/>
      <c r="IY51" s="467"/>
      <c r="IZ51" s="467"/>
      <c r="JA51" s="467"/>
      <c r="JB51" s="467"/>
      <c r="JC51" s="467"/>
      <c r="JD51" s="467"/>
      <c r="JE51" s="467"/>
      <c r="JF51" s="467"/>
      <c r="JG51" s="467"/>
      <c r="JH51" s="467"/>
      <c r="JI51" s="467"/>
      <c r="JJ51" s="467"/>
      <c r="JK51" s="467"/>
      <c r="JL51" s="467"/>
      <c r="JM51" s="467"/>
      <c r="JN51" s="487">
        <v>11744.5221613454</v>
      </c>
      <c r="JO51" s="487">
        <v>3779.8566084019899</v>
      </c>
      <c r="JP51" s="487">
        <v>17963.390005330766</v>
      </c>
      <c r="JQ51" s="487">
        <v>0</v>
      </c>
      <c r="JR51" s="487">
        <v>223.93069154833199</v>
      </c>
      <c r="JS51" s="488">
        <v>34340.226514400805</v>
      </c>
      <c r="JT51" s="489">
        <f t="shared" si="10"/>
        <v>628.52704777431802</v>
      </c>
      <c r="JU51" s="487">
        <v>34340.226514400805</v>
      </c>
      <c r="JV51" s="487">
        <v>34340.226514400805</v>
      </c>
      <c r="JW51" s="487">
        <v>34340.226514400805</v>
      </c>
      <c r="JX51" s="487">
        <v>11654.737666666801</v>
      </c>
      <c r="JY51" s="487">
        <v>11654.737666666801</v>
      </c>
      <c r="JZ51" s="467"/>
      <c r="KA51" s="487">
        <v>11654.737666666801</v>
      </c>
      <c r="KB51" s="490">
        <v>0.66869397317083379</v>
      </c>
      <c r="KC51" s="487">
        <v>4.929461283609271E-10</v>
      </c>
      <c r="KD51" s="487">
        <v>34340.22651440031</v>
      </c>
      <c r="KE51" s="487">
        <v>11654.737666666801</v>
      </c>
      <c r="KF51" s="487">
        <v>0</v>
      </c>
      <c r="KG51" s="491">
        <v>0</v>
      </c>
      <c r="KH51" s="487">
        <v>0</v>
      </c>
      <c r="KI51" s="487">
        <v>31603.112161310062</v>
      </c>
      <c r="KJ51" s="491">
        <v>2998.3079407435166</v>
      </c>
      <c r="KK51" s="487">
        <v>10540.3156666667</v>
      </c>
      <c r="KL51" s="487">
        <v>2737.1143530902468</v>
      </c>
      <c r="KM51" s="491">
        <v>2456.0842778498636</v>
      </c>
      <c r="KN51" s="487">
        <v>1114.4220000001001</v>
      </c>
      <c r="KO51" s="487">
        <v>0</v>
      </c>
      <c r="KP51" s="491">
        <v>0</v>
      </c>
      <c r="KQ51" s="487">
        <v>0</v>
      </c>
      <c r="KR51" s="467"/>
      <c r="KS51" s="467"/>
      <c r="KT51" s="487">
        <v>25099.200000000001</v>
      </c>
      <c r="KU51" s="487">
        <v>90</v>
      </c>
      <c r="KV51" s="467"/>
      <c r="KW51" s="487">
        <v>2312.4</v>
      </c>
      <c r="KX51" s="487">
        <v>6.54</v>
      </c>
      <c r="KY51" s="487">
        <v>3.24</v>
      </c>
      <c r="KZ51" s="467"/>
      <c r="LA51" s="487">
        <v>1500</v>
      </c>
      <c r="LB51" s="492">
        <v>167</v>
      </c>
      <c r="LC51" s="493">
        <v>0.33300000000000002</v>
      </c>
      <c r="LD51" s="494">
        <f t="shared" si="11"/>
        <v>35356.252722395831</v>
      </c>
      <c r="LE51" s="471">
        <f t="shared" si="12"/>
        <v>35356.252722395831</v>
      </c>
      <c r="LF51" s="495">
        <f t="shared" si="13"/>
        <v>18522.424667744941</v>
      </c>
      <c r="LG51" s="476">
        <f t="shared" si="14"/>
        <v>14411.723664636185</v>
      </c>
      <c r="LH51" s="496">
        <f t="shared" si="31"/>
        <v>1.03</v>
      </c>
      <c r="LI51" s="497">
        <f t="shared" si="15"/>
        <v>14411.723664636185</v>
      </c>
      <c r="LJ51" s="496">
        <f t="shared" si="32"/>
        <v>1.0389999999999999</v>
      </c>
      <c r="LK51" s="497">
        <f t="shared" si="16"/>
        <v>0</v>
      </c>
      <c r="LL51" s="496">
        <f t="shared" si="33"/>
        <v>1.0349999999999999</v>
      </c>
      <c r="LM51" s="497">
        <f t="shared" si="17"/>
        <v>0</v>
      </c>
      <c r="LN51" s="496">
        <f t="shared" si="34"/>
        <v>1.0349999999999999</v>
      </c>
      <c r="LO51" s="497">
        <f t="shared" si="18"/>
        <v>0</v>
      </c>
      <c r="LP51" s="496">
        <f t="shared" si="35"/>
        <v>1.0349999999999999</v>
      </c>
      <c r="LQ51" s="497">
        <f t="shared" si="19"/>
        <v>4053.3271479033237</v>
      </c>
      <c r="LR51" s="496">
        <f t="shared" si="36"/>
        <v>1.04</v>
      </c>
      <c r="LS51" s="497">
        <f t="shared" si="20"/>
        <v>57.373855205429237</v>
      </c>
      <c r="LT51" s="499">
        <f t="shared" si="21"/>
        <v>12080.53294038149</v>
      </c>
      <c r="LU51" s="500">
        <f t="shared" si="22"/>
        <v>10208.273293047885</v>
      </c>
      <c r="LV51" s="501">
        <f t="shared" si="23"/>
        <v>1872.2596473336046</v>
      </c>
      <c r="LW51" s="499">
        <f t="shared" si="24"/>
        <v>3892.9998007425611</v>
      </c>
      <c r="LX51" s="500">
        <f t="shared" si="25"/>
        <v>3082.8985345004612</v>
      </c>
      <c r="LY51" s="500">
        <f t="shared" si="26"/>
        <v>0</v>
      </c>
      <c r="LZ51" s="502">
        <f t="shared" si="27"/>
        <v>810.10126624209965</v>
      </c>
      <c r="MA51" s="503">
        <f t="shared" si="28"/>
        <v>628.52704777431802</v>
      </c>
      <c r="MB51" s="504">
        <f t="shared" si="29"/>
        <v>231.7682657525236</v>
      </c>
    </row>
    <row r="52" spans="1:340" ht="16.5" customHeight="1">
      <c r="A52" s="505">
        <v>1</v>
      </c>
      <c r="B52" s="506">
        <v>42</v>
      </c>
      <c r="C52" s="507" t="s">
        <v>308</v>
      </c>
      <c r="D52" s="508">
        <v>6829012680</v>
      </c>
      <c r="E52" s="469">
        <f t="shared" si="3"/>
        <v>4080568.2866293429</v>
      </c>
      <c r="F52" s="470" t="s">
        <v>281</v>
      </c>
      <c r="G52" s="595">
        <v>4059234.8338030004</v>
      </c>
      <c r="H52" s="597">
        <f t="shared" si="30"/>
        <v>21333.452826342545</v>
      </c>
      <c r="I52" s="597"/>
      <c r="J52" s="509">
        <f t="shared" si="4"/>
        <v>3400473.5721911192</v>
      </c>
      <c r="K52" s="510">
        <f t="shared" si="5"/>
        <v>2308916.9007096803</v>
      </c>
      <c r="L52" s="511">
        <f t="shared" si="6"/>
        <v>1736409.849288516</v>
      </c>
      <c r="M52" s="512">
        <v>1736409.849288516</v>
      </c>
      <c r="N52" s="513">
        <v>0</v>
      </c>
      <c r="O52" s="513">
        <v>0</v>
      </c>
      <c r="P52" s="514">
        <v>0</v>
      </c>
      <c r="Q52" s="515">
        <v>537271.77142365952</v>
      </c>
      <c r="R52" s="516">
        <f t="shared" si="7"/>
        <v>35235.279997505</v>
      </c>
      <c r="S52" s="517">
        <f t="shared" si="8"/>
        <v>582964.26000224927</v>
      </c>
      <c r="T52" s="518">
        <v>387739.82</v>
      </c>
      <c r="U52" s="519">
        <v>195224.44000224926</v>
      </c>
      <c r="V52" s="520">
        <f t="shared" si="9"/>
        <v>424698.36147918977</v>
      </c>
      <c r="W52" s="521">
        <v>117097.42564</v>
      </c>
      <c r="X52" s="518">
        <v>205290.19</v>
      </c>
      <c r="Y52" s="522">
        <v>102310.7458391898</v>
      </c>
      <c r="Z52" s="523">
        <v>38979.569999999811</v>
      </c>
      <c r="AA52" s="524">
        <v>44914.48</v>
      </c>
      <c r="AB52" s="486"/>
      <c r="AC52" s="525">
        <v>1736409.849288516</v>
      </c>
      <c r="AD52" s="525">
        <v>1736409.849288516</v>
      </c>
      <c r="AE52" s="525">
        <v>0</v>
      </c>
      <c r="AF52" s="525">
        <v>0</v>
      </c>
      <c r="AG52" s="525">
        <v>0</v>
      </c>
      <c r="AH52" s="525">
        <v>537271.77142365952</v>
      </c>
      <c r="AI52" s="525">
        <v>537271.77142365952</v>
      </c>
      <c r="AJ52" s="525">
        <v>472025.42090977245</v>
      </c>
      <c r="AK52" s="525">
        <v>0</v>
      </c>
      <c r="AL52" s="525">
        <v>0</v>
      </c>
      <c r="AM52" s="525">
        <v>0</v>
      </c>
      <c r="AN52" s="525">
        <v>0</v>
      </c>
      <c r="AO52" s="525">
        <v>472025.42090977245</v>
      </c>
      <c r="AP52" s="525">
        <v>0</v>
      </c>
      <c r="AQ52" s="525">
        <v>0</v>
      </c>
      <c r="AR52" s="525">
        <v>0</v>
      </c>
      <c r="AS52" s="525">
        <v>472025.42090977245</v>
      </c>
      <c r="AT52" s="525">
        <v>329.16200000000003</v>
      </c>
      <c r="AU52" s="525">
        <v>1434.0216091461725</v>
      </c>
      <c r="AV52" s="525">
        <v>0</v>
      </c>
      <c r="AW52" s="525">
        <v>0</v>
      </c>
      <c r="AX52" s="525">
        <v>0</v>
      </c>
      <c r="AY52" s="525">
        <v>0</v>
      </c>
      <c r="AZ52" s="525">
        <v>0</v>
      </c>
      <c r="BA52" s="525">
        <v>65246.35051388709</v>
      </c>
      <c r="BB52" s="525">
        <v>8598.48</v>
      </c>
      <c r="BC52" s="525">
        <v>0</v>
      </c>
      <c r="BD52" s="525">
        <v>0</v>
      </c>
      <c r="BE52" s="525">
        <v>0</v>
      </c>
      <c r="BF52" s="525">
        <v>0</v>
      </c>
      <c r="BG52" s="525">
        <v>0</v>
      </c>
      <c r="BH52" s="525">
        <v>0</v>
      </c>
      <c r="BI52" s="525">
        <v>0</v>
      </c>
      <c r="BJ52" s="525">
        <v>65246.35051388709</v>
      </c>
      <c r="BK52" s="525">
        <v>7.5881261006465204</v>
      </c>
      <c r="BL52" s="525">
        <v>8598.48</v>
      </c>
      <c r="BM52" s="525">
        <v>0</v>
      </c>
      <c r="BN52" s="525">
        <v>0</v>
      </c>
      <c r="BO52" s="525">
        <v>0</v>
      </c>
      <c r="BP52" s="525">
        <v>0</v>
      </c>
      <c r="BQ52" s="525">
        <v>0</v>
      </c>
      <c r="BR52" s="525">
        <v>0</v>
      </c>
      <c r="BS52" s="525">
        <v>0</v>
      </c>
      <c r="BT52" s="525">
        <v>0</v>
      </c>
      <c r="BU52" s="525">
        <v>0</v>
      </c>
      <c r="BV52" s="525">
        <v>0</v>
      </c>
      <c r="BW52" s="525">
        <v>0</v>
      </c>
      <c r="BX52" s="525">
        <v>0</v>
      </c>
      <c r="BY52" s="525">
        <v>0</v>
      </c>
      <c r="BZ52" s="525">
        <v>0</v>
      </c>
      <c r="CA52" s="525">
        <v>0</v>
      </c>
      <c r="CB52" s="525">
        <v>0</v>
      </c>
      <c r="CC52" s="525">
        <v>0</v>
      </c>
      <c r="CD52" s="525">
        <v>0</v>
      </c>
      <c r="CE52" s="525">
        <v>0</v>
      </c>
      <c r="CF52" s="525">
        <v>0</v>
      </c>
      <c r="CG52" s="525">
        <v>0</v>
      </c>
      <c r="CH52" s="525">
        <v>0</v>
      </c>
      <c r="CI52" s="525">
        <v>0</v>
      </c>
      <c r="CJ52" s="525">
        <v>0</v>
      </c>
      <c r="CK52" s="525">
        <v>0</v>
      </c>
      <c r="CL52" s="525">
        <v>0</v>
      </c>
      <c r="CM52" s="525">
        <v>387739.82</v>
      </c>
      <c r="CN52" s="525">
        <v>387739.82</v>
      </c>
      <c r="CO52" s="525">
        <v>0</v>
      </c>
      <c r="CP52" s="525">
        <v>0</v>
      </c>
      <c r="CQ52" s="525">
        <v>0</v>
      </c>
      <c r="CR52" s="525">
        <v>0</v>
      </c>
      <c r="CS52" s="525">
        <v>117097.42564</v>
      </c>
      <c r="CT52" s="525">
        <v>117097.42564</v>
      </c>
      <c r="CU52" s="525">
        <v>0</v>
      </c>
      <c r="CV52" s="525">
        <v>0</v>
      </c>
      <c r="CW52" s="525">
        <v>0</v>
      </c>
      <c r="CX52" s="525">
        <v>0</v>
      </c>
      <c r="CY52" s="525">
        <v>31226.359997504998</v>
      </c>
      <c r="CZ52" s="526"/>
      <c r="DA52" s="525">
        <v>2040.63</v>
      </c>
      <c r="DB52" s="525">
        <v>0</v>
      </c>
      <c r="DC52" s="526"/>
      <c r="DD52" s="525">
        <v>0</v>
      </c>
      <c r="DE52" s="525">
        <v>4008.9200000000005</v>
      </c>
      <c r="DF52" s="525">
        <v>0</v>
      </c>
      <c r="DG52" s="525">
        <v>143151.93000000002</v>
      </c>
      <c r="DH52" s="525">
        <v>40491.9</v>
      </c>
      <c r="DI52" s="525">
        <v>0</v>
      </c>
      <c r="DJ52" s="525">
        <v>102660.03</v>
      </c>
      <c r="DK52" s="525">
        <v>0</v>
      </c>
      <c r="DL52" s="525">
        <v>0</v>
      </c>
      <c r="DM52" s="525">
        <v>0</v>
      </c>
      <c r="DN52" s="525">
        <v>0</v>
      </c>
      <c r="DO52" s="525">
        <v>0</v>
      </c>
      <c r="DP52" s="525">
        <v>13206.85</v>
      </c>
      <c r="DQ52" s="525">
        <v>0</v>
      </c>
      <c r="DR52" s="525">
        <v>0</v>
      </c>
      <c r="DS52" s="525">
        <v>0</v>
      </c>
      <c r="DT52" s="525">
        <v>13206.85</v>
      </c>
      <c r="DU52" s="525">
        <v>23102.12</v>
      </c>
      <c r="DV52" s="525">
        <v>6295.23</v>
      </c>
      <c r="DW52" s="525">
        <v>13202.27</v>
      </c>
      <c r="DX52" s="525">
        <v>1634.19</v>
      </c>
      <c r="DY52" s="525">
        <v>0</v>
      </c>
      <c r="DZ52" s="525">
        <v>0</v>
      </c>
      <c r="EA52" s="525">
        <v>38.869999999999997</v>
      </c>
      <c r="EB52" s="525">
        <v>0</v>
      </c>
      <c r="EC52" s="525">
        <v>0</v>
      </c>
      <c r="ED52" s="525">
        <v>0</v>
      </c>
      <c r="EE52" s="525">
        <v>0</v>
      </c>
      <c r="EF52" s="525">
        <v>0</v>
      </c>
      <c r="EG52" s="525">
        <v>1931.5599999999997</v>
      </c>
      <c r="EH52" s="525">
        <v>15010.64</v>
      </c>
      <c r="EI52" s="525">
        <v>0</v>
      </c>
      <c r="EJ52" s="525">
        <v>15010.64</v>
      </c>
      <c r="EK52" s="525">
        <v>0</v>
      </c>
      <c r="EL52" s="525">
        <v>138.21</v>
      </c>
      <c r="EM52" s="525">
        <v>614.69000000000005</v>
      </c>
      <c r="EN52" s="525">
        <v>0</v>
      </c>
      <c r="EO52" s="525">
        <v>0</v>
      </c>
      <c r="EP52" s="525">
        <v>0</v>
      </c>
      <c r="EQ52" s="525">
        <v>0</v>
      </c>
      <c r="ER52" s="525">
        <v>0</v>
      </c>
      <c r="ES52" s="525">
        <v>30381.749999999996</v>
      </c>
      <c r="ET52" s="525">
        <v>17025.160002249388</v>
      </c>
      <c r="EU52" s="525">
        <v>2014.52</v>
      </c>
      <c r="EV52" s="525">
        <v>15010.640002249389</v>
      </c>
      <c r="EW52" s="525">
        <v>0</v>
      </c>
      <c r="EX52" s="525">
        <v>0</v>
      </c>
      <c r="EY52" s="525">
        <v>0</v>
      </c>
      <c r="EZ52" s="525">
        <v>0</v>
      </c>
      <c r="FA52" s="525">
        <v>0</v>
      </c>
      <c r="FB52" s="525">
        <v>62775.69</v>
      </c>
      <c r="FC52" s="525">
        <v>260.77</v>
      </c>
      <c r="FD52" s="525">
        <v>3610.93</v>
      </c>
      <c r="FE52" s="525">
        <v>0</v>
      </c>
      <c r="FF52" s="525">
        <v>58903.99</v>
      </c>
      <c r="FG52" s="525">
        <v>47338.71</v>
      </c>
      <c r="FH52" s="525">
        <v>0</v>
      </c>
      <c r="FI52" s="525">
        <v>400.03</v>
      </c>
      <c r="FJ52" s="525">
        <v>11165.25</v>
      </c>
      <c r="FK52" s="525">
        <v>0</v>
      </c>
      <c r="FL52" s="525">
        <v>0</v>
      </c>
      <c r="FM52" s="525">
        <v>205290.19</v>
      </c>
      <c r="FN52" s="525">
        <v>205290.19</v>
      </c>
      <c r="FO52" s="525">
        <v>0</v>
      </c>
      <c r="FP52" s="525">
        <v>7138.7858391898453</v>
      </c>
      <c r="FQ52" s="525">
        <v>0</v>
      </c>
      <c r="FR52" s="525">
        <v>0</v>
      </c>
      <c r="FS52" s="527">
        <v>3316579.5221911194</v>
      </c>
      <c r="FT52" s="525">
        <v>0</v>
      </c>
      <c r="FU52" s="525">
        <v>0</v>
      </c>
      <c r="FV52" s="525">
        <v>0</v>
      </c>
      <c r="FW52" s="525">
        <v>0</v>
      </c>
      <c r="FX52" s="525">
        <v>0</v>
      </c>
      <c r="FY52" s="525">
        <v>0</v>
      </c>
      <c r="FZ52" s="525">
        <v>0</v>
      </c>
      <c r="GA52" s="525">
        <v>0</v>
      </c>
      <c r="GB52" s="525">
        <v>0</v>
      </c>
      <c r="GC52" s="525">
        <v>0</v>
      </c>
      <c r="GD52" s="525">
        <v>0</v>
      </c>
      <c r="GE52" s="525">
        <v>0</v>
      </c>
      <c r="GF52" s="525">
        <v>0</v>
      </c>
      <c r="GG52" s="525">
        <v>0</v>
      </c>
      <c r="GH52" s="525">
        <v>44914.48</v>
      </c>
      <c r="GI52" s="525">
        <v>44791.9</v>
      </c>
      <c r="GJ52" s="526"/>
      <c r="GK52" s="525">
        <v>122.58</v>
      </c>
      <c r="GL52" s="526"/>
      <c r="GM52" s="525">
        <v>483196.90000000008</v>
      </c>
      <c r="GN52" s="525">
        <v>0</v>
      </c>
      <c r="GO52" s="526"/>
      <c r="GP52" s="526"/>
      <c r="GQ52" s="525">
        <v>0</v>
      </c>
      <c r="GR52" s="526"/>
      <c r="GS52" s="526"/>
      <c r="GT52" s="525">
        <v>483196.90000000008</v>
      </c>
      <c r="GU52" s="525">
        <v>13425.4</v>
      </c>
      <c r="GV52" s="525">
        <v>51333.9</v>
      </c>
      <c r="GW52" s="525">
        <v>0</v>
      </c>
      <c r="GX52" s="525">
        <v>418437.60000000009</v>
      </c>
      <c r="GY52" s="525">
        <v>0</v>
      </c>
      <c r="GZ52" s="525">
        <v>483196.9</v>
      </c>
      <c r="HA52" s="525">
        <v>218715.60000000003</v>
      </c>
      <c r="HB52" s="525">
        <v>0</v>
      </c>
      <c r="HC52" s="525">
        <v>0</v>
      </c>
      <c r="HD52" s="525">
        <v>0</v>
      </c>
      <c r="HE52" s="525">
        <v>83030.250000000015</v>
      </c>
      <c r="HF52" s="525">
        <v>2250</v>
      </c>
      <c r="HG52" s="525">
        <v>25426.750000000004</v>
      </c>
      <c r="HH52" s="525">
        <v>0</v>
      </c>
      <c r="HI52" s="525">
        <v>141547.10000000003</v>
      </c>
      <c r="HJ52" s="525">
        <v>0</v>
      </c>
      <c r="HK52" s="525">
        <v>12227.200000000003</v>
      </c>
      <c r="HL52" s="526"/>
      <c r="HM52" s="526"/>
      <c r="HN52" s="526"/>
      <c r="HO52" s="526"/>
      <c r="HP52" s="526"/>
      <c r="HQ52" s="526"/>
      <c r="HR52" s="526"/>
      <c r="HS52" s="526"/>
      <c r="HT52" s="526"/>
      <c r="HU52" s="526"/>
      <c r="HV52" s="526"/>
      <c r="HW52" s="526"/>
      <c r="HX52" s="526"/>
      <c r="HY52" s="526"/>
      <c r="HZ52" s="526"/>
      <c r="IA52" s="526"/>
      <c r="IB52" s="526"/>
      <c r="IC52" s="526"/>
      <c r="ID52" s="526"/>
      <c r="IE52" s="526"/>
      <c r="IF52" s="526"/>
      <c r="IG52" s="526"/>
      <c r="IH52" s="526"/>
      <c r="II52" s="526"/>
      <c r="IJ52" s="526"/>
      <c r="IK52" s="526"/>
      <c r="IL52" s="526"/>
      <c r="IM52" s="526"/>
      <c r="IN52" s="526"/>
      <c r="IO52" s="526"/>
      <c r="IP52" s="526"/>
      <c r="IQ52" s="526"/>
      <c r="IR52" s="526"/>
      <c r="IS52" s="526"/>
      <c r="IT52" s="526"/>
      <c r="IU52" s="526"/>
      <c r="IV52" s="526"/>
      <c r="IW52" s="526"/>
      <c r="IX52" s="526"/>
      <c r="IY52" s="526"/>
      <c r="IZ52" s="526"/>
      <c r="JA52" s="526"/>
      <c r="JB52" s="526"/>
      <c r="JC52" s="526"/>
      <c r="JD52" s="526"/>
      <c r="JE52" s="526"/>
      <c r="JF52" s="526"/>
      <c r="JG52" s="526"/>
      <c r="JH52" s="526"/>
      <c r="JI52" s="526"/>
      <c r="JJ52" s="526"/>
      <c r="JK52" s="526"/>
      <c r="JL52" s="526"/>
      <c r="JM52" s="526"/>
      <c r="JN52" s="525">
        <v>582964.26000224927</v>
      </c>
      <c r="JO52" s="525">
        <v>424698.36147918983</v>
      </c>
      <c r="JP52" s="525">
        <v>2308916.9007096803</v>
      </c>
      <c r="JQ52" s="525">
        <v>0</v>
      </c>
      <c r="JR52" s="525">
        <v>44914.48</v>
      </c>
      <c r="JS52" s="527">
        <v>3400473.5721911192</v>
      </c>
      <c r="JT52" s="528">
        <f t="shared" si="10"/>
        <v>38979.569999999811</v>
      </c>
      <c r="JU52" s="525">
        <v>4080568.2866293429</v>
      </c>
      <c r="JV52" s="525">
        <v>3400473.5721911192</v>
      </c>
      <c r="JW52" s="525">
        <v>4080568.2866293429</v>
      </c>
      <c r="JX52" s="525">
        <v>2130996</v>
      </c>
      <c r="JY52" s="525">
        <v>2130996</v>
      </c>
      <c r="JZ52" s="526"/>
      <c r="KA52" s="525">
        <v>2119856</v>
      </c>
      <c r="KB52" s="529">
        <v>1.3542410094339292</v>
      </c>
      <c r="KC52" s="525">
        <v>-4.1288810189143987E-3</v>
      </c>
      <c r="KD52" s="525">
        <v>3400473.5763200005</v>
      </c>
      <c r="KE52" s="525">
        <v>2130996</v>
      </c>
      <c r="KF52" s="525">
        <v>17780.821209000002</v>
      </c>
      <c r="KG52" s="530">
        <v>1596.1239864452425</v>
      </c>
      <c r="KH52" s="525">
        <v>11140</v>
      </c>
      <c r="KI52" s="525">
        <v>503400.08538599999</v>
      </c>
      <c r="KJ52" s="530">
        <v>1592.920792188424</v>
      </c>
      <c r="KK52" s="525">
        <v>316023.3</v>
      </c>
      <c r="KL52" s="525">
        <v>2563292.4017219995</v>
      </c>
      <c r="KM52" s="530">
        <v>1596.9724916090629</v>
      </c>
      <c r="KN52" s="525">
        <v>1605094.9</v>
      </c>
      <c r="KO52" s="525">
        <v>316000.26800300006</v>
      </c>
      <c r="KP52" s="530">
        <v>1590.0360575743521</v>
      </c>
      <c r="KQ52" s="525">
        <v>198737.80000000002</v>
      </c>
      <c r="KR52" s="526"/>
      <c r="KS52" s="526"/>
      <c r="KT52" s="531">
        <v>3830949.11668</v>
      </c>
      <c r="KU52" s="531">
        <v>60</v>
      </c>
      <c r="KV52" s="526"/>
      <c r="KW52" s="531">
        <v>1888549.70878</v>
      </c>
      <c r="KX52" s="531">
        <v>516.40499999999997</v>
      </c>
      <c r="KY52" s="531">
        <v>12.99</v>
      </c>
      <c r="KZ52" s="526"/>
      <c r="LA52" s="531">
        <v>21168.352999999999</v>
      </c>
      <c r="LB52" s="532">
        <v>259414</v>
      </c>
      <c r="LC52" s="533">
        <v>2.6179999999999999</v>
      </c>
      <c r="LD52" s="494">
        <f t="shared" si="11"/>
        <v>4206175.9143001195</v>
      </c>
      <c r="LE52" s="509">
        <f t="shared" si="12"/>
        <v>3505146.5952500994</v>
      </c>
      <c r="LF52" s="534">
        <f t="shared" si="13"/>
        <v>2381223.1193880639</v>
      </c>
      <c r="LG52" s="535">
        <f t="shared" si="14"/>
        <v>1788502.1447671715</v>
      </c>
      <c r="LH52" s="536">
        <f t="shared" si="31"/>
        <v>1.03</v>
      </c>
      <c r="LI52" s="537">
        <f t="shared" si="15"/>
        <v>1788502.1447671715</v>
      </c>
      <c r="LJ52" s="536">
        <f t="shared" si="32"/>
        <v>1.0389999999999999</v>
      </c>
      <c r="LK52" s="537">
        <f t="shared" si="16"/>
        <v>0</v>
      </c>
      <c r="LL52" s="536">
        <f t="shared" si="33"/>
        <v>1.0349999999999999</v>
      </c>
      <c r="LM52" s="537">
        <f t="shared" si="17"/>
        <v>0</v>
      </c>
      <c r="LN52" s="536">
        <f t="shared" si="34"/>
        <v>1.0349999999999999</v>
      </c>
      <c r="LO52" s="537">
        <f t="shared" si="18"/>
        <v>0</v>
      </c>
      <c r="LP52" s="536">
        <f t="shared" si="35"/>
        <v>1.0349999999999999</v>
      </c>
      <c r="LQ52" s="537">
        <f t="shared" si="19"/>
        <v>556076.28342348756</v>
      </c>
      <c r="LR52" s="536">
        <f t="shared" si="36"/>
        <v>1.04</v>
      </c>
      <c r="LS52" s="537">
        <f t="shared" si="20"/>
        <v>36644.691197405198</v>
      </c>
      <c r="LT52" s="539">
        <f t="shared" si="21"/>
        <v>599642.86748091353</v>
      </c>
      <c r="LU52" s="540">
        <f t="shared" si="22"/>
        <v>398833.05625019997</v>
      </c>
      <c r="LV52" s="541">
        <f t="shared" si="23"/>
        <v>200809.81123071359</v>
      </c>
      <c r="LW52" s="542">
        <f t="shared" si="24"/>
        <v>438814.55158112181</v>
      </c>
      <c r="LX52" s="540">
        <f t="shared" si="25"/>
        <v>120447.58298756038</v>
      </c>
      <c r="LY52" s="540">
        <f t="shared" si="26"/>
        <v>212475.34664999999</v>
      </c>
      <c r="LZ52" s="543">
        <f t="shared" si="27"/>
        <v>105891.62194356143</v>
      </c>
      <c r="MA52" s="544">
        <f t="shared" si="28"/>
        <v>38979.569999999811</v>
      </c>
      <c r="MB52" s="545">
        <f t="shared" si="29"/>
        <v>46486.486799999999</v>
      </c>
    </row>
    <row r="53" spans="1:340" ht="16.5" customHeight="1">
      <c r="A53" s="465">
        <v>1</v>
      </c>
      <c r="B53" s="466">
        <v>43</v>
      </c>
      <c r="C53" s="467" t="s">
        <v>309</v>
      </c>
      <c r="D53" s="468">
        <v>7729314745</v>
      </c>
      <c r="E53" s="469">
        <f t="shared" si="3"/>
        <v>41113.759479249697</v>
      </c>
      <c r="F53" s="470" t="s">
        <v>281</v>
      </c>
      <c r="G53" s="595">
        <v>41113.769295631158</v>
      </c>
      <c r="H53" s="595">
        <f t="shared" si="30"/>
        <v>-9.8163814618601464E-3</v>
      </c>
      <c r="I53" s="595"/>
      <c r="J53" s="471">
        <f t="shared" si="4"/>
        <v>34261.46623270808</v>
      </c>
      <c r="K53" s="472">
        <f t="shared" si="5"/>
        <v>24734.336869444734</v>
      </c>
      <c r="L53" s="473">
        <f t="shared" si="6"/>
        <v>20415.948651185296</v>
      </c>
      <c r="M53" s="474">
        <v>14097.215404527276</v>
      </c>
      <c r="N53" s="475">
        <v>6318.7332466580174</v>
      </c>
      <c r="O53" s="475">
        <v>0</v>
      </c>
      <c r="P53" s="476">
        <v>0</v>
      </c>
      <c r="Q53" s="477">
        <v>3988.9917161278281</v>
      </c>
      <c r="R53" s="478">
        <f t="shared" si="7"/>
        <v>329.39650213160979</v>
      </c>
      <c r="S53" s="479">
        <f t="shared" si="8"/>
        <v>4892.1063687630894</v>
      </c>
      <c r="T53" s="479">
        <v>4152.7505339119798</v>
      </c>
      <c r="U53" s="480">
        <v>739.35583485110965</v>
      </c>
      <c r="V53" s="481">
        <f t="shared" si="9"/>
        <v>1261.901980222063</v>
      </c>
      <c r="W53" s="482">
        <v>1254.1306612414178</v>
      </c>
      <c r="X53" s="479">
        <v>0</v>
      </c>
      <c r="Y53" s="483">
        <v>7.7713189806452192</v>
      </c>
      <c r="Z53" s="484">
        <v>3373.1210142781929</v>
      </c>
      <c r="AA53" s="485">
        <v>0</v>
      </c>
      <c r="AB53" s="486"/>
      <c r="AC53" s="487">
        <v>20415.948651185296</v>
      </c>
      <c r="AD53" s="487">
        <v>14097.215404527276</v>
      </c>
      <c r="AE53" s="487">
        <v>6318.7332466580174</v>
      </c>
      <c r="AF53" s="487">
        <v>0</v>
      </c>
      <c r="AG53" s="487">
        <v>0</v>
      </c>
      <c r="AH53" s="487">
        <v>3988.9917161278281</v>
      </c>
      <c r="AI53" s="487">
        <v>3988.9917161278281</v>
      </c>
      <c r="AJ53" s="487">
        <v>0</v>
      </c>
      <c r="AK53" s="487">
        <v>0</v>
      </c>
      <c r="AL53" s="487">
        <v>0</v>
      </c>
      <c r="AM53" s="487">
        <v>0</v>
      </c>
      <c r="AN53" s="487">
        <v>0</v>
      </c>
      <c r="AO53" s="487">
        <v>0</v>
      </c>
      <c r="AP53" s="487">
        <v>0</v>
      </c>
      <c r="AQ53" s="487">
        <v>0</v>
      </c>
      <c r="AR53" s="487">
        <v>0</v>
      </c>
      <c r="AS53" s="487">
        <v>0</v>
      </c>
      <c r="AT53" s="487">
        <v>0</v>
      </c>
      <c r="AU53" s="487">
        <v>0</v>
      </c>
      <c r="AV53" s="487">
        <v>0</v>
      </c>
      <c r="AW53" s="487">
        <v>0</v>
      </c>
      <c r="AX53" s="487">
        <v>0</v>
      </c>
      <c r="AY53" s="487">
        <v>0</v>
      </c>
      <c r="AZ53" s="487">
        <v>0</v>
      </c>
      <c r="BA53" s="487">
        <v>3988.9917161278281</v>
      </c>
      <c r="BB53" s="487">
        <v>480.33974920000009</v>
      </c>
      <c r="BC53" s="487">
        <v>0</v>
      </c>
      <c r="BD53" s="487">
        <v>3988.9917161278281</v>
      </c>
      <c r="BE53" s="487">
        <v>8.3045213784023595</v>
      </c>
      <c r="BF53" s="487">
        <v>480.33974920000009</v>
      </c>
      <c r="BG53" s="487">
        <v>0</v>
      </c>
      <c r="BH53" s="487">
        <v>0</v>
      </c>
      <c r="BI53" s="487">
        <v>0</v>
      </c>
      <c r="BJ53" s="487">
        <v>0</v>
      </c>
      <c r="BK53" s="487">
        <v>0</v>
      </c>
      <c r="BL53" s="487">
        <v>0</v>
      </c>
      <c r="BM53" s="487">
        <v>0</v>
      </c>
      <c r="BN53" s="487">
        <v>0</v>
      </c>
      <c r="BO53" s="487">
        <v>0</v>
      </c>
      <c r="BP53" s="487">
        <v>0</v>
      </c>
      <c r="BQ53" s="487">
        <v>0</v>
      </c>
      <c r="BR53" s="487">
        <v>0</v>
      </c>
      <c r="BS53" s="487">
        <v>0</v>
      </c>
      <c r="BT53" s="487">
        <v>0</v>
      </c>
      <c r="BU53" s="487">
        <v>0</v>
      </c>
      <c r="BV53" s="487">
        <v>0</v>
      </c>
      <c r="BW53" s="487">
        <v>0</v>
      </c>
      <c r="BX53" s="487">
        <v>0</v>
      </c>
      <c r="BY53" s="487">
        <v>0</v>
      </c>
      <c r="BZ53" s="487">
        <v>0</v>
      </c>
      <c r="CA53" s="487">
        <v>0</v>
      </c>
      <c r="CB53" s="487">
        <v>0</v>
      </c>
      <c r="CC53" s="487">
        <v>0</v>
      </c>
      <c r="CD53" s="487">
        <v>0</v>
      </c>
      <c r="CE53" s="487">
        <v>0</v>
      </c>
      <c r="CF53" s="487">
        <v>0</v>
      </c>
      <c r="CG53" s="487">
        <v>0</v>
      </c>
      <c r="CH53" s="487">
        <v>0</v>
      </c>
      <c r="CI53" s="487">
        <v>0</v>
      </c>
      <c r="CJ53" s="487">
        <v>0</v>
      </c>
      <c r="CK53" s="487">
        <v>0</v>
      </c>
      <c r="CL53" s="487">
        <v>0</v>
      </c>
      <c r="CM53" s="487">
        <v>4152.7505339119798</v>
      </c>
      <c r="CN53" s="487">
        <v>4152.7505339119798</v>
      </c>
      <c r="CO53" s="487">
        <v>0</v>
      </c>
      <c r="CP53" s="487">
        <v>0</v>
      </c>
      <c r="CQ53" s="487">
        <v>0</v>
      </c>
      <c r="CR53" s="487">
        <v>0</v>
      </c>
      <c r="CS53" s="487">
        <v>1254.1306612414178</v>
      </c>
      <c r="CT53" s="487">
        <v>1254.1306612414178</v>
      </c>
      <c r="CU53" s="487">
        <v>0</v>
      </c>
      <c r="CV53" s="487">
        <v>0</v>
      </c>
      <c r="CW53" s="487">
        <v>0</v>
      </c>
      <c r="CX53" s="487">
        <v>0</v>
      </c>
      <c r="CY53" s="487">
        <v>273.1118641186161</v>
      </c>
      <c r="CZ53" s="467"/>
      <c r="DA53" s="487">
        <v>13.10017497840049</v>
      </c>
      <c r="DB53" s="487">
        <v>56.284638012993696</v>
      </c>
      <c r="DC53" s="467"/>
      <c r="DD53" s="487">
        <v>2.6200349956715132</v>
      </c>
      <c r="DE53" s="487">
        <v>0</v>
      </c>
      <c r="DF53" s="487">
        <v>0</v>
      </c>
      <c r="DG53" s="487">
        <v>413.85794801238393</v>
      </c>
      <c r="DH53" s="487">
        <v>220.355394261985</v>
      </c>
      <c r="DI53" s="487">
        <v>0</v>
      </c>
      <c r="DJ53" s="487">
        <v>193.50255375039899</v>
      </c>
      <c r="DK53" s="487">
        <v>0</v>
      </c>
      <c r="DL53" s="487">
        <v>0</v>
      </c>
      <c r="DM53" s="487">
        <v>0</v>
      </c>
      <c r="DN53" s="487">
        <v>0</v>
      </c>
      <c r="DO53" s="487">
        <v>0</v>
      </c>
      <c r="DP53" s="487">
        <v>249.43405825799996</v>
      </c>
      <c r="DQ53" s="487">
        <v>0</v>
      </c>
      <c r="DR53" s="487">
        <v>0</v>
      </c>
      <c r="DS53" s="487">
        <v>0</v>
      </c>
      <c r="DT53" s="487">
        <v>249.43405825799996</v>
      </c>
      <c r="DU53" s="487">
        <v>75.802367303726101</v>
      </c>
      <c r="DV53" s="487">
        <v>0</v>
      </c>
      <c r="DW53" s="487">
        <v>0</v>
      </c>
      <c r="DX53" s="487">
        <v>0</v>
      </c>
      <c r="DY53" s="487">
        <v>0</v>
      </c>
      <c r="DZ53" s="487">
        <v>0</v>
      </c>
      <c r="EA53" s="487">
        <v>0</v>
      </c>
      <c r="EB53" s="487">
        <v>0</v>
      </c>
      <c r="EC53" s="487">
        <v>0</v>
      </c>
      <c r="ED53" s="487">
        <v>0</v>
      </c>
      <c r="EE53" s="487">
        <v>0</v>
      </c>
      <c r="EF53" s="487">
        <v>0</v>
      </c>
      <c r="EG53" s="487">
        <v>75.802367303726101</v>
      </c>
      <c r="EH53" s="487">
        <v>0</v>
      </c>
      <c r="EI53" s="487">
        <v>0</v>
      </c>
      <c r="EJ53" s="487">
        <v>0</v>
      </c>
      <c r="EK53" s="487">
        <v>0</v>
      </c>
      <c r="EL53" s="487">
        <v>0.26146127699999999</v>
      </c>
      <c r="EM53" s="487">
        <v>0</v>
      </c>
      <c r="EN53" s="487">
        <v>0</v>
      </c>
      <c r="EO53" s="487">
        <v>0</v>
      </c>
      <c r="EP53" s="487">
        <v>0</v>
      </c>
      <c r="EQ53" s="487">
        <v>0</v>
      </c>
      <c r="ER53" s="487">
        <v>0</v>
      </c>
      <c r="ES53" s="487">
        <v>0</v>
      </c>
      <c r="ET53" s="487">
        <v>0</v>
      </c>
      <c r="EU53" s="487">
        <v>0</v>
      </c>
      <c r="EV53" s="487">
        <v>0</v>
      </c>
      <c r="EW53" s="487">
        <v>0</v>
      </c>
      <c r="EX53" s="487">
        <v>0</v>
      </c>
      <c r="EY53" s="487">
        <v>0</v>
      </c>
      <c r="EZ53" s="487">
        <v>0</v>
      </c>
      <c r="FA53" s="487">
        <v>0</v>
      </c>
      <c r="FB53" s="487">
        <v>7.7713189806451588</v>
      </c>
      <c r="FC53" s="487">
        <v>7.7713189806451588</v>
      </c>
      <c r="FD53" s="487">
        <v>0</v>
      </c>
      <c r="FE53" s="487">
        <v>0</v>
      </c>
      <c r="FF53" s="487">
        <v>0</v>
      </c>
      <c r="FG53" s="487">
        <v>0</v>
      </c>
      <c r="FH53" s="487">
        <v>0</v>
      </c>
      <c r="FI53" s="487">
        <v>0</v>
      </c>
      <c r="FJ53" s="487">
        <v>0</v>
      </c>
      <c r="FK53" s="487">
        <v>0</v>
      </c>
      <c r="FL53" s="487">
        <v>0</v>
      </c>
      <c r="FM53" s="487">
        <v>0</v>
      </c>
      <c r="FN53" s="487">
        <v>0</v>
      </c>
      <c r="FO53" s="487">
        <v>0</v>
      </c>
      <c r="FP53" s="487">
        <v>0</v>
      </c>
      <c r="FQ53" s="487">
        <v>0</v>
      </c>
      <c r="FR53" s="487">
        <v>0</v>
      </c>
      <c r="FS53" s="488">
        <v>30888.345218429888</v>
      </c>
      <c r="FT53" s="487">
        <v>0</v>
      </c>
      <c r="FU53" s="487">
        <v>0</v>
      </c>
      <c r="FV53" s="487">
        <v>0</v>
      </c>
      <c r="FW53" s="487">
        <v>0</v>
      </c>
      <c r="FX53" s="487">
        <v>0</v>
      </c>
      <c r="FY53" s="487">
        <v>0</v>
      </c>
      <c r="FZ53" s="487">
        <v>0</v>
      </c>
      <c r="GA53" s="487">
        <v>0</v>
      </c>
      <c r="GB53" s="487">
        <v>0</v>
      </c>
      <c r="GC53" s="487">
        <v>0</v>
      </c>
      <c r="GD53" s="487">
        <v>0</v>
      </c>
      <c r="GE53" s="487">
        <v>0</v>
      </c>
      <c r="GF53" s="487">
        <v>0</v>
      </c>
      <c r="GG53" s="487">
        <v>0</v>
      </c>
      <c r="GH53" s="487">
        <v>0</v>
      </c>
      <c r="GI53" s="487">
        <v>0</v>
      </c>
      <c r="GJ53" s="467"/>
      <c r="GK53" s="487">
        <v>0</v>
      </c>
      <c r="GL53" s="467"/>
      <c r="GM53" s="487">
        <v>0</v>
      </c>
      <c r="GN53" s="487">
        <v>0</v>
      </c>
      <c r="GO53" s="467"/>
      <c r="GP53" s="467"/>
      <c r="GQ53" s="487">
        <v>0</v>
      </c>
      <c r="GR53" s="467"/>
      <c r="GS53" s="467"/>
      <c r="GT53" s="487">
        <v>0</v>
      </c>
      <c r="GU53" s="487">
        <v>0</v>
      </c>
      <c r="GV53" s="487">
        <v>0</v>
      </c>
      <c r="GW53" s="487">
        <v>0</v>
      </c>
      <c r="GX53" s="487">
        <v>0</v>
      </c>
      <c r="GY53" s="487">
        <v>0</v>
      </c>
      <c r="GZ53" s="487">
        <v>0</v>
      </c>
      <c r="HA53" s="487">
        <v>0</v>
      </c>
      <c r="HB53" s="487">
        <v>0</v>
      </c>
      <c r="HC53" s="487">
        <v>0</v>
      </c>
      <c r="HD53" s="487">
        <v>0</v>
      </c>
      <c r="HE53" s="487">
        <v>0</v>
      </c>
      <c r="HF53" s="487">
        <v>0</v>
      </c>
      <c r="HG53" s="487">
        <v>0</v>
      </c>
      <c r="HH53" s="487">
        <v>0</v>
      </c>
      <c r="HI53" s="487">
        <v>0</v>
      </c>
      <c r="HJ53" s="487">
        <v>0</v>
      </c>
      <c r="HK53" s="487">
        <v>0</v>
      </c>
      <c r="HL53" s="467"/>
      <c r="HM53" s="467"/>
      <c r="HN53" s="467"/>
      <c r="HO53" s="467"/>
      <c r="HP53" s="467"/>
      <c r="HQ53" s="467"/>
      <c r="HR53" s="467"/>
      <c r="HS53" s="467"/>
      <c r="HT53" s="467"/>
      <c r="HU53" s="467"/>
      <c r="HV53" s="467"/>
      <c r="HW53" s="467"/>
      <c r="HX53" s="467"/>
      <c r="HY53" s="467"/>
      <c r="HZ53" s="467"/>
      <c r="IA53" s="467"/>
      <c r="IB53" s="467"/>
      <c r="IC53" s="467"/>
      <c r="ID53" s="467"/>
      <c r="IE53" s="467"/>
      <c r="IF53" s="467"/>
      <c r="IG53" s="467"/>
      <c r="IH53" s="467"/>
      <c r="II53" s="467"/>
      <c r="IJ53" s="467"/>
      <c r="IK53" s="467"/>
      <c r="IL53" s="467"/>
      <c r="IM53" s="467"/>
      <c r="IN53" s="467"/>
      <c r="IO53" s="467"/>
      <c r="IP53" s="467"/>
      <c r="IQ53" s="467"/>
      <c r="IR53" s="467"/>
      <c r="IS53" s="467"/>
      <c r="IT53" s="467"/>
      <c r="IU53" s="467"/>
      <c r="IV53" s="467"/>
      <c r="IW53" s="467"/>
      <c r="IX53" s="467"/>
      <c r="IY53" s="467"/>
      <c r="IZ53" s="467"/>
      <c r="JA53" s="467"/>
      <c r="JB53" s="467"/>
      <c r="JC53" s="467"/>
      <c r="JD53" s="467"/>
      <c r="JE53" s="467"/>
      <c r="JF53" s="467"/>
      <c r="JG53" s="467"/>
      <c r="JH53" s="467"/>
      <c r="JI53" s="467"/>
      <c r="JJ53" s="467"/>
      <c r="JK53" s="467"/>
      <c r="JL53" s="467"/>
      <c r="JM53" s="467"/>
      <c r="JN53" s="487">
        <v>4892.1063687630894</v>
      </c>
      <c r="JO53" s="487">
        <v>1261.901980222063</v>
      </c>
      <c r="JP53" s="487">
        <v>24734.336869444734</v>
      </c>
      <c r="JQ53" s="487">
        <v>0</v>
      </c>
      <c r="JR53" s="487">
        <v>0</v>
      </c>
      <c r="JS53" s="488">
        <v>34261.46623270808</v>
      </c>
      <c r="JT53" s="489">
        <f t="shared" si="10"/>
        <v>3373.1210142781929</v>
      </c>
      <c r="JU53" s="487">
        <v>41113.759479249689</v>
      </c>
      <c r="JV53" s="487">
        <v>34261.46623270808</v>
      </c>
      <c r="JW53" s="487">
        <v>41113.759479249689</v>
      </c>
      <c r="JX53" s="487">
        <v>19577.541552103303</v>
      </c>
      <c r="JY53" s="487">
        <v>19577.541552103303</v>
      </c>
      <c r="JZ53" s="467"/>
      <c r="KA53" s="487">
        <v>19577.541552103303</v>
      </c>
      <c r="KB53" s="490">
        <v>0</v>
      </c>
      <c r="KC53" s="487">
        <v>5.1622531452721887E-3</v>
      </c>
      <c r="KD53" s="487">
        <v>34261.461070454927</v>
      </c>
      <c r="KE53" s="487">
        <v>19577.541552103303</v>
      </c>
      <c r="KF53" s="487">
        <v>0</v>
      </c>
      <c r="KG53" s="491">
        <v>0</v>
      </c>
      <c r="KH53" s="487">
        <v>0</v>
      </c>
      <c r="KI53" s="487">
        <v>13978.790165063067</v>
      </c>
      <c r="KJ53" s="491">
        <v>1814.1671926917493</v>
      </c>
      <c r="KK53" s="487">
        <v>7705.3483391032996</v>
      </c>
      <c r="KL53" s="487">
        <v>19879.104791425962</v>
      </c>
      <c r="KM53" s="491">
        <v>1696.425969681783</v>
      </c>
      <c r="KN53" s="487">
        <v>11718.227112</v>
      </c>
      <c r="KO53" s="487">
        <v>403.56611396590006</v>
      </c>
      <c r="KP53" s="491">
        <v>2621.136154937768</v>
      </c>
      <c r="KQ53" s="487">
        <v>153.96610100000001</v>
      </c>
      <c r="KR53" s="467"/>
      <c r="KS53" s="467"/>
      <c r="KT53" s="487">
        <v>8045.6251000000002</v>
      </c>
      <c r="KU53" s="487">
        <v>59</v>
      </c>
      <c r="KV53" s="467"/>
      <c r="KW53" s="487"/>
      <c r="KX53" s="487">
        <v>13.747999999999999</v>
      </c>
      <c r="KY53" s="487">
        <v>0.03</v>
      </c>
      <c r="KZ53" s="467"/>
      <c r="LA53" s="487"/>
      <c r="LB53" s="492"/>
      <c r="LC53" s="493"/>
      <c r="LD53" s="494">
        <f t="shared" si="11"/>
        <v>42311.663639047256</v>
      </c>
      <c r="LE53" s="471">
        <f t="shared" si="12"/>
        <v>35259.719699206049</v>
      </c>
      <c r="LF53" s="495">
        <f t="shared" si="13"/>
        <v>25556.474498349951</v>
      </c>
      <c r="LG53" s="476">
        <f t="shared" si="14"/>
        <v>21085.295709940776</v>
      </c>
      <c r="LH53" s="496">
        <f t="shared" si="31"/>
        <v>1.03</v>
      </c>
      <c r="LI53" s="497">
        <f t="shared" si="15"/>
        <v>14520.131866663096</v>
      </c>
      <c r="LJ53" s="496">
        <f t="shared" si="32"/>
        <v>1.0389999999999999</v>
      </c>
      <c r="LK53" s="497">
        <f t="shared" si="16"/>
        <v>6565.1638432776799</v>
      </c>
      <c r="LL53" s="496">
        <f t="shared" si="33"/>
        <v>1.0349999999999999</v>
      </c>
      <c r="LM53" s="497">
        <f t="shared" si="17"/>
        <v>0</v>
      </c>
      <c r="LN53" s="496">
        <f t="shared" si="34"/>
        <v>1.0349999999999999</v>
      </c>
      <c r="LO53" s="497">
        <f t="shared" si="18"/>
        <v>0</v>
      </c>
      <c r="LP53" s="496">
        <f t="shared" si="35"/>
        <v>1.0349999999999999</v>
      </c>
      <c r="LQ53" s="497">
        <f t="shared" si="19"/>
        <v>4128.606426192302</v>
      </c>
      <c r="LR53" s="496">
        <f t="shared" si="36"/>
        <v>1.04</v>
      </c>
      <c r="LS53" s="497">
        <f t="shared" si="20"/>
        <v>342.57236221687418</v>
      </c>
      <c r="LT53" s="499">
        <f t="shared" si="21"/>
        <v>5032.0695319734014</v>
      </c>
      <c r="LU53" s="500">
        <f t="shared" si="22"/>
        <v>4271.5607266872012</v>
      </c>
      <c r="LV53" s="501">
        <f t="shared" si="23"/>
        <v>760.50880528619984</v>
      </c>
      <c r="LW53" s="499">
        <f t="shared" si="24"/>
        <v>1298.0546546045025</v>
      </c>
      <c r="LX53" s="500">
        <f t="shared" si="25"/>
        <v>1290.0113394595346</v>
      </c>
      <c r="LY53" s="500">
        <f t="shared" si="26"/>
        <v>0</v>
      </c>
      <c r="LZ53" s="502">
        <f t="shared" si="27"/>
        <v>8.0433151449678011</v>
      </c>
      <c r="MA53" s="503">
        <f t="shared" si="28"/>
        <v>3373.1210142781929</v>
      </c>
      <c r="MB53" s="504">
        <f t="shared" si="29"/>
        <v>0</v>
      </c>
    </row>
    <row r="54" spans="1:340" ht="16.5" thickBot="1">
      <c r="A54" s="546">
        <v>1</v>
      </c>
      <c r="B54" s="547"/>
      <c r="C54" s="548"/>
      <c r="D54" s="549"/>
      <c r="E54" s="550"/>
      <c r="F54" s="551"/>
      <c r="G54" s="594"/>
      <c r="H54" s="594"/>
      <c r="I54" s="594"/>
      <c r="J54" s="552"/>
      <c r="K54" s="552"/>
      <c r="L54" s="553"/>
      <c r="M54" s="554"/>
      <c r="N54" s="555"/>
      <c r="O54" s="555"/>
      <c r="P54" s="556"/>
      <c r="Q54" s="557"/>
      <c r="R54" s="558"/>
      <c r="S54" s="559"/>
      <c r="T54" s="560"/>
      <c r="U54" s="558"/>
      <c r="V54" s="561"/>
      <c r="W54" s="560"/>
      <c r="X54" s="560"/>
      <c r="Y54" s="558"/>
      <c r="Z54" s="561"/>
      <c r="AA54" s="562"/>
      <c r="AB54" s="486"/>
      <c r="AC54" s="563"/>
      <c r="AD54" s="563"/>
      <c r="AE54" s="563"/>
      <c r="AF54" s="563"/>
      <c r="AG54" s="563"/>
      <c r="AH54" s="563"/>
      <c r="AI54" s="563"/>
      <c r="AJ54" s="563"/>
      <c r="AK54" s="563"/>
      <c r="AL54" s="563"/>
      <c r="AM54" s="563"/>
      <c r="AN54" s="563"/>
      <c r="AO54" s="563"/>
      <c r="AP54" s="563"/>
      <c r="AQ54" s="563"/>
      <c r="AR54" s="563"/>
      <c r="AS54" s="563"/>
      <c r="AT54" s="563"/>
      <c r="AU54" s="563"/>
      <c r="AV54" s="563"/>
      <c r="AW54" s="563"/>
      <c r="AX54" s="563"/>
      <c r="AY54" s="563"/>
      <c r="AZ54" s="563"/>
      <c r="BA54" s="563"/>
      <c r="BB54" s="563"/>
      <c r="BC54" s="563"/>
      <c r="BD54" s="563"/>
      <c r="BE54" s="563"/>
      <c r="BF54" s="563"/>
      <c r="BG54" s="563"/>
      <c r="BH54" s="563"/>
      <c r="BI54" s="563"/>
      <c r="BJ54" s="563"/>
      <c r="BK54" s="563"/>
      <c r="BL54" s="563"/>
      <c r="BM54" s="563"/>
      <c r="BN54" s="563"/>
      <c r="BO54" s="563"/>
      <c r="BP54" s="563"/>
      <c r="BQ54" s="563"/>
      <c r="BR54" s="563"/>
      <c r="BS54" s="563"/>
      <c r="BT54" s="563"/>
      <c r="BU54" s="563"/>
      <c r="BV54" s="563"/>
      <c r="BW54" s="563"/>
      <c r="BX54" s="563"/>
      <c r="BY54" s="563"/>
      <c r="BZ54" s="563"/>
      <c r="CA54" s="563"/>
      <c r="CB54" s="563"/>
      <c r="CC54" s="563"/>
      <c r="CD54" s="563"/>
      <c r="CE54" s="563"/>
      <c r="CF54" s="563"/>
      <c r="CG54" s="563"/>
      <c r="CH54" s="563"/>
      <c r="CI54" s="563"/>
      <c r="CJ54" s="563"/>
      <c r="CK54" s="563"/>
      <c r="CL54" s="563"/>
      <c r="CM54" s="563"/>
      <c r="CN54" s="563"/>
      <c r="CO54" s="563"/>
      <c r="CP54" s="563"/>
      <c r="CQ54" s="563"/>
      <c r="CR54" s="563"/>
      <c r="CS54" s="563"/>
      <c r="CT54" s="563"/>
      <c r="CU54" s="563"/>
      <c r="CV54" s="563"/>
      <c r="CW54" s="563"/>
      <c r="CX54" s="563"/>
      <c r="CY54" s="563"/>
      <c r="CZ54" s="563"/>
      <c r="DA54" s="563"/>
      <c r="DB54" s="563"/>
      <c r="DC54" s="563"/>
      <c r="DD54" s="563"/>
      <c r="DE54" s="563"/>
      <c r="DF54" s="563"/>
      <c r="DG54" s="563"/>
      <c r="DH54" s="563"/>
      <c r="DI54" s="563"/>
      <c r="DJ54" s="563"/>
      <c r="DK54" s="563"/>
      <c r="DL54" s="563"/>
      <c r="DM54" s="563"/>
      <c r="DN54" s="563"/>
      <c r="DO54" s="563"/>
      <c r="DP54" s="563"/>
      <c r="DQ54" s="563"/>
      <c r="DR54" s="563"/>
      <c r="DS54" s="563"/>
      <c r="DT54" s="563"/>
      <c r="DU54" s="563"/>
      <c r="DV54" s="563"/>
      <c r="DW54" s="563"/>
      <c r="DX54" s="563"/>
      <c r="DY54" s="563"/>
      <c r="DZ54" s="563"/>
      <c r="EA54" s="563"/>
      <c r="EB54" s="563"/>
      <c r="EC54" s="563"/>
      <c r="ED54" s="563"/>
      <c r="EE54" s="563"/>
      <c r="EF54" s="563"/>
      <c r="EG54" s="563"/>
      <c r="EH54" s="563"/>
      <c r="EI54" s="563"/>
      <c r="EJ54" s="563"/>
      <c r="EK54" s="563"/>
      <c r="EL54" s="563"/>
      <c r="EM54" s="563"/>
      <c r="EN54" s="563"/>
      <c r="EO54" s="563"/>
      <c r="EP54" s="563"/>
      <c r="EQ54" s="563"/>
      <c r="ER54" s="563"/>
      <c r="ES54" s="563"/>
      <c r="ET54" s="563"/>
      <c r="EU54" s="563"/>
      <c r="EV54" s="563"/>
      <c r="EW54" s="563"/>
      <c r="EX54" s="563"/>
      <c r="EY54" s="563"/>
      <c r="EZ54" s="563"/>
      <c r="FA54" s="563"/>
      <c r="FB54" s="563"/>
      <c r="FC54" s="563"/>
      <c r="FD54" s="563"/>
      <c r="FE54" s="563"/>
      <c r="FF54" s="563"/>
      <c r="FG54" s="563"/>
      <c r="FH54" s="563"/>
      <c r="FI54" s="563"/>
      <c r="FJ54" s="563"/>
      <c r="FK54" s="563"/>
      <c r="FL54" s="563"/>
      <c r="FM54" s="563"/>
      <c r="FN54" s="563"/>
      <c r="FO54" s="563"/>
      <c r="FP54" s="563"/>
      <c r="FQ54" s="563"/>
      <c r="FR54" s="563"/>
      <c r="FS54" s="563"/>
      <c r="FT54" s="563"/>
      <c r="FU54" s="563"/>
      <c r="FV54" s="563"/>
      <c r="FW54" s="563"/>
      <c r="FX54" s="563"/>
      <c r="FY54" s="563"/>
      <c r="FZ54" s="563"/>
      <c r="GA54" s="563"/>
      <c r="GB54" s="563"/>
      <c r="GC54" s="563"/>
      <c r="GD54" s="563"/>
      <c r="GE54" s="563"/>
      <c r="GF54" s="563"/>
      <c r="GG54" s="563"/>
      <c r="GH54" s="563"/>
      <c r="GI54" s="563"/>
      <c r="GJ54" s="563"/>
      <c r="GK54" s="563"/>
      <c r="GL54" s="563"/>
      <c r="GM54" s="563"/>
      <c r="GN54" s="563"/>
      <c r="GO54" s="563"/>
      <c r="GP54" s="563"/>
      <c r="GQ54" s="563"/>
      <c r="GR54" s="563"/>
      <c r="GS54" s="563"/>
      <c r="GT54" s="563"/>
      <c r="GU54" s="563"/>
      <c r="GV54" s="563"/>
      <c r="GW54" s="563"/>
      <c r="GX54" s="563"/>
      <c r="GY54" s="563"/>
      <c r="GZ54" s="563"/>
      <c r="HA54" s="563"/>
      <c r="HB54" s="563"/>
      <c r="HC54" s="563"/>
      <c r="HD54" s="563"/>
      <c r="HE54" s="563"/>
      <c r="HF54" s="563"/>
      <c r="HG54" s="563"/>
      <c r="HH54" s="563"/>
      <c r="HI54" s="563"/>
      <c r="HJ54" s="563"/>
      <c r="HK54" s="563"/>
      <c r="HL54" s="563"/>
      <c r="HM54" s="563"/>
      <c r="HN54" s="563"/>
      <c r="HO54" s="563"/>
      <c r="HP54" s="563"/>
      <c r="HQ54" s="563"/>
      <c r="HR54" s="563"/>
      <c r="HS54" s="563"/>
      <c r="HT54" s="563"/>
      <c r="HU54" s="563"/>
      <c r="HV54" s="563"/>
      <c r="HW54" s="563"/>
      <c r="HX54" s="563"/>
      <c r="HY54" s="563"/>
      <c r="HZ54" s="563"/>
      <c r="IA54" s="563"/>
      <c r="IB54" s="563"/>
      <c r="IC54" s="563"/>
      <c r="ID54" s="563"/>
      <c r="IE54" s="563"/>
      <c r="IF54" s="563"/>
      <c r="IG54" s="563"/>
      <c r="IH54" s="563"/>
      <c r="II54" s="563"/>
      <c r="IJ54" s="563"/>
      <c r="IK54" s="563"/>
      <c r="IL54" s="563"/>
      <c r="IM54" s="563"/>
      <c r="IN54" s="563"/>
      <c r="IO54" s="563"/>
      <c r="IP54" s="563"/>
      <c r="IQ54" s="563"/>
      <c r="IR54" s="563"/>
      <c r="IS54" s="563"/>
      <c r="IT54" s="563"/>
      <c r="IU54" s="563"/>
      <c r="IV54" s="563"/>
      <c r="IW54" s="563"/>
      <c r="IX54" s="563"/>
      <c r="IY54" s="563"/>
      <c r="IZ54" s="563"/>
      <c r="JA54" s="563"/>
      <c r="JB54" s="563"/>
      <c r="JC54" s="563"/>
      <c r="JD54" s="563"/>
      <c r="JE54" s="563"/>
      <c r="JF54" s="563"/>
      <c r="JG54" s="563"/>
      <c r="JH54" s="563"/>
      <c r="JI54" s="563"/>
      <c r="JJ54" s="563"/>
      <c r="JK54" s="563"/>
      <c r="JL54" s="563"/>
      <c r="JM54" s="563"/>
      <c r="JN54" s="563"/>
      <c r="JO54" s="563"/>
      <c r="JP54" s="563"/>
      <c r="JQ54" s="563"/>
      <c r="JR54" s="563"/>
      <c r="JS54" s="563"/>
      <c r="JT54" s="564"/>
      <c r="JU54" s="563"/>
      <c r="JV54" s="563"/>
      <c r="JW54" s="563"/>
      <c r="JX54" s="563"/>
      <c r="JY54" s="563"/>
      <c r="JZ54" s="563"/>
      <c r="KA54" s="563"/>
      <c r="KB54" s="563"/>
      <c r="KC54" s="563"/>
      <c r="KD54" s="563"/>
      <c r="KE54" s="563"/>
      <c r="KF54" s="563"/>
      <c r="KG54" s="563"/>
      <c r="KH54" s="563"/>
      <c r="KI54" s="563"/>
      <c r="KJ54" s="563"/>
      <c r="KK54" s="563"/>
      <c r="KL54" s="563"/>
      <c r="KM54" s="563"/>
      <c r="KN54" s="563"/>
      <c r="KO54" s="563"/>
      <c r="KP54" s="563"/>
      <c r="KQ54" s="563"/>
      <c r="KR54" s="563"/>
      <c r="KS54" s="563"/>
      <c r="KT54" s="563"/>
      <c r="KU54" s="563"/>
      <c r="KV54" s="563"/>
      <c r="KW54" s="563"/>
      <c r="KX54" s="563"/>
      <c r="KY54" s="563"/>
      <c r="KZ54" s="563"/>
      <c r="LA54" s="563"/>
      <c r="LB54" s="563"/>
      <c r="LC54" s="563"/>
      <c r="LD54" s="550"/>
      <c r="LE54" s="552"/>
      <c r="LF54" s="565"/>
      <c r="LG54" s="566"/>
      <c r="LH54" s="567"/>
      <c r="LI54" s="568"/>
      <c r="LJ54" s="569"/>
      <c r="LK54" s="568"/>
      <c r="LL54" s="569"/>
      <c r="LM54" s="568"/>
      <c r="LN54" s="569"/>
      <c r="LO54" s="568"/>
      <c r="LP54" s="569"/>
      <c r="LQ54" s="568"/>
      <c r="LR54" s="569"/>
      <c r="LS54" s="568"/>
      <c r="LT54" s="570"/>
      <c r="LU54" s="571"/>
      <c r="LV54" s="572"/>
      <c r="LW54" s="570"/>
      <c r="LX54" s="573"/>
      <c r="LY54" s="571"/>
      <c r="LZ54" s="574"/>
      <c r="MA54" s="562"/>
      <c r="MB54" s="575"/>
    </row>
    <row r="55" spans="1:340">
      <c r="A55" s="14">
        <v>1</v>
      </c>
      <c r="B55" s="576"/>
      <c r="C55" s="577"/>
      <c r="D55" s="240"/>
      <c r="E55" s="240"/>
      <c r="F55" s="578"/>
      <c r="G55" s="241"/>
      <c r="H55" s="241"/>
      <c r="I55" s="241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9"/>
      <c r="AC55" s="580"/>
      <c r="AD55" s="580"/>
      <c r="AE55" s="580"/>
      <c r="AF55" s="580"/>
      <c r="AG55" s="580"/>
      <c r="AH55" s="580"/>
      <c r="AI55" s="580"/>
      <c r="AJ55" s="580"/>
      <c r="AK55" s="580"/>
      <c r="AL55" s="580"/>
      <c r="AM55" s="580"/>
      <c r="AN55" s="580"/>
      <c r="AO55" s="580"/>
      <c r="AP55" s="580"/>
      <c r="AQ55" s="580"/>
      <c r="AR55" s="580"/>
      <c r="AS55" s="580"/>
      <c r="AT55" s="580"/>
      <c r="AU55" s="580"/>
      <c r="AV55" s="580"/>
      <c r="AW55" s="580"/>
      <c r="AX55" s="580"/>
      <c r="AY55" s="580"/>
      <c r="AZ55" s="580"/>
      <c r="BA55" s="580"/>
      <c r="BB55" s="580"/>
      <c r="BC55" s="580"/>
      <c r="BD55" s="580"/>
      <c r="BE55" s="580"/>
      <c r="BF55" s="580"/>
      <c r="BG55" s="580"/>
      <c r="BH55" s="580"/>
      <c r="BI55" s="580"/>
      <c r="BJ55" s="580"/>
      <c r="BK55" s="580"/>
      <c r="BL55" s="580"/>
      <c r="BM55" s="580"/>
      <c r="BN55" s="580"/>
      <c r="BO55" s="580"/>
      <c r="BP55" s="580"/>
      <c r="BQ55" s="580"/>
      <c r="BR55" s="580"/>
      <c r="BS55" s="580"/>
      <c r="BT55" s="580"/>
      <c r="BU55" s="580"/>
      <c r="BV55" s="580"/>
      <c r="BW55" s="580"/>
      <c r="BX55" s="580"/>
      <c r="BY55" s="580"/>
      <c r="BZ55" s="580"/>
      <c r="CA55" s="580"/>
      <c r="CB55" s="580"/>
      <c r="CC55" s="580"/>
      <c r="CD55" s="580"/>
      <c r="CE55" s="580"/>
      <c r="CF55" s="580"/>
      <c r="CG55" s="580"/>
      <c r="CH55" s="580"/>
      <c r="CI55" s="580"/>
      <c r="CJ55" s="580"/>
      <c r="CK55" s="580"/>
      <c r="CL55" s="580"/>
      <c r="CM55" s="580"/>
      <c r="CN55" s="580"/>
      <c r="CO55" s="580"/>
      <c r="CP55" s="580"/>
      <c r="CQ55" s="580"/>
      <c r="CR55" s="580"/>
      <c r="CS55" s="580"/>
      <c r="CT55" s="580"/>
      <c r="CU55" s="580"/>
      <c r="CV55" s="580"/>
      <c r="CW55" s="580"/>
      <c r="CX55" s="580"/>
      <c r="CY55" s="580"/>
      <c r="CZ55" s="580"/>
      <c r="DA55" s="580"/>
      <c r="DB55" s="580"/>
      <c r="DC55" s="580"/>
      <c r="DD55" s="580"/>
      <c r="DE55" s="580"/>
      <c r="DF55" s="580"/>
      <c r="DG55" s="580"/>
      <c r="DH55" s="580"/>
      <c r="DI55" s="580"/>
      <c r="DJ55" s="580"/>
      <c r="DK55" s="580"/>
      <c r="DL55" s="580"/>
      <c r="DM55" s="580"/>
      <c r="DN55" s="580"/>
      <c r="DO55" s="580"/>
      <c r="DP55" s="580"/>
      <c r="DQ55" s="580"/>
      <c r="DR55" s="580"/>
      <c r="DS55" s="580"/>
      <c r="DT55" s="580"/>
      <c r="DU55" s="580"/>
      <c r="DV55" s="580"/>
      <c r="DW55" s="580"/>
      <c r="DX55" s="580"/>
      <c r="DY55" s="580"/>
      <c r="DZ55" s="580"/>
      <c r="EA55" s="580"/>
      <c r="EB55" s="580"/>
      <c r="EC55" s="580"/>
      <c r="ED55" s="580"/>
      <c r="EE55" s="580"/>
      <c r="EF55" s="580"/>
      <c r="EG55" s="580"/>
      <c r="EH55" s="580"/>
      <c r="EI55" s="580"/>
      <c r="EJ55" s="580"/>
      <c r="EK55" s="580"/>
      <c r="EL55" s="580"/>
      <c r="EM55" s="580"/>
      <c r="EN55" s="580"/>
      <c r="EO55" s="580"/>
      <c r="EP55" s="580"/>
      <c r="EQ55" s="580"/>
      <c r="ER55" s="580"/>
      <c r="ES55" s="580"/>
      <c r="ET55" s="580"/>
      <c r="EU55" s="580"/>
      <c r="EV55" s="580"/>
      <c r="EW55" s="580"/>
      <c r="EX55" s="580"/>
      <c r="EY55" s="580"/>
      <c r="EZ55" s="580"/>
      <c r="FA55" s="580"/>
      <c r="FB55" s="580"/>
      <c r="FC55" s="580"/>
      <c r="FD55" s="580"/>
      <c r="FE55" s="580"/>
      <c r="FF55" s="580"/>
      <c r="FG55" s="580"/>
      <c r="FH55" s="580"/>
      <c r="FI55" s="580"/>
      <c r="FJ55" s="580"/>
      <c r="FK55" s="580"/>
      <c r="FL55" s="580"/>
      <c r="FM55" s="580"/>
      <c r="FN55" s="580"/>
      <c r="FO55" s="580"/>
      <c r="FP55" s="580"/>
      <c r="FQ55" s="580"/>
      <c r="FR55" s="580"/>
      <c r="FS55" s="580"/>
      <c r="FT55" s="580"/>
      <c r="FU55" s="580"/>
      <c r="FV55" s="580"/>
      <c r="FW55" s="580"/>
      <c r="FX55" s="580"/>
      <c r="FY55" s="580"/>
      <c r="FZ55" s="580"/>
      <c r="GA55" s="580"/>
      <c r="GB55" s="580"/>
      <c r="GC55" s="580"/>
      <c r="GD55" s="580"/>
      <c r="GE55" s="580"/>
      <c r="GF55" s="580"/>
      <c r="GG55" s="580"/>
      <c r="GH55" s="580"/>
      <c r="GI55" s="580"/>
      <c r="GJ55" s="580"/>
      <c r="GK55" s="580"/>
      <c r="GL55" s="580"/>
      <c r="GM55" s="580"/>
      <c r="GN55" s="580"/>
      <c r="GO55" s="580"/>
      <c r="GP55" s="580"/>
      <c r="GQ55" s="580"/>
      <c r="GR55" s="580"/>
      <c r="GS55" s="580"/>
      <c r="GT55" s="580"/>
      <c r="GU55" s="580"/>
      <c r="GV55" s="580"/>
      <c r="GW55" s="580"/>
      <c r="GX55" s="580"/>
      <c r="GY55" s="580"/>
      <c r="GZ55" s="580"/>
      <c r="HA55" s="580"/>
      <c r="HB55" s="580"/>
      <c r="HC55" s="580"/>
      <c r="HD55" s="580"/>
      <c r="HE55" s="580"/>
      <c r="HF55" s="580"/>
      <c r="HG55" s="580"/>
      <c r="HH55" s="580"/>
      <c r="HI55" s="580"/>
      <c r="HJ55" s="580"/>
      <c r="HK55" s="580"/>
      <c r="HL55" s="580"/>
      <c r="HM55" s="580"/>
      <c r="HN55" s="580"/>
      <c r="HO55" s="580"/>
      <c r="HP55" s="580"/>
      <c r="HQ55" s="580"/>
      <c r="HR55" s="580"/>
      <c r="HS55" s="580"/>
      <c r="HT55" s="580"/>
      <c r="HU55" s="580"/>
      <c r="HV55" s="580"/>
      <c r="HW55" s="580"/>
      <c r="HX55" s="580"/>
      <c r="HY55" s="580"/>
      <c r="HZ55" s="580"/>
      <c r="IA55" s="580"/>
      <c r="IB55" s="580"/>
      <c r="IC55" s="580"/>
      <c r="ID55" s="580"/>
      <c r="IE55" s="580"/>
      <c r="IF55" s="580"/>
      <c r="IG55" s="580"/>
      <c r="IH55" s="580"/>
      <c r="II55" s="580"/>
      <c r="IJ55" s="580"/>
      <c r="IK55" s="580"/>
      <c r="IL55" s="580"/>
      <c r="IM55" s="580"/>
      <c r="IN55" s="580"/>
      <c r="IO55" s="580"/>
      <c r="IP55" s="580"/>
      <c r="IQ55" s="580"/>
      <c r="IR55" s="580"/>
      <c r="IS55" s="580"/>
      <c r="IT55" s="580"/>
      <c r="IU55" s="580"/>
      <c r="IV55" s="580"/>
      <c r="IW55" s="580"/>
      <c r="IX55" s="580"/>
      <c r="IY55" s="580"/>
      <c r="IZ55" s="580"/>
      <c r="JA55" s="580"/>
      <c r="JB55" s="580"/>
      <c r="JC55" s="580"/>
      <c r="JD55" s="580"/>
      <c r="JE55" s="580"/>
      <c r="JF55" s="580"/>
      <c r="JG55" s="580"/>
      <c r="JH55" s="580"/>
      <c r="JI55" s="580"/>
      <c r="JJ55" s="580"/>
      <c r="JK55" s="580"/>
      <c r="JL55" s="580"/>
      <c r="JM55" s="580"/>
      <c r="JN55" s="580"/>
      <c r="JO55" s="580"/>
      <c r="JP55" s="580"/>
      <c r="JQ55" s="580"/>
      <c r="JR55" s="580"/>
      <c r="JS55" s="580"/>
      <c r="JT55" s="581"/>
      <c r="JU55" s="580"/>
      <c r="JV55" s="580"/>
      <c r="JW55" s="580"/>
      <c r="JX55" s="580"/>
      <c r="JY55" s="580"/>
      <c r="JZ55" s="580"/>
      <c r="KA55" s="580"/>
      <c r="KB55" s="580"/>
      <c r="KC55" s="580"/>
      <c r="KD55" s="580"/>
      <c r="KE55" s="580"/>
      <c r="KF55" s="580"/>
      <c r="KG55" s="580"/>
      <c r="KH55" s="580"/>
      <c r="KI55" s="580"/>
      <c r="KJ55" s="580"/>
      <c r="KK55" s="580"/>
      <c r="KL55" s="580"/>
      <c r="KM55" s="580"/>
      <c r="KN55" s="580"/>
      <c r="KO55" s="580"/>
      <c r="KP55" s="580"/>
      <c r="KQ55" s="580"/>
      <c r="KR55" s="580"/>
      <c r="KS55" s="580"/>
      <c r="KT55" s="580"/>
      <c r="KU55" s="580"/>
      <c r="KV55" s="580"/>
      <c r="KW55" s="580"/>
      <c r="KX55" s="580"/>
      <c r="KY55" s="580"/>
      <c r="KZ55" s="580"/>
      <c r="LA55" s="580"/>
      <c r="LB55" s="580"/>
      <c r="LC55" s="580"/>
      <c r="LD55" s="240"/>
      <c r="LE55" s="578"/>
      <c r="LF55" s="578"/>
      <c r="LG55" s="578"/>
      <c r="LH55" s="578"/>
      <c r="LI55" s="578"/>
      <c r="LJ55" s="578"/>
      <c r="LK55" s="578"/>
      <c r="LL55" s="578"/>
      <c r="LM55" s="578"/>
      <c r="LN55" s="578"/>
      <c r="LO55" s="578"/>
      <c r="LP55" s="578"/>
      <c r="LQ55" s="578"/>
      <c r="LR55" s="578"/>
      <c r="LS55" s="578"/>
      <c r="LT55" s="578"/>
      <c r="LU55" s="578"/>
      <c r="LV55" s="578"/>
      <c r="LW55" s="578"/>
      <c r="LX55" s="578"/>
      <c r="LY55" s="578"/>
      <c r="LZ55" s="578"/>
      <c r="MA55" s="578"/>
      <c r="MB55" s="578"/>
    </row>
    <row r="56" spans="1:340">
      <c r="A56" s="14">
        <v>1</v>
      </c>
      <c r="B56" s="582"/>
      <c r="C56" s="583"/>
      <c r="D56" s="584"/>
      <c r="E56" s="584"/>
      <c r="F56" s="585"/>
      <c r="G56" s="587"/>
      <c r="H56" s="587"/>
      <c r="I56" s="587"/>
      <c r="J56" s="585"/>
      <c r="K56" s="585"/>
      <c r="L56" s="585"/>
      <c r="M56" s="585"/>
      <c r="N56" s="585"/>
      <c r="O56" s="585"/>
      <c r="P56" s="585"/>
      <c r="Q56" s="585"/>
      <c r="R56" s="585"/>
      <c r="S56" s="585"/>
      <c r="T56" s="585"/>
      <c r="U56" s="585"/>
      <c r="V56" s="585"/>
      <c r="W56" s="585"/>
      <c r="X56" s="585"/>
      <c r="Y56" s="585"/>
      <c r="Z56" s="585"/>
      <c r="AA56" s="586"/>
      <c r="AC56" s="585"/>
      <c r="AD56" s="585"/>
      <c r="AE56" s="585"/>
      <c r="AF56" s="585"/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585"/>
      <c r="AR56" s="585"/>
      <c r="AS56" s="585"/>
      <c r="AT56" s="585"/>
      <c r="AU56" s="585"/>
      <c r="AV56" s="585"/>
      <c r="AW56" s="585"/>
      <c r="AX56" s="585"/>
      <c r="AY56" s="585"/>
      <c r="AZ56" s="585"/>
      <c r="BA56" s="585"/>
      <c r="BB56" s="585"/>
      <c r="BC56" s="585"/>
      <c r="BD56" s="585"/>
      <c r="BE56" s="585"/>
      <c r="BF56" s="585"/>
      <c r="BG56" s="585"/>
      <c r="BH56" s="585"/>
      <c r="BI56" s="585"/>
      <c r="BJ56" s="585"/>
      <c r="BK56" s="585"/>
      <c r="BL56" s="585"/>
      <c r="BM56" s="585"/>
      <c r="BN56" s="585"/>
      <c r="BO56" s="585"/>
      <c r="BP56" s="585"/>
      <c r="BQ56" s="585"/>
      <c r="BR56" s="585"/>
      <c r="BS56" s="585"/>
      <c r="BT56" s="585"/>
      <c r="BU56" s="585"/>
      <c r="BV56" s="585"/>
      <c r="BW56" s="585"/>
      <c r="BX56" s="585"/>
      <c r="BY56" s="585"/>
      <c r="BZ56" s="585"/>
      <c r="CA56" s="585"/>
      <c r="CB56" s="585"/>
      <c r="CC56" s="585"/>
      <c r="CD56" s="585"/>
      <c r="CE56" s="585"/>
      <c r="CF56" s="585"/>
      <c r="CG56" s="585"/>
      <c r="CH56" s="585"/>
      <c r="CI56" s="585"/>
      <c r="CJ56" s="585"/>
      <c r="CK56" s="585"/>
      <c r="CL56" s="585"/>
      <c r="CM56" s="585"/>
      <c r="CN56" s="585"/>
      <c r="CO56" s="585"/>
      <c r="CP56" s="585"/>
      <c r="CQ56" s="585"/>
      <c r="CR56" s="585"/>
      <c r="CS56" s="585"/>
      <c r="CT56" s="585"/>
      <c r="CU56" s="585"/>
      <c r="CV56" s="585"/>
      <c r="CW56" s="585"/>
      <c r="CX56" s="585"/>
      <c r="CY56" s="585"/>
      <c r="CZ56" s="585"/>
      <c r="DA56" s="585"/>
      <c r="DB56" s="585"/>
      <c r="DC56" s="585"/>
      <c r="DD56" s="585"/>
      <c r="DE56" s="585"/>
      <c r="DF56" s="585"/>
      <c r="DG56" s="585"/>
      <c r="DH56" s="585"/>
      <c r="DI56" s="585"/>
      <c r="DJ56" s="585"/>
      <c r="DK56" s="585"/>
      <c r="DL56" s="585"/>
      <c r="DM56" s="585"/>
      <c r="DN56" s="585"/>
      <c r="DO56" s="585"/>
      <c r="DP56" s="585"/>
      <c r="DQ56" s="585"/>
      <c r="DR56" s="585"/>
      <c r="DS56" s="585"/>
      <c r="DT56" s="585"/>
      <c r="DU56" s="585"/>
      <c r="DV56" s="585"/>
      <c r="DW56" s="585"/>
      <c r="DX56" s="585"/>
      <c r="DY56" s="585"/>
      <c r="DZ56" s="585"/>
      <c r="EA56" s="585"/>
      <c r="EB56" s="585"/>
      <c r="EC56" s="585"/>
      <c r="ED56" s="585"/>
      <c r="EE56" s="585"/>
      <c r="EF56" s="585"/>
      <c r="EG56" s="585"/>
      <c r="EH56" s="585"/>
      <c r="EI56" s="585"/>
      <c r="EJ56" s="585"/>
      <c r="EK56" s="585"/>
      <c r="EL56" s="585"/>
      <c r="EM56" s="585"/>
      <c r="EN56" s="585"/>
      <c r="EO56" s="585"/>
      <c r="EP56" s="585"/>
      <c r="EQ56" s="585"/>
      <c r="ER56" s="585"/>
      <c r="ES56" s="585"/>
      <c r="ET56" s="585"/>
      <c r="EU56" s="585"/>
      <c r="EV56" s="585"/>
      <c r="EW56" s="585"/>
      <c r="EX56" s="585"/>
      <c r="EY56" s="585"/>
      <c r="EZ56" s="585"/>
      <c r="FA56" s="585"/>
      <c r="FB56" s="585"/>
      <c r="FC56" s="585"/>
      <c r="FD56" s="585"/>
      <c r="FE56" s="585"/>
      <c r="FF56" s="585"/>
      <c r="FG56" s="585"/>
      <c r="FH56" s="585"/>
      <c r="FI56" s="585"/>
      <c r="FJ56" s="585"/>
      <c r="FK56" s="585"/>
      <c r="FL56" s="585"/>
      <c r="FM56" s="585"/>
      <c r="FN56" s="585"/>
      <c r="FO56" s="585"/>
      <c r="FP56" s="585"/>
      <c r="FQ56" s="585"/>
      <c r="FR56" s="585"/>
      <c r="FS56" s="585"/>
      <c r="FT56" s="585"/>
      <c r="FU56" s="585"/>
      <c r="FV56" s="585"/>
      <c r="FW56" s="585"/>
      <c r="FX56" s="585"/>
      <c r="FY56" s="585"/>
      <c r="FZ56" s="585"/>
      <c r="GA56" s="585"/>
      <c r="GB56" s="585"/>
      <c r="GC56" s="585"/>
      <c r="GD56" s="585"/>
      <c r="GE56" s="585"/>
      <c r="GF56" s="585"/>
      <c r="GG56" s="585"/>
      <c r="GH56" s="585"/>
      <c r="GI56" s="585"/>
      <c r="GJ56" s="585"/>
      <c r="GK56" s="585"/>
      <c r="GL56" s="585"/>
      <c r="GM56" s="585"/>
      <c r="GN56" s="585"/>
      <c r="GO56" s="585"/>
      <c r="GP56" s="585"/>
      <c r="GQ56" s="585"/>
      <c r="GR56" s="585"/>
      <c r="GS56" s="585"/>
      <c r="GT56" s="585"/>
      <c r="GU56" s="585"/>
      <c r="GV56" s="585"/>
      <c r="GW56" s="585"/>
      <c r="GX56" s="585"/>
      <c r="GY56" s="585"/>
      <c r="GZ56" s="585"/>
      <c r="HA56" s="585"/>
      <c r="HB56" s="585"/>
      <c r="HC56" s="585"/>
      <c r="HD56" s="585"/>
      <c r="HE56" s="585"/>
      <c r="HF56" s="585"/>
      <c r="HG56" s="585"/>
      <c r="HH56" s="585"/>
      <c r="HI56" s="585"/>
      <c r="HJ56" s="585"/>
      <c r="HK56" s="585"/>
      <c r="HL56" s="585"/>
      <c r="HM56" s="585"/>
      <c r="HN56" s="585"/>
      <c r="HO56" s="585"/>
      <c r="HP56" s="585"/>
      <c r="HQ56" s="585"/>
      <c r="HR56" s="585"/>
      <c r="HS56" s="585"/>
      <c r="HT56" s="585"/>
      <c r="HU56" s="585"/>
      <c r="HV56" s="585"/>
      <c r="HW56" s="585"/>
      <c r="HX56" s="585"/>
      <c r="HY56" s="585"/>
      <c r="HZ56" s="585"/>
      <c r="IA56" s="585"/>
      <c r="IB56" s="585"/>
      <c r="IC56" s="585"/>
      <c r="ID56" s="585"/>
      <c r="IE56" s="585"/>
      <c r="IF56" s="585"/>
      <c r="IG56" s="585"/>
      <c r="IH56" s="585"/>
      <c r="II56" s="585"/>
      <c r="IJ56" s="585"/>
      <c r="IK56" s="585"/>
      <c r="IL56" s="585"/>
      <c r="IM56" s="585"/>
      <c r="IN56" s="585"/>
      <c r="IO56" s="585"/>
      <c r="IP56" s="585"/>
      <c r="IQ56" s="585"/>
      <c r="IR56" s="585"/>
      <c r="IS56" s="585"/>
      <c r="IT56" s="585"/>
      <c r="IU56" s="585"/>
      <c r="IV56" s="585"/>
      <c r="IW56" s="585"/>
      <c r="IX56" s="585"/>
      <c r="IY56" s="585"/>
      <c r="IZ56" s="585"/>
      <c r="JA56" s="585"/>
      <c r="JB56" s="585"/>
      <c r="JC56" s="585"/>
      <c r="JD56" s="585"/>
      <c r="JE56" s="585"/>
      <c r="JF56" s="585"/>
      <c r="JG56" s="585"/>
      <c r="JH56" s="585"/>
      <c r="JI56" s="585"/>
      <c r="JJ56" s="585"/>
      <c r="JK56" s="585"/>
      <c r="JL56" s="585"/>
      <c r="JM56" s="585"/>
      <c r="JN56" s="585"/>
      <c r="JO56" s="585"/>
      <c r="JP56" s="585"/>
      <c r="JQ56" s="585"/>
      <c r="JR56" s="585"/>
      <c r="JS56" s="585"/>
      <c r="JT56" s="587"/>
      <c r="JU56" s="585"/>
      <c r="JV56" s="585"/>
      <c r="JW56" s="585"/>
      <c r="JX56" s="585"/>
      <c r="JY56" s="585"/>
      <c r="JZ56" s="585"/>
      <c r="KA56" s="585"/>
      <c r="KB56" s="585"/>
      <c r="KC56" s="585"/>
      <c r="KD56" s="585"/>
      <c r="KE56" s="585"/>
      <c r="KF56" s="585"/>
      <c r="KG56" s="585"/>
      <c r="KH56" s="585"/>
      <c r="KI56" s="585"/>
      <c r="KJ56" s="585"/>
      <c r="KK56" s="585"/>
      <c r="KL56" s="585"/>
      <c r="KM56" s="585"/>
      <c r="KN56" s="585"/>
      <c r="KO56" s="585"/>
      <c r="KP56" s="585"/>
      <c r="KQ56" s="585"/>
      <c r="KR56" s="585"/>
      <c r="KS56" s="585"/>
      <c r="KT56" s="585"/>
      <c r="KU56" s="585"/>
      <c r="KV56" s="585"/>
      <c r="KW56" s="585"/>
      <c r="KX56" s="585"/>
      <c r="KY56" s="585"/>
      <c r="KZ56" s="585"/>
      <c r="LA56" s="585"/>
      <c r="LB56" s="585"/>
      <c r="LC56" s="585"/>
      <c r="LD56" s="584"/>
      <c r="LE56" s="585"/>
      <c r="LF56" s="585"/>
      <c r="LG56" s="585"/>
      <c r="LH56" s="585"/>
      <c r="LI56" s="585"/>
      <c r="LJ56" s="585"/>
      <c r="LK56" s="585"/>
      <c r="LL56" s="585"/>
      <c r="LM56" s="585"/>
      <c r="LN56" s="585"/>
      <c r="LO56" s="585"/>
      <c r="LP56" s="585"/>
      <c r="LQ56" s="585"/>
      <c r="LR56" s="585"/>
      <c r="LS56" s="585"/>
      <c r="LT56" s="585"/>
      <c r="LU56" s="585"/>
      <c r="LV56" s="585"/>
      <c r="LW56" s="585"/>
      <c r="LX56" s="585"/>
      <c r="LY56" s="585"/>
      <c r="LZ56" s="585"/>
      <c r="MA56" s="585"/>
      <c r="MB56" s="585"/>
    </row>
    <row r="57" spans="1:340">
      <c r="A57" s="14">
        <v>1</v>
      </c>
      <c r="B57" s="582"/>
      <c r="C57" s="583"/>
      <c r="D57" s="584"/>
      <c r="E57" s="584"/>
      <c r="F57" s="585"/>
      <c r="G57" s="587"/>
      <c r="H57" s="587"/>
      <c r="I57" s="587"/>
      <c r="J57" s="585"/>
      <c r="K57" s="585"/>
      <c r="L57" s="585"/>
      <c r="M57" s="585"/>
      <c r="N57" s="585"/>
      <c r="O57" s="585"/>
      <c r="P57" s="585"/>
      <c r="Q57" s="585"/>
      <c r="R57" s="585"/>
      <c r="S57" s="585"/>
      <c r="T57" s="585"/>
      <c r="U57" s="585"/>
      <c r="V57" s="585"/>
      <c r="W57" s="585"/>
      <c r="X57" s="585"/>
      <c r="Y57" s="585"/>
      <c r="Z57" s="585"/>
      <c r="AA57" s="586"/>
      <c r="AB57" s="584"/>
      <c r="AC57" s="585"/>
      <c r="AD57" s="585"/>
      <c r="AE57" s="585"/>
      <c r="AF57" s="585"/>
      <c r="AG57" s="585"/>
      <c r="AH57" s="585"/>
      <c r="AI57" s="585"/>
      <c r="AJ57" s="585"/>
      <c r="AK57" s="585"/>
      <c r="AL57" s="585"/>
      <c r="AM57" s="585"/>
      <c r="AN57" s="585"/>
      <c r="AO57" s="585"/>
      <c r="AP57" s="585"/>
      <c r="AQ57" s="585"/>
      <c r="AR57" s="585"/>
      <c r="AS57" s="585"/>
      <c r="AT57" s="585"/>
      <c r="AU57" s="585"/>
      <c r="AV57" s="585"/>
      <c r="AW57" s="585"/>
      <c r="AX57" s="585"/>
      <c r="AY57" s="585"/>
      <c r="AZ57" s="585"/>
      <c r="BA57" s="585"/>
      <c r="BB57" s="585"/>
      <c r="BC57" s="585"/>
      <c r="BD57" s="585"/>
      <c r="BE57" s="585"/>
      <c r="BF57" s="585"/>
      <c r="BG57" s="585"/>
      <c r="BH57" s="585"/>
      <c r="BI57" s="585"/>
      <c r="BJ57" s="585"/>
      <c r="BK57" s="585"/>
      <c r="BL57" s="585"/>
      <c r="BM57" s="585"/>
      <c r="BN57" s="585"/>
      <c r="BO57" s="585"/>
      <c r="BP57" s="585"/>
      <c r="BQ57" s="585"/>
      <c r="BR57" s="585"/>
      <c r="BS57" s="585"/>
      <c r="BT57" s="585"/>
      <c r="BU57" s="585"/>
      <c r="BV57" s="585"/>
      <c r="BW57" s="585"/>
      <c r="BX57" s="585"/>
      <c r="BY57" s="585"/>
      <c r="BZ57" s="585"/>
      <c r="CA57" s="585"/>
      <c r="CB57" s="585"/>
      <c r="CC57" s="585"/>
      <c r="CD57" s="585"/>
      <c r="CE57" s="585"/>
      <c r="CF57" s="585"/>
      <c r="CG57" s="585"/>
      <c r="CH57" s="585"/>
      <c r="CI57" s="585"/>
      <c r="CJ57" s="585"/>
      <c r="CK57" s="585"/>
      <c r="CL57" s="585"/>
      <c r="CM57" s="585"/>
      <c r="CN57" s="585"/>
      <c r="CO57" s="585"/>
      <c r="CP57" s="585"/>
      <c r="CQ57" s="585"/>
      <c r="CR57" s="585"/>
      <c r="CS57" s="585"/>
      <c r="CT57" s="585"/>
      <c r="CU57" s="585"/>
      <c r="CV57" s="585"/>
      <c r="CW57" s="585"/>
      <c r="CX57" s="585"/>
      <c r="CY57" s="585"/>
      <c r="CZ57" s="585"/>
      <c r="DA57" s="585"/>
      <c r="DB57" s="585"/>
      <c r="DC57" s="585"/>
      <c r="DD57" s="585"/>
      <c r="DE57" s="585"/>
      <c r="DF57" s="585"/>
      <c r="DG57" s="585"/>
      <c r="DH57" s="585"/>
      <c r="DI57" s="585"/>
      <c r="DJ57" s="585"/>
      <c r="DK57" s="585"/>
      <c r="DL57" s="585"/>
      <c r="DM57" s="585"/>
      <c r="DN57" s="585"/>
      <c r="DO57" s="585"/>
      <c r="DP57" s="585"/>
      <c r="DQ57" s="585"/>
      <c r="DR57" s="585"/>
      <c r="DS57" s="585"/>
      <c r="DT57" s="585"/>
      <c r="DU57" s="585"/>
      <c r="DV57" s="585"/>
      <c r="DW57" s="585"/>
      <c r="DX57" s="585"/>
      <c r="DY57" s="585"/>
      <c r="DZ57" s="585"/>
      <c r="EA57" s="585"/>
      <c r="EB57" s="585"/>
      <c r="EC57" s="585"/>
      <c r="ED57" s="585"/>
      <c r="EE57" s="585"/>
      <c r="EF57" s="585"/>
      <c r="EG57" s="585"/>
      <c r="EH57" s="585"/>
      <c r="EI57" s="585"/>
      <c r="EJ57" s="585"/>
      <c r="EK57" s="585"/>
      <c r="EL57" s="585"/>
      <c r="EM57" s="585"/>
      <c r="EN57" s="585"/>
      <c r="EO57" s="585"/>
      <c r="EP57" s="585"/>
      <c r="EQ57" s="585"/>
      <c r="ER57" s="585"/>
      <c r="ES57" s="585"/>
      <c r="ET57" s="585"/>
      <c r="EU57" s="585"/>
      <c r="EV57" s="585"/>
      <c r="EW57" s="585"/>
      <c r="EX57" s="585"/>
      <c r="EY57" s="585"/>
      <c r="EZ57" s="585"/>
      <c r="FA57" s="585"/>
      <c r="FB57" s="585"/>
      <c r="FC57" s="585"/>
      <c r="FD57" s="585"/>
      <c r="FE57" s="585"/>
      <c r="FF57" s="585"/>
      <c r="FG57" s="585"/>
      <c r="FH57" s="585"/>
      <c r="FI57" s="585"/>
      <c r="FJ57" s="585"/>
      <c r="FK57" s="585"/>
      <c r="FL57" s="585"/>
      <c r="FM57" s="585"/>
      <c r="FN57" s="585"/>
      <c r="FO57" s="585"/>
      <c r="FP57" s="585"/>
      <c r="FQ57" s="585"/>
      <c r="FR57" s="585"/>
      <c r="FS57" s="585"/>
      <c r="FT57" s="585"/>
      <c r="FU57" s="585"/>
      <c r="FV57" s="585"/>
      <c r="FW57" s="585"/>
      <c r="FX57" s="585"/>
      <c r="FY57" s="585"/>
      <c r="FZ57" s="585"/>
      <c r="GA57" s="585"/>
      <c r="GB57" s="585"/>
      <c r="GC57" s="585"/>
      <c r="GD57" s="585"/>
      <c r="GE57" s="585"/>
      <c r="GF57" s="585"/>
      <c r="GG57" s="585"/>
      <c r="GH57" s="585"/>
      <c r="GI57" s="585"/>
      <c r="GJ57" s="585"/>
      <c r="GK57" s="585"/>
      <c r="GL57" s="585"/>
      <c r="GM57" s="585"/>
      <c r="GN57" s="585"/>
      <c r="GO57" s="585"/>
      <c r="GP57" s="585"/>
      <c r="GQ57" s="585"/>
      <c r="GR57" s="585"/>
      <c r="GS57" s="585"/>
      <c r="GT57" s="585"/>
      <c r="GU57" s="585"/>
      <c r="GV57" s="585"/>
      <c r="GW57" s="585"/>
      <c r="GX57" s="585"/>
      <c r="GY57" s="585"/>
      <c r="GZ57" s="585"/>
      <c r="HA57" s="585"/>
      <c r="HB57" s="585"/>
      <c r="HC57" s="585"/>
      <c r="HD57" s="585"/>
      <c r="HE57" s="585"/>
      <c r="HF57" s="585"/>
      <c r="HG57" s="585"/>
      <c r="HH57" s="585"/>
      <c r="HI57" s="585"/>
      <c r="HJ57" s="585"/>
      <c r="HK57" s="585"/>
      <c r="HL57" s="585"/>
      <c r="HM57" s="585"/>
      <c r="HN57" s="585"/>
      <c r="HO57" s="585"/>
      <c r="HP57" s="585"/>
      <c r="HQ57" s="585"/>
      <c r="HR57" s="585"/>
      <c r="HS57" s="585"/>
      <c r="HT57" s="585"/>
      <c r="HU57" s="585"/>
      <c r="HV57" s="585"/>
      <c r="HW57" s="585"/>
      <c r="HX57" s="585"/>
      <c r="HY57" s="585"/>
      <c r="HZ57" s="585"/>
      <c r="IA57" s="585"/>
      <c r="IB57" s="585"/>
      <c r="IC57" s="585"/>
      <c r="ID57" s="585"/>
      <c r="IE57" s="585"/>
      <c r="IF57" s="585"/>
      <c r="IG57" s="585"/>
      <c r="IH57" s="585"/>
      <c r="II57" s="585"/>
      <c r="IJ57" s="585"/>
      <c r="IK57" s="585"/>
      <c r="IL57" s="585"/>
      <c r="IM57" s="585"/>
      <c r="IN57" s="585"/>
      <c r="IO57" s="585"/>
      <c r="IP57" s="585"/>
      <c r="IQ57" s="585"/>
      <c r="IR57" s="585"/>
      <c r="IS57" s="585"/>
      <c r="IT57" s="585"/>
      <c r="IU57" s="585"/>
      <c r="IV57" s="585"/>
      <c r="IW57" s="585"/>
      <c r="IX57" s="585"/>
      <c r="IY57" s="585"/>
      <c r="IZ57" s="585"/>
      <c r="JA57" s="585"/>
      <c r="JB57" s="585"/>
      <c r="JC57" s="585"/>
      <c r="JD57" s="585"/>
      <c r="JE57" s="585"/>
      <c r="JF57" s="585"/>
      <c r="JG57" s="585"/>
      <c r="JH57" s="585"/>
      <c r="JI57" s="585"/>
      <c r="JJ57" s="585"/>
      <c r="JK57" s="585"/>
      <c r="JL57" s="585"/>
      <c r="JM57" s="585"/>
      <c r="JN57" s="585"/>
      <c r="JO57" s="585"/>
      <c r="JP57" s="585"/>
      <c r="JQ57" s="585"/>
      <c r="JR57" s="585"/>
      <c r="JS57" s="585"/>
      <c r="JT57" s="587"/>
      <c r="JU57" s="585"/>
      <c r="JV57" s="585"/>
      <c r="JW57" s="585"/>
      <c r="JX57" s="585"/>
      <c r="JY57" s="585"/>
      <c r="JZ57" s="585"/>
      <c r="KA57" s="585"/>
      <c r="KB57" s="585"/>
      <c r="KC57" s="585"/>
      <c r="KD57" s="585"/>
      <c r="KE57" s="585"/>
      <c r="KF57" s="585"/>
      <c r="KG57" s="585"/>
      <c r="KH57" s="585"/>
      <c r="KI57" s="585"/>
      <c r="KJ57" s="585"/>
      <c r="KK57" s="585"/>
      <c r="KL57" s="585"/>
      <c r="KM57" s="585"/>
      <c r="KN57" s="585"/>
      <c r="KO57" s="585"/>
      <c r="KP57" s="585"/>
      <c r="KQ57" s="585"/>
      <c r="KR57" s="585"/>
      <c r="KS57" s="585"/>
      <c r="KT57" s="585"/>
      <c r="KU57" s="585"/>
      <c r="KV57" s="585"/>
      <c r="KW57" s="585"/>
      <c r="KX57" s="585"/>
      <c r="KY57" s="585"/>
      <c r="KZ57" s="585"/>
      <c r="LA57" s="585"/>
      <c r="LB57" s="585"/>
      <c r="LC57" s="585"/>
      <c r="LD57" s="584"/>
      <c r="LE57" s="585"/>
      <c r="LF57" s="585"/>
      <c r="LG57" s="585"/>
      <c r="LH57" s="585"/>
      <c r="LI57" s="585"/>
      <c r="LJ57" s="585"/>
      <c r="LK57" s="585"/>
      <c r="LL57" s="585"/>
      <c r="LM57" s="585"/>
      <c r="LN57" s="585"/>
      <c r="LO57" s="585"/>
      <c r="LP57" s="585"/>
      <c r="LQ57" s="585"/>
      <c r="LR57" s="585"/>
      <c r="LS57" s="585"/>
      <c r="LT57" s="585"/>
      <c r="LU57" s="585"/>
      <c r="LV57" s="585"/>
      <c r="LW57" s="585"/>
      <c r="LX57" s="585"/>
      <c r="LY57" s="585"/>
      <c r="LZ57" s="585"/>
      <c r="MA57" s="585"/>
      <c r="MB57" s="585"/>
    </row>
    <row r="58" spans="1:340">
      <c r="A58" s="14">
        <v>1</v>
      </c>
      <c r="B58" s="582"/>
      <c r="C58" s="583"/>
      <c r="D58" s="584"/>
      <c r="E58" s="584"/>
      <c r="F58" s="585"/>
      <c r="G58" s="587"/>
      <c r="H58" s="587"/>
      <c r="I58" s="587"/>
      <c r="J58" s="585"/>
      <c r="K58" s="585"/>
      <c r="L58" s="585"/>
      <c r="M58" s="585"/>
      <c r="N58" s="585"/>
      <c r="O58" s="585"/>
      <c r="P58" s="585"/>
      <c r="Q58" s="585"/>
      <c r="R58" s="585"/>
      <c r="S58" s="585"/>
      <c r="T58" s="585"/>
      <c r="U58" s="585"/>
      <c r="V58" s="585"/>
      <c r="W58" s="585"/>
      <c r="X58" s="585"/>
      <c r="Y58" s="585"/>
      <c r="Z58" s="585"/>
      <c r="AA58" s="586"/>
      <c r="AB58" s="584"/>
      <c r="AC58" s="585"/>
      <c r="AD58" s="585"/>
      <c r="AE58" s="585"/>
      <c r="AF58" s="585"/>
      <c r="AG58" s="585"/>
      <c r="AH58" s="585"/>
      <c r="AI58" s="585"/>
      <c r="AJ58" s="585"/>
      <c r="AK58" s="585"/>
      <c r="AL58" s="585"/>
      <c r="AM58" s="585"/>
      <c r="AN58" s="585"/>
      <c r="AO58" s="585"/>
      <c r="AP58" s="585"/>
      <c r="AQ58" s="585"/>
      <c r="AR58" s="585"/>
      <c r="AS58" s="585"/>
      <c r="AT58" s="585"/>
      <c r="AU58" s="585"/>
      <c r="AV58" s="585"/>
      <c r="AW58" s="585"/>
      <c r="AX58" s="585"/>
      <c r="AY58" s="585"/>
      <c r="AZ58" s="585"/>
      <c r="BA58" s="585"/>
      <c r="BB58" s="585"/>
      <c r="BC58" s="585"/>
      <c r="BD58" s="585"/>
      <c r="BE58" s="585"/>
      <c r="BF58" s="585"/>
      <c r="BG58" s="585"/>
      <c r="BH58" s="585"/>
      <c r="BI58" s="585"/>
      <c r="BJ58" s="585"/>
      <c r="BK58" s="585"/>
      <c r="BL58" s="585"/>
      <c r="BM58" s="585"/>
      <c r="BN58" s="585"/>
      <c r="BO58" s="585"/>
      <c r="BP58" s="585"/>
      <c r="BQ58" s="585"/>
      <c r="BR58" s="585"/>
      <c r="BS58" s="585"/>
      <c r="BT58" s="585"/>
      <c r="BU58" s="585"/>
      <c r="BV58" s="585"/>
      <c r="BW58" s="585"/>
      <c r="BX58" s="585"/>
      <c r="BY58" s="585"/>
      <c r="BZ58" s="585"/>
      <c r="CA58" s="585"/>
      <c r="CB58" s="585"/>
      <c r="CC58" s="585"/>
      <c r="CD58" s="585"/>
      <c r="CE58" s="585"/>
      <c r="CF58" s="585"/>
      <c r="CG58" s="585"/>
      <c r="CH58" s="585"/>
      <c r="CI58" s="585"/>
      <c r="CJ58" s="585"/>
      <c r="CK58" s="585"/>
      <c r="CL58" s="585"/>
      <c r="CM58" s="585"/>
      <c r="CN58" s="585"/>
      <c r="CO58" s="585"/>
      <c r="CP58" s="585"/>
      <c r="CQ58" s="585"/>
      <c r="CR58" s="585"/>
      <c r="CS58" s="585"/>
      <c r="CT58" s="585"/>
      <c r="CU58" s="585"/>
      <c r="CV58" s="585"/>
      <c r="CW58" s="585"/>
      <c r="CX58" s="585"/>
      <c r="CY58" s="585"/>
      <c r="CZ58" s="585"/>
      <c r="DA58" s="585"/>
      <c r="DB58" s="585"/>
      <c r="DC58" s="585"/>
      <c r="DD58" s="585"/>
      <c r="DE58" s="585"/>
      <c r="DF58" s="585"/>
      <c r="DG58" s="585"/>
      <c r="DH58" s="585"/>
      <c r="DI58" s="585"/>
      <c r="DJ58" s="585"/>
      <c r="DK58" s="585"/>
      <c r="DL58" s="585"/>
      <c r="DM58" s="585"/>
      <c r="DN58" s="585"/>
      <c r="DO58" s="585"/>
      <c r="DP58" s="585"/>
      <c r="DQ58" s="585"/>
      <c r="DR58" s="585"/>
      <c r="DS58" s="585"/>
      <c r="DT58" s="585"/>
      <c r="DU58" s="585"/>
      <c r="DV58" s="585"/>
      <c r="DW58" s="585"/>
      <c r="DX58" s="585"/>
      <c r="DY58" s="585"/>
      <c r="DZ58" s="585"/>
      <c r="EA58" s="585"/>
      <c r="EB58" s="585"/>
      <c r="EC58" s="585"/>
      <c r="ED58" s="585"/>
      <c r="EE58" s="585"/>
      <c r="EF58" s="585"/>
      <c r="EG58" s="585"/>
      <c r="EH58" s="585"/>
      <c r="EI58" s="585"/>
      <c r="EJ58" s="585"/>
      <c r="EK58" s="585"/>
      <c r="EL58" s="585"/>
      <c r="EM58" s="585"/>
      <c r="EN58" s="585"/>
      <c r="EO58" s="585"/>
      <c r="EP58" s="585"/>
      <c r="EQ58" s="585"/>
      <c r="ER58" s="585"/>
      <c r="ES58" s="585"/>
      <c r="ET58" s="585"/>
      <c r="EU58" s="585"/>
      <c r="EV58" s="585"/>
      <c r="EW58" s="585"/>
      <c r="EX58" s="585"/>
      <c r="EY58" s="585"/>
      <c r="EZ58" s="585"/>
      <c r="FA58" s="585"/>
      <c r="FB58" s="585"/>
      <c r="FC58" s="585"/>
      <c r="FD58" s="585"/>
      <c r="FE58" s="585"/>
      <c r="FF58" s="585"/>
      <c r="FG58" s="585"/>
      <c r="FH58" s="585"/>
      <c r="FI58" s="585"/>
      <c r="FJ58" s="585"/>
      <c r="FK58" s="585"/>
      <c r="FL58" s="585"/>
      <c r="FM58" s="585"/>
      <c r="FN58" s="585"/>
      <c r="FO58" s="585"/>
      <c r="FP58" s="585"/>
      <c r="FQ58" s="585"/>
      <c r="FR58" s="585"/>
      <c r="FS58" s="585"/>
      <c r="FT58" s="585"/>
      <c r="FU58" s="585"/>
      <c r="FV58" s="585"/>
      <c r="FW58" s="585"/>
      <c r="FX58" s="585"/>
      <c r="FY58" s="585"/>
      <c r="FZ58" s="585"/>
      <c r="GA58" s="585"/>
      <c r="GB58" s="585"/>
      <c r="GC58" s="585"/>
      <c r="GD58" s="585"/>
      <c r="GE58" s="585"/>
      <c r="GF58" s="585"/>
      <c r="GG58" s="585"/>
      <c r="GH58" s="585"/>
      <c r="GI58" s="585"/>
      <c r="GJ58" s="585"/>
      <c r="GK58" s="585"/>
      <c r="GL58" s="585"/>
      <c r="GM58" s="585"/>
      <c r="GN58" s="585"/>
      <c r="GO58" s="585"/>
      <c r="GP58" s="585"/>
      <c r="GQ58" s="585"/>
      <c r="GR58" s="585"/>
      <c r="GS58" s="585"/>
      <c r="GT58" s="585"/>
      <c r="GU58" s="585"/>
      <c r="GV58" s="585"/>
      <c r="GW58" s="585"/>
      <c r="GX58" s="585"/>
      <c r="GY58" s="585"/>
      <c r="GZ58" s="585"/>
      <c r="HA58" s="585"/>
      <c r="HB58" s="585"/>
      <c r="HC58" s="585"/>
      <c r="HD58" s="585"/>
      <c r="HE58" s="585"/>
      <c r="HF58" s="585"/>
      <c r="HG58" s="585"/>
      <c r="HH58" s="585"/>
      <c r="HI58" s="585"/>
      <c r="HJ58" s="585"/>
      <c r="HK58" s="585"/>
      <c r="HL58" s="585"/>
      <c r="HM58" s="585"/>
      <c r="HN58" s="585"/>
      <c r="HO58" s="585"/>
      <c r="HP58" s="585"/>
      <c r="HQ58" s="585"/>
      <c r="HR58" s="585"/>
      <c r="HS58" s="585"/>
      <c r="HT58" s="585"/>
      <c r="HU58" s="585"/>
      <c r="HV58" s="585"/>
      <c r="HW58" s="585"/>
      <c r="HX58" s="585"/>
      <c r="HY58" s="585"/>
      <c r="HZ58" s="585"/>
      <c r="IA58" s="585"/>
      <c r="IB58" s="585"/>
      <c r="IC58" s="585"/>
      <c r="ID58" s="585"/>
      <c r="IE58" s="585"/>
      <c r="IF58" s="585"/>
      <c r="IG58" s="585"/>
      <c r="IH58" s="585"/>
      <c r="II58" s="585"/>
      <c r="IJ58" s="585"/>
      <c r="IK58" s="585"/>
      <c r="IL58" s="585"/>
      <c r="IM58" s="585"/>
      <c r="IN58" s="585"/>
      <c r="IO58" s="585"/>
      <c r="IP58" s="585"/>
      <c r="IQ58" s="585"/>
      <c r="IR58" s="585"/>
      <c r="IS58" s="585"/>
      <c r="IT58" s="585"/>
      <c r="IU58" s="585"/>
      <c r="IV58" s="585"/>
      <c r="IW58" s="585"/>
      <c r="IX58" s="585"/>
      <c r="IY58" s="585"/>
      <c r="IZ58" s="585"/>
      <c r="JA58" s="585"/>
      <c r="JB58" s="585"/>
      <c r="JC58" s="585"/>
      <c r="JD58" s="585"/>
      <c r="JE58" s="585"/>
      <c r="JF58" s="585"/>
      <c r="JG58" s="585"/>
      <c r="JH58" s="585"/>
      <c r="JI58" s="585"/>
      <c r="JJ58" s="585"/>
      <c r="JK58" s="585"/>
      <c r="JL58" s="585"/>
      <c r="JM58" s="585"/>
      <c r="JN58" s="585"/>
      <c r="JO58" s="585"/>
      <c r="JP58" s="585"/>
      <c r="JQ58" s="585"/>
      <c r="JR58" s="585"/>
      <c r="JS58" s="585"/>
      <c r="JT58" s="587"/>
      <c r="JU58" s="585"/>
      <c r="JV58" s="585"/>
      <c r="JW58" s="585"/>
      <c r="JX58" s="585"/>
      <c r="JY58" s="585"/>
      <c r="JZ58" s="585"/>
      <c r="KA58" s="585"/>
      <c r="KB58" s="585"/>
      <c r="KC58" s="585"/>
      <c r="KD58" s="585"/>
      <c r="KE58" s="585"/>
      <c r="KF58" s="585"/>
      <c r="KG58" s="585"/>
      <c r="KH58" s="585"/>
      <c r="KI58" s="585"/>
      <c r="KJ58" s="585"/>
      <c r="KK58" s="585"/>
      <c r="KL58" s="585"/>
      <c r="KM58" s="585"/>
      <c r="KN58" s="585"/>
      <c r="KO58" s="585"/>
      <c r="KP58" s="585"/>
      <c r="KQ58" s="585"/>
      <c r="KR58" s="585"/>
      <c r="KS58" s="585"/>
      <c r="KT58" s="585"/>
      <c r="KU58" s="585"/>
      <c r="KV58" s="585"/>
      <c r="KW58" s="585"/>
      <c r="KX58" s="585"/>
      <c r="KY58" s="585"/>
      <c r="KZ58" s="585"/>
      <c r="LA58" s="585"/>
      <c r="LB58" s="585"/>
      <c r="LC58" s="585"/>
      <c r="LD58" s="584"/>
      <c r="LE58" s="585"/>
      <c r="LF58" s="585"/>
      <c r="LG58" s="585"/>
      <c r="LH58" s="585"/>
      <c r="LI58" s="585"/>
      <c r="LJ58" s="585"/>
      <c r="LK58" s="585"/>
      <c r="LL58" s="585"/>
      <c r="LM58" s="585"/>
      <c r="LN58" s="585"/>
      <c r="LO58" s="585"/>
      <c r="LP58" s="585"/>
      <c r="LQ58" s="585"/>
      <c r="LR58" s="585"/>
      <c r="LS58" s="585"/>
      <c r="LT58" s="585"/>
      <c r="LU58" s="585"/>
      <c r="LV58" s="585"/>
      <c r="LW58" s="585"/>
      <c r="LX58" s="585"/>
      <c r="LY58" s="585"/>
      <c r="LZ58" s="585"/>
      <c r="MA58" s="585"/>
      <c r="MB58" s="585"/>
    </row>
    <row r="59" spans="1:340">
      <c r="A59" s="14">
        <v>1</v>
      </c>
      <c r="B59" s="582"/>
      <c r="C59" s="583"/>
      <c r="D59" s="584"/>
      <c r="E59" s="584"/>
      <c r="F59" s="585"/>
      <c r="G59" s="587"/>
      <c r="H59" s="587"/>
      <c r="I59" s="587"/>
      <c r="J59" s="585"/>
      <c r="K59" s="585"/>
      <c r="L59" s="585"/>
      <c r="M59" s="585"/>
      <c r="N59" s="585"/>
      <c r="O59" s="585"/>
      <c r="P59" s="585"/>
      <c r="Q59" s="585"/>
      <c r="R59" s="585"/>
      <c r="S59" s="585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5"/>
      <c r="AG59" s="585"/>
      <c r="AH59" s="585"/>
      <c r="AI59" s="585"/>
      <c r="AJ59" s="585"/>
      <c r="AK59" s="585"/>
      <c r="AL59" s="585"/>
      <c r="AM59" s="585"/>
      <c r="AN59" s="585"/>
      <c r="AO59" s="585"/>
      <c r="AP59" s="585"/>
      <c r="AQ59" s="585"/>
      <c r="AR59" s="585"/>
      <c r="AS59" s="585"/>
      <c r="AT59" s="585"/>
      <c r="AU59" s="585"/>
      <c r="AV59" s="585"/>
      <c r="AW59" s="585"/>
      <c r="AX59" s="585"/>
      <c r="AY59" s="585"/>
      <c r="AZ59" s="585"/>
      <c r="BA59" s="585"/>
      <c r="BB59" s="585"/>
      <c r="BC59" s="585"/>
      <c r="BD59" s="585"/>
      <c r="BE59" s="585"/>
      <c r="BF59" s="585"/>
      <c r="BG59" s="585"/>
      <c r="BH59" s="585"/>
      <c r="BI59" s="585"/>
      <c r="BJ59" s="585"/>
      <c r="BK59" s="585"/>
      <c r="BL59" s="585"/>
      <c r="BM59" s="585"/>
      <c r="BN59" s="585"/>
      <c r="BO59" s="585"/>
      <c r="BP59" s="585"/>
      <c r="BQ59" s="585"/>
      <c r="BR59" s="585"/>
      <c r="BS59" s="585"/>
      <c r="BT59" s="585"/>
      <c r="BU59" s="585"/>
      <c r="BV59" s="585"/>
      <c r="BW59" s="585"/>
      <c r="BX59" s="585"/>
      <c r="BY59" s="585"/>
      <c r="BZ59" s="585"/>
      <c r="CA59" s="585"/>
      <c r="CB59" s="585"/>
      <c r="CC59" s="585"/>
      <c r="CD59" s="585"/>
      <c r="CE59" s="585"/>
      <c r="CF59" s="585"/>
      <c r="CG59" s="585"/>
      <c r="CH59" s="585"/>
      <c r="CI59" s="585"/>
      <c r="CJ59" s="585"/>
      <c r="CK59" s="585"/>
      <c r="CL59" s="585"/>
      <c r="CM59" s="585"/>
      <c r="CN59" s="585"/>
      <c r="CO59" s="585"/>
      <c r="CP59" s="585"/>
      <c r="CQ59" s="585"/>
      <c r="CR59" s="585"/>
      <c r="CS59" s="585"/>
      <c r="CT59" s="585"/>
      <c r="CU59" s="585"/>
      <c r="CV59" s="585"/>
      <c r="CW59" s="585"/>
      <c r="CX59" s="585"/>
      <c r="CY59" s="585"/>
      <c r="CZ59" s="585"/>
      <c r="DA59" s="585"/>
      <c r="DB59" s="585"/>
      <c r="DC59" s="585"/>
      <c r="DD59" s="585"/>
      <c r="DE59" s="585"/>
      <c r="DF59" s="585"/>
      <c r="DG59" s="585"/>
      <c r="DH59" s="585"/>
      <c r="DI59" s="585"/>
      <c r="DJ59" s="585"/>
      <c r="DK59" s="585"/>
      <c r="DL59" s="585"/>
      <c r="DM59" s="585"/>
      <c r="DN59" s="585"/>
      <c r="DO59" s="585"/>
      <c r="DP59" s="585"/>
      <c r="DQ59" s="585"/>
      <c r="DR59" s="585"/>
      <c r="DS59" s="585"/>
      <c r="DT59" s="585"/>
      <c r="DU59" s="585"/>
      <c r="DV59" s="585"/>
      <c r="DW59" s="585"/>
      <c r="DX59" s="585"/>
      <c r="DY59" s="585"/>
      <c r="DZ59" s="585"/>
      <c r="EA59" s="585"/>
      <c r="EB59" s="585"/>
      <c r="EC59" s="585"/>
      <c r="ED59" s="585"/>
      <c r="EE59" s="585"/>
      <c r="EF59" s="585"/>
      <c r="EG59" s="585"/>
      <c r="EH59" s="585"/>
      <c r="EI59" s="585"/>
      <c r="EJ59" s="585"/>
      <c r="EK59" s="585"/>
      <c r="EL59" s="585"/>
      <c r="EM59" s="585"/>
      <c r="EN59" s="585"/>
      <c r="EO59" s="585"/>
      <c r="EP59" s="585"/>
      <c r="EQ59" s="585"/>
      <c r="ER59" s="585"/>
      <c r="ES59" s="585"/>
      <c r="ET59" s="585"/>
      <c r="EU59" s="585"/>
      <c r="EV59" s="585"/>
      <c r="EW59" s="585"/>
      <c r="EX59" s="585"/>
      <c r="EY59" s="585"/>
      <c r="EZ59" s="585"/>
      <c r="FA59" s="585"/>
      <c r="FB59" s="585"/>
      <c r="FC59" s="585"/>
      <c r="FD59" s="585"/>
      <c r="FE59" s="585"/>
      <c r="FF59" s="585"/>
      <c r="FG59" s="585"/>
      <c r="FH59" s="585"/>
      <c r="FI59" s="585"/>
      <c r="FJ59" s="585"/>
      <c r="FK59" s="585"/>
      <c r="FL59" s="585"/>
      <c r="FM59" s="585"/>
      <c r="FN59" s="585"/>
      <c r="FO59" s="585"/>
      <c r="FP59" s="585"/>
      <c r="FQ59" s="585"/>
      <c r="FR59" s="585"/>
      <c r="FS59" s="585"/>
      <c r="FT59" s="585"/>
      <c r="FU59" s="585"/>
      <c r="FV59" s="585"/>
      <c r="FW59" s="585"/>
      <c r="FX59" s="585"/>
      <c r="FY59" s="585"/>
      <c r="FZ59" s="585"/>
      <c r="GA59" s="585"/>
      <c r="GB59" s="585"/>
      <c r="GC59" s="585"/>
      <c r="GD59" s="585"/>
      <c r="GE59" s="585"/>
      <c r="GF59" s="585"/>
      <c r="GG59" s="585"/>
      <c r="GH59" s="585"/>
      <c r="GI59" s="585"/>
      <c r="GJ59" s="585"/>
      <c r="GK59" s="585"/>
      <c r="GL59" s="585"/>
      <c r="GM59" s="585"/>
      <c r="GN59" s="585"/>
      <c r="GO59" s="585"/>
      <c r="GP59" s="585"/>
      <c r="GQ59" s="585"/>
      <c r="GR59" s="585"/>
      <c r="GS59" s="585"/>
      <c r="GT59" s="585"/>
      <c r="GU59" s="585"/>
      <c r="GV59" s="585"/>
      <c r="GW59" s="585"/>
      <c r="GX59" s="585"/>
      <c r="GY59" s="585"/>
      <c r="GZ59" s="585"/>
      <c r="HA59" s="585"/>
      <c r="HB59" s="585"/>
      <c r="HC59" s="585"/>
      <c r="HD59" s="585"/>
      <c r="HE59" s="585"/>
      <c r="HF59" s="585"/>
      <c r="HG59" s="585"/>
      <c r="HH59" s="585"/>
      <c r="HI59" s="585"/>
      <c r="HJ59" s="585"/>
      <c r="HK59" s="585"/>
      <c r="HL59" s="585"/>
      <c r="HM59" s="585"/>
      <c r="HN59" s="585"/>
      <c r="HO59" s="585"/>
      <c r="HP59" s="585"/>
      <c r="HQ59" s="585"/>
      <c r="HR59" s="585"/>
      <c r="HS59" s="585"/>
      <c r="HT59" s="585"/>
      <c r="HU59" s="585"/>
      <c r="HV59" s="585"/>
      <c r="HW59" s="585"/>
      <c r="HX59" s="585"/>
      <c r="HY59" s="585"/>
      <c r="HZ59" s="585"/>
      <c r="IA59" s="585"/>
      <c r="IB59" s="585"/>
      <c r="IC59" s="585"/>
      <c r="ID59" s="585"/>
      <c r="IE59" s="585"/>
      <c r="IF59" s="585"/>
      <c r="IG59" s="585"/>
      <c r="IH59" s="585"/>
      <c r="II59" s="585"/>
      <c r="IJ59" s="585"/>
      <c r="IK59" s="585"/>
      <c r="IL59" s="585"/>
      <c r="IM59" s="585"/>
      <c r="IN59" s="585"/>
      <c r="IO59" s="585"/>
      <c r="IP59" s="585"/>
      <c r="IQ59" s="585"/>
      <c r="IR59" s="585"/>
      <c r="IS59" s="585"/>
      <c r="IT59" s="585"/>
      <c r="IU59" s="585"/>
      <c r="IV59" s="585"/>
      <c r="IW59" s="585"/>
      <c r="IX59" s="585"/>
      <c r="IY59" s="585"/>
      <c r="IZ59" s="585"/>
      <c r="JA59" s="585"/>
      <c r="JB59" s="585"/>
      <c r="JC59" s="585"/>
      <c r="JD59" s="585"/>
      <c r="JE59" s="585"/>
      <c r="JF59" s="585"/>
      <c r="JG59" s="585"/>
      <c r="JH59" s="585"/>
      <c r="JI59" s="585"/>
      <c r="JJ59" s="585"/>
      <c r="JK59" s="585"/>
      <c r="JL59" s="585"/>
      <c r="JM59" s="585"/>
      <c r="JN59" s="585"/>
      <c r="JO59" s="585"/>
      <c r="JP59" s="585"/>
      <c r="JQ59" s="585"/>
      <c r="JR59" s="585"/>
      <c r="JS59" s="585"/>
      <c r="JT59" s="587"/>
      <c r="JU59" s="585"/>
      <c r="JV59" s="585"/>
      <c r="JW59" s="585"/>
      <c r="JX59" s="585"/>
      <c r="JY59" s="585"/>
      <c r="JZ59" s="585"/>
      <c r="KA59" s="585"/>
      <c r="KB59" s="585"/>
      <c r="KC59" s="585"/>
      <c r="KD59" s="585"/>
      <c r="KE59" s="585"/>
      <c r="KF59" s="585"/>
      <c r="KG59" s="585"/>
      <c r="KH59" s="585"/>
      <c r="KI59" s="585"/>
      <c r="KJ59" s="585"/>
      <c r="KK59" s="585"/>
      <c r="KL59" s="585"/>
      <c r="KM59" s="585"/>
      <c r="KN59" s="585"/>
      <c r="KO59" s="585"/>
      <c r="KP59" s="585"/>
      <c r="KQ59" s="585"/>
      <c r="KR59" s="585"/>
      <c r="KS59" s="585"/>
      <c r="KT59" s="585"/>
      <c r="KU59" s="585"/>
      <c r="KV59" s="585"/>
      <c r="KW59" s="585"/>
      <c r="KX59" s="585"/>
      <c r="KY59" s="585"/>
      <c r="KZ59" s="585"/>
      <c r="LA59" s="585"/>
      <c r="LB59" s="585"/>
      <c r="LC59" s="585"/>
      <c r="LD59" s="584"/>
      <c r="LE59" s="585"/>
      <c r="LF59" s="585"/>
      <c r="LG59" s="585"/>
      <c r="LH59" s="585"/>
      <c r="LI59" s="585"/>
      <c r="LJ59" s="585"/>
      <c r="LK59" s="585"/>
      <c r="LL59" s="585"/>
      <c r="LM59" s="585"/>
      <c r="LN59" s="585"/>
      <c r="LO59" s="585"/>
      <c r="LP59" s="585"/>
      <c r="LQ59" s="585"/>
      <c r="LR59" s="585"/>
      <c r="LS59" s="585"/>
      <c r="LT59" s="585"/>
      <c r="LU59" s="585"/>
      <c r="LV59" s="585"/>
      <c r="LW59" s="585"/>
      <c r="LX59" s="585"/>
      <c r="LY59" s="585"/>
      <c r="LZ59" s="585"/>
      <c r="MA59" s="585"/>
      <c r="MB59" s="585"/>
    </row>
    <row r="60" spans="1:340">
      <c r="A60" s="14">
        <v>1</v>
      </c>
      <c r="B60" s="582"/>
      <c r="C60" s="583"/>
      <c r="D60" s="584"/>
      <c r="E60" s="584"/>
      <c r="F60" s="585"/>
      <c r="G60" s="587"/>
      <c r="H60" s="587"/>
      <c r="I60" s="587"/>
      <c r="J60" s="585"/>
      <c r="K60" s="585"/>
      <c r="L60" s="585"/>
      <c r="M60" s="585"/>
      <c r="N60" s="585"/>
      <c r="O60" s="585"/>
      <c r="P60" s="585"/>
      <c r="Q60" s="585"/>
      <c r="R60" s="585"/>
      <c r="S60" s="585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5"/>
      <c r="AG60" s="585"/>
      <c r="AH60" s="585"/>
      <c r="AI60" s="585"/>
      <c r="AJ60" s="585"/>
      <c r="AK60" s="585"/>
      <c r="AL60" s="585"/>
      <c r="AM60" s="585"/>
      <c r="AN60" s="585"/>
      <c r="AO60" s="585"/>
      <c r="AP60" s="585"/>
      <c r="AQ60" s="585"/>
      <c r="AR60" s="585"/>
      <c r="AS60" s="585"/>
      <c r="AT60" s="585"/>
      <c r="AU60" s="585"/>
      <c r="AV60" s="585"/>
      <c r="AW60" s="585"/>
      <c r="AX60" s="585"/>
      <c r="AY60" s="585"/>
      <c r="AZ60" s="585"/>
      <c r="BA60" s="585"/>
      <c r="BB60" s="585"/>
      <c r="BC60" s="585"/>
      <c r="BD60" s="585"/>
      <c r="BE60" s="585"/>
      <c r="BF60" s="585"/>
      <c r="BG60" s="585"/>
      <c r="BH60" s="585"/>
      <c r="BI60" s="585"/>
      <c r="BJ60" s="585"/>
      <c r="BK60" s="585"/>
      <c r="BL60" s="585"/>
      <c r="BM60" s="585"/>
      <c r="BN60" s="585"/>
      <c r="BO60" s="585"/>
      <c r="BP60" s="585"/>
      <c r="BQ60" s="585"/>
      <c r="BR60" s="585"/>
      <c r="BS60" s="585"/>
      <c r="BT60" s="585"/>
      <c r="BU60" s="585"/>
      <c r="BV60" s="585"/>
      <c r="BW60" s="585"/>
      <c r="BX60" s="585"/>
      <c r="BY60" s="585"/>
      <c r="BZ60" s="585"/>
      <c r="CA60" s="585"/>
      <c r="CB60" s="585"/>
      <c r="CC60" s="585"/>
      <c r="CD60" s="585"/>
      <c r="CE60" s="585"/>
      <c r="CF60" s="585"/>
      <c r="CG60" s="585"/>
      <c r="CH60" s="585"/>
      <c r="CI60" s="585"/>
      <c r="CJ60" s="585"/>
      <c r="CK60" s="585"/>
      <c r="CL60" s="585"/>
      <c r="CM60" s="585"/>
      <c r="CN60" s="585"/>
      <c r="CO60" s="585"/>
      <c r="CP60" s="585"/>
      <c r="CQ60" s="585"/>
      <c r="CR60" s="585"/>
      <c r="CS60" s="585"/>
      <c r="CT60" s="585"/>
      <c r="CU60" s="585"/>
      <c r="CV60" s="585"/>
      <c r="CW60" s="585"/>
      <c r="CX60" s="585"/>
      <c r="CY60" s="585"/>
      <c r="CZ60" s="585"/>
      <c r="DA60" s="585"/>
      <c r="DB60" s="585"/>
      <c r="DC60" s="585"/>
      <c r="DD60" s="585"/>
      <c r="DE60" s="585"/>
      <c r="DF60" s="585"/>
      <c r="DG60" s="585"/>
      <c r="DH60" s="585"/>
      <c r="DI60" s="585"/>
      <c r="DJ60" s="585"/>
      <c r="DK60" s="585"/>
      <c r="DL60" s="585"/>
      <c r="DM60" s="585"/>
      <c r="DN60" s="585"/>
      <c r="DO60" s="585"/>
      <c r="DP60" s="585"/>
      <c r="DQ60" s="585"/>
      <c r="DR60" s="585"/>
      <c r="DS60" s="585"/>
      <c r="DT60" s="585"/>
      <c r="DU60" s="585"/>
      <c r="DV60" s="585"/>
      <c r="DW60" s="585"/>
      <c r="DX60" s="585"/>
      <c r="DY60" s="585"/>
      <c r="DZ60" s="585"/>
      <c r="EA60" s="585"/>
      <c r="EB60" s="585"/>
      <c r="EC60" s="585"/>
      <c r="ED60" s="585"/>
      <c r="EE60" s="585"/>
      <c r="EF60" s="585"/>
      <c r="EG60" s="585"/>
      <c r="EH60" s="585"/>
      <c r="EI60" s="585"/>
      <c r="EJ60" s="585"/>
      <c r="EK60" s="585"/>
      <c r="EL60" s="585"/>
      <c r="EM60" s="585"/>
      <c r="EN60" s="585"/>
      <c r="EO60" s="585"/>
      <c r="EP60" s="585"/>
      <c r="EQ60" s="585"/>
      <c r="ER60" s="585"/>
      <c r="ES60" s="585"/>
      <c r="ET60" s="585"/>
      <c r="EU60" s="585"/>
      <c r="EV60" s="585"/>
      <c r="EW60" s="585"/>
      <c r="EX60" s="585"/>
      <c r="EY60" s="585"/>
      <c r="EZ60" s="585"/>
      <c r="FA60" s="585"/>
      <c r="FB60" s="585"/>
      <c r="FC60" s="585"/>
      <c r="FD60" s="585"/>
      <c r="FE60" s="585"/>
      <c r="FF60" s="585"/>
      <c r="FG60" s="585"/>
      <c r="FH60" s="585"/>
      <c r="FI60" s="585"/>
      <c r="FJ60" s="585"/>
      <c r="FK60" s="585"/>
      <c r="FL60" s="585"/>
      <c r="FM60" s="585"/>
      <c r="FN60" s="585"/>
      <c r="FO60" s="585"/>
      <c r="FP60" s="585"/>
      <c r="FQ60" s="585"/>
      <c r="FR60" s="585"/>
      <c r="FS60" s="585"/>
      <c r="FT60" s="585"/>
      <c r="FU60" s="585"/>
      <c r="FV60" s="585"/>
      <c r="FW60" s="585"/>
      <c r="FX60" s="585"/>
      <c r="FY60" s="585"/>
      <c r="FZ60" s="585"/>
      <c r="GA60" s="585"/>
      <c r="GB60" s="585"/>
      <c r="GC60" s="585"/>
      <c r="GD60" s="585"/>
      <c r="GE60" s="585"/>
      <c r="GF60" s="585"/>
      <c r="GG60" s="585"/>
      <c r="GH60" s="585"/>
      <c r="GI60" s="585"/>
      <c r="GJ60" s="585"/>
      <c r="GK60" s="585"/>
      <c r="GL60" s="585"/>
      <c r="GM60" s="585"/>
      <c r="GN60" s="585"/>
      <c r="GO60" s="585"/>
      <c r="GP60" s="585"/>
      <c r="GQ60" s="585"/>
      <c r="GR60" s="585"/>
      <c r="GS60" s="585"/>
      <c r="GT60" s="585"/>
      <c r="GU60" s="585"/>
      <c r="GV60" s="585"/>
      <c r="GW60" s="585"/>
      <c r="GX60" s="585"/>
      <c r="GY60" s="585"/>
      <c r="GZ60" s="585"/>
      <c r="HA60" s="585"/>
      <c r="HB60" s="585"/>
      <c r="HC60" s="585"/>
      <c r="HD60" s="585"/>
      <c r="HE60" s="585"/>
      <c r="HF60" s="585"/>
      <c r="HG60" s="585"/>
      <c r="HH60" s="585"/>
      <c r="HI60" s="585"/>
      <c r="HJ60" s="585"/>
      <c r="HK60" s="585"/>
      <c r="HL60" s="585"/>
      <c r="HM60" s="585"/>
      <c r="HN60" s="585"/>
      <c r="HO60" s="585"/>
      <c r="HP60" s="585"/>
      <c r="HQ60" s="585"/>
      <c r="HR60" s="585"/>
      <c r="HS60" s="585"/>
      <c r="HT60" s="585"/>
      <c r="HU60" s="585"/>
      <c r="HV60" s="585"/>
      <c r="HW60" s="585"/>
      <c r="HX60" s="585"/>
      <c r="HY60" s="585"/>
      <c r="HZ60" s="585"/>
      <c r="IA60" s="585"/>
      <c r="IB60" s="585"/>
      <c r="IC60" s="585"/>
      <c r="ID60" s="585"/>
      <c r="IE60" s="585"/>
      <c r="IF60" s="585"/>
      <c r="IG60" s="585"/>
      <c r="IH60" s="585"/>
      <c r="II60" s="585"/>
      <c r="IJ60" s="585"/>
      <c r="IK60" s="585"/>
      <c r="IL60" s="585"/>
      <c r="IM60" s="585"/>
      <c r="IN60" s="585"/>
      <c r="IO60" s="585"/>
      <c r="IP60" s="585"/>
      <c r="IQ60" s="585"/>
      <c r="IR60" s="585"/>
      <c r="IS60" s="585"/>
      <c r="IT60" s="585"/>
      <c r="IU60" s="585"/>
      <c r="IV60" s="585"/>
      <c r="IW60" s="585"/>
      <c r="IX60" s="585"/>
      <c r="IY60" s="585"/>
      <c r="IZ60" s="585"/>
      <c r="JA60" s="585"/>
      <c r="JB60" s="585"/>
      <c r="JC60" s="585"/>
      <c r="JD60" s="585"/>
      <c r="JE60" s="585"/>
      <c r="JF60" s="585"/>
      <c r="JG60" s="585"/>
      <c r="JH60" s="585"/>
      <c r="JI60" s="585"/>
      <c r="JJ60" s="585"/>
      <c r="JK60" s="585"/>
      <c r="JL60" s="585"/>
      <c r="JM60" s="585"/>
      <c r="JN60" s="585"/>
      <c r="JO60" s="585"/>
      <c r="JP60" s="585"/>
      <c r="JQ60" s="585"/>
      <c r="JR60" s="585"/>
      <c r="JS60" s="585"/>
      <c r="JT60" s="587"/>
      <c r="JU60" s="585"/>
      <c r="JV60" s="585"/>
      <c r="JW60" s="585"/>
      <c r="JX60" s="585"/>
      <c r="JY60" s="585"/>
      <c r="JZ60" s="585"/>
      <c r="KA60" s="585"/>
      <c r="KB60" s="585"/>
      <c r="KC60" s="585"/>
      <c r="KD60" s="585"/>
      <c r="KE60" s="585"/>
      <c r="KF60" s="585"/>
      <c r="KG60" s="585"/>
      <c r="KH60" s="585"/>
      <c r="KI60" s="585"/>
      <c r="KJ60" s="585"/>
      <c r="KK60" s="585"/>
      <c r="KL60" s="585"/>
      <c r="KM60" s="585"/>
      <c r="KN60" s="585"/>
      <c r="KO60" s="585"/>
      <c r="KP60" s="585"/>
      <c r="KQ60" s="585"/>
      <c r="KR60" s="585"/>
      <c r="KS60" s="585"/>
      <c r="KT60" s="585"/>
      <c r="KU60" s="585"/>
      <c r="KV60" s="585"/>
      <c r="KW60" s="585"/>
      <c r="KX60" s="585"/>
      <c r="KY60" s="585"/>
      <c r="KZ60" s="585"/>
      <c r="LA60" s="585"/>
      <c r="LB60" s="585"/>
      <c r="LC60" s="585"/>
      <c r="LD60" s="584"/>
      <c r="LE60" s="585"/>
      <c r="LF60" s="585"/>
      <c r="LG60" s="585"/>
      <c r="LH60" s="585"/>
      <c r="LI60" s="585"/>
      <c r="LJ60" s="585"/>
      <c r="LK60" s="585"/>
      <c r="LL60" s="585"/>
      <c r="LM60" s="585"/>
      <c r="LN60" s="585"/>
      <c r="LO60" s="585"/>
      <c r="LP60" s="585"/>
      <c r="LQ60" s="585"/>
      <c r="LR60" s="585"/>
      <c r="LS60" s="585"/>
      <c r="LT60" s="585"/>
      <c r="LU60" s="585"/>
      <c r="LV60" s="585"/>
      <c r="LW60" s="585"/>
      <c r="LX60" s="585"/>
      <c r="LY60" s="585"/>
      <c r="LZ60" s="585"/>
      <c r="MA60" s="585"/>
      <c r="MB60" s="585"/>
    </row>
    <row r="61" spans="1:340">
      <c r="A61" s="14">
        <v>1</v>
      </c>
      <c r="B61" s="582"/>
      <c r="C61" s="583"/>
      <c r="D61" s="584"/>
      <c r="E61" s="584"/>
      <c r="F61" s="585"/>
      <c r="G61" s="587"/>
      <c r="H61" s="587"/>
      <c r="I61" s="587"/>
      <c r="J61" s="585"/>
      <c r="K61" s="585"/>
      <c r="L61" s="585"/>
      <c r="M61" s="585"/>
      <c r="N61" s="585"/>
      <c r="O61" s="585"/>
      <c r="P61" s="585"/>
      <c r="Q61" s="585"/>
      <c r="R61" s="585"/>
      <c r="S61" s="585"/>
      <c r="T61" s="585"/>
      <c r="U61" s="585"/>
      <c r="V61" s="585"/>
      <c r="W61" s="585"/>
      <c r="X61" s="585"/>
      <c r="Y61" s="585"/>
      <c r="Z61" s="585"/>
      <c r="AA61" s="585"/>
      <c r="AB61" s="584"/>
      <c r="AC61" s="585"/>
      <c r="AD61" s="585"/>
      <c r="AE61" s="585"/>
      <c r="AF61" s="585"/>
      <c r="AG61" s="585"/>
      <c r="AH61" s="585"/>
      <c r="AI61" s="585"/>
      <c r="AJ61" s="585"/>
      <c r="AK61" s="585"/>
      <c r="AL61" s="585"/>
      <c r="AM61" s="585"/>
      <c r="AN61" s="585"/>
      <c r="AO61" s="585"/>
      <c r="AP61" s="585"/>
      <c r="AQ61" s="585"/>
      <c r="AR61" s="585"/>
      <c r="AS61" s="585"/>
      <c r="AT61" s="585"/>
      <c r="AU61" s="585"/>
      <c r="AV61" s="585"/>
      <c r="AW61" s="585"/>
      <c r="AX61" s="585"/>
      <c r="AY61" s="585"/>
      <c r="AZ61" s="585"/>
      <c r="BA61" s="585"/>
      <c r="BB61" s="585"/>
      <c r="BC61" s="585"/>
      <c r="BD61" s="585"/>
      <c r="BE61" s="585"/>
      <c r="BF61" s="585"/>
      <c r="BG61" s="585"/>
      <c r="BH61" s="585"/>
      <c r="BI61" s="585"/>
      <c r="BJ61" s="585"/>
      <c r="BK61" s="585"/>
      <c r="BL61" s="585"/>
      <c r="BM61" s="585"/>
      <c r="BN61" s="585"/>
      <c r="BO61" s="585"/>
      <c r="BP61" s="585"/>
      <c r="BQ61" s="585"/>
      <c r="BR61" s="585"/>
      <c r="BS61" s="585"/>
      <c r="BT61" s="585"/>
      <c r="BU61" s="585"/>
      <c r="BV61" s="585"/>
      <c r="BW61" s="585"/>
      <c r="BX61" s="585"/>
      <c r="BY61" s="585"/>
      <c r="BZ61" s="585"/>
      <c r="CA61" s="585"/>
      <c r="CB61" s="585"/>
      <c r="CC61" s="585"/>
      <c r="CD61" s="585"/>
      <c r="CE61" s="585"/>
      <c r="CF61" s="585"/>
      <c r="CG61" s="585"/>
      <c r="CH61" s="585"/>
      <c r="CI61" s="585"/>
      <c r="CJ61" s="585"/>
      <c r="CK61" s="585"/>
      <c r="CL61" s="585"/>
      <c r="CM61" s="585"/>
      <c r="CN61" s="585"/>
      <c r="CO61" s="585"/>
      <c r="CP61" s="585"/>
      <c r="CQ61" s="585"/>
      <c r="CR61" s="585"/>
      <c r="CS61" s="585"/>
      <c r="CT61" s="585"/>
      <c r="CU61" s="585"/>
      <c r="CV61" s="585"/>
      <c r="CW61" s="585"/>
      <c r="CX61" s="585"/>
      <c r="CY61" s="585"/>
      <c r="CZ61" s="585"/>
      <c r="DA61" s="585"/>
      <c r="DB61" s="585"/>
      <c r="DC61" s="585"/>
      <c r="DD61" s="585"/>
      <c r="DE61" s="585"/>
      <c r="DF61" s="585"/>
      <c r="DG61" s="585"/>
      <c r="DH61" s="585"/>
      <c r="DI61" s="585"/>
      <c r="DJ61" s="585"/>
      <c r="DK61" s="585"/>
      <c r="DL61" s="585"/>
      <c r="DM61" s="585"/>
      <c r="DN61" s="585"/>
      <c r="DO61" s="585"/>
      <c r="DP61" s="585"/>
      <c r="DQ61" s="585"/>
      <c r="DR61" s="585"/>
      <c r="DS61" s="585"/>
      <c r="DT61" s="585"/>
      <c r="DU61" s="585"/>
      <c r="DV61" s="585"/>
      <c r="DW61" s="585"/>
      <c r="DX61" s="585"/>
      <c r="DY61" s="585"/>
      <c r="DZ61" s="585"/>
      <c r="EA61" s="585"/>
      <c r="EB61" s="585"/>
      <c r="EC61" s="585"/>
      <c r="ED61" s="585"/>
      <c r="EE61" s="585"/>
      <c r="EF61" s="585"/>
      <c r="EG61" s="585"/>
      <c r="EH61" s="585"/>
      <c r="EI61" s="585"/>
      <c r="EJ61" s="585"/>
      <c r="EK61" s="585"/>
      <c r="EL61" s="585"/>
      <c r="EM61" s="585"/>
      <c r="EN61" s="585"/>
      <c r="EO61" s="585"/>
      <c r="EP61" s="585"/>
      <c r="EQ61" s="585"/>
      <c r="ER61" s="585"/>
      <c r="ES61" s="585"/>
      <c r="ET61" s="585"/>
      <c r="EU61" s="585"/>
      <c r="EV61" s="585"/>
      <c r="EW61" s="585"/>
      <c r="EX61" s="585"/>
      <c r="EY61" s="585"/>
      <c r="EZ61" s="585"/>
      <c r="FA61" s="585"/>
      <c r="FB61" s="585"/>
      <c r="FC61" s="585"/>
      <c r="FD61" s="585"/>
      <c r="FE61" s="585"/>
      <c r="FF61" s="585"/>
      <c r="FG61" s="585"/>
      <c r="FH61" s="585"/>
      <c r="FI61" s="585"/>
      <c r="FJ61" s="585"/>
      <c r="FK61" s="585"/>
      <c r="FL61" s="585"/>
      <c r="FM61" s="585"/>
      <c r="FN61" s="585"/>
      <c r="FO61" s="585"/>
      <c r="FP61" s="585"/>
      <c r="FQ61" s="585"/>
      <c r="FR61" s="585"/>
      <c r="FS61" s="585"/>
      <c r="FT61" s="585"/>
      <c r="FU61" s="585"/>
      <c r="FV61" s="585"/>
      <c r="FW61" s="585"/>
      <c r="FX61" s="585"/>
      <c r="FY61" s="585"/>
      <c r="FZ61" s="585"/>
      <c r="GA61" s="585"/>
      <c r="GB61" s="585"/>
      <c r="GC61" s="585"/>
      <c r="GD61" s="585"/>
      <c r="GE61" s="585"/>
      <c r="GF61" s="585"/>
      <c r="GG61" s="585"/>
      <c r="GH61" s="585"/>
      <c r="GI61" s="585"/>
      <c r="GJ61" s="585"/>
      <c r="GK61" s="585"/>
      <c r="GL61" s="585"/>
      <c r="GM61" s="585"/>
      <c r="GN61" s="585"/>
      <c r="GO61" s="585"/>
      <c r="GP61" s="585"/>
      <c r="GQ61" s="585"/>
      <c r="GR61" s="585"/>
      <c r="GS61" s="585"/>
      <c r="GT61" s="585"/>
      <c r="GU61" s="585"/>
      <c r="GV61" s="585"/>
      <c r="GW61" s="585"/>
      <c r="GX61" s="585"/>
      <c r="GY61" s="585"/>
      <c r="GZ61" s="585"/>
      <c r="HA61" s="585"/>
      <c r="HB61" s="585"/>
      <c r="HC61" s="585"/>
      <c r="HD61" s="585"/>
      <c r="HE61" s="585"/>
      <c r="HF61" s="585"/>
      <c r="HG61" s="585"/>
      <c r="HH61" s="585"/>
      <c r="HI61" s="585"/>
      <c r="HJ61" s="585"/>
      <c r="HK61" s="585"/>
      <c r="HL61" s="585"/>
      <c r="HM61" s="585"/>
      <c r="HN61" s="585"/>
      <c r="HO61" s="585"/>
      <c r="HP61" s="585"/>
      <c r="HQ61" s="585"/>
      <c r="HR61" s="585"/>
      <c r="HS61" s="585"/>
      <c r="HT61" s="585"/>
      <c r="HU61" s="585"/>
      <c r="HV61" s="585"/>
      <c r="HW61" s="585"/>
      <c r="HX61" s="585"/>
      <c r="HY61" s="585"/>
      <c r="HZ61" s="585"/>
      <c r="IA61" s="585"/>
      <c r="IB61" s="585"/>
      <c r="IC61" s="585"/>
      <c r="ID61" s="585"/>
      <c r="IE61" s="585"/>
      <c r="IF61" s="585"/>
      <c r="IG61" s="585"/>
      <c r="IH61" s="585"/>
      <c r="II61" s="585"/>
      <c r="IJ61" s="585"/>
      <c r="IK61" s="585"/>
      <c r="IL61" s="585"/>
      <c r="IM61" s="585"/>
      <c r="IN61" s="585"/>
      <c r="IO61" s="585"/>
      <c r="IP61" s="585"/>
      <c r="IQ61" s="585"/>
      <c r="IR61" s="585"/>
      <c r="IS61" s="585"/>
      <c r="IT61" s="585"/>
      <c r="IU61" s="585"/>
      <c r="IV61" s="585"/>
      <c r="IW61" s="585"/>
      <c r="IX61" s="585"/>
      <c r="IY61" s="585"/>
      <c r="IZ61" s="585"/>
      <c r="JA61" s="585"/>
      <c r="JB61" s="585"/>
      <c r="JC61" s="585"/>
      <c r="JD61" s="585"/>
      <c r="JE61" s="585"/>
      <c r="JF61" s="585"/>
      <c r="JG61" s="585"/>
      <c r="JH61" s="585"/>
      <c r="JI61" s="585"/>
      <c r="JJ61" s="585"/>
      <c r="JK61" s="585"/>
      <c r="JL61" s="585"/>
      <c r="JM61" s="585"/>
      <c r="JN61" s="585"/>
      <c r="JO61" s="585"/>
      <c r="JP61" s="585"/>
      <c r="JQ61" s="585"/>
      <c r="JR61" s="585"/>
      <c r="JS61" s="585"/>
      <c r="JT61" s="587"/>
      <c r="JU61" s="585"/>
      <c r="JV61" s="585"/>
      <c r="JW61" s="585"/>
      <c r="JX61" s="585"/>
      <c r="JY61" s="585"/>
      <c r="JZ61" s="585"/>
      <c r="KA61" s="585"/>
      <c r="KB61" s="585"/>
      <c r="KC61" s="585"/>
      <c r="KD61" s="585"/>
      <c r="KE61" s="585"/>
      <c r="KF61" s="585"/>
      <c r="KG61" s="585"/>
      <c r="KH61" s="585"/>
      <c r="KI61" s="585"/>
      <c r="KJ61" s="585"/>
      <c r="KK61" s="585"/>
      <c r="KL61" s="585"/>
      <c r="KM61" s="585"/>
      <c r="KN61" s="585"/>
      <c r="KO61" s="585"/>
      <c r="KP61" s="585"/>
      <c r="KQ61" s="585"/>
      <c r="KR61" s="585"/>
      <c r="KS61" s="585"/>
      <c r="KT61" s="585"/>
      <c r="KU61" s="585"/>
      <c r="KV61" s="585"/>
      <c r="KW61" s="585"/>
      <c r="KX61" s="585"/>
      <c r="KY61" s="585"/>
      <c r="KZ61" s="585"/>
      <c r="LA61" s="585"/>
      <c r="LB61" s="585"/>
      <c r="LC61" s="585"/>
      <c r="LD61" s="584"/>
      <c r="LE61" s="585"/>
      <c r="LF61" s="585"/>
      <c r="LG61" s="585"/>
      <c r="LH61" s="585"/>
      <c r="LI61" s="585"/>
      <c r="LJ61" s="585"/>
      <c r="LK61" s="585"/>
      <c r="LL61" s="585"/>
      <c r="LM61" s="585"/>
      <c r="LN61" s="585"/>
      <c r="LO61" s="585"/>
      <c r="LP61" s="585"/>
      <c r="LQ61" s="585"/>
      <c r="LR61" s="585"/>
      <c r="LS61" s="585"/>
      <c r="LT61" s="585"/>
      <c r="LU61" s="585"/>
      <c r="LV61" s="585"/>
      <c r="LW61" s="585"/>
      <c r="LX61" s="585"/>
      <c r="LY61" s="585"/>
      <c r="LZ61" s="585"/>
      <c r="MA61" s="585"/>
      <c r="MB61" s="585"/>
    </row>
    <row r="62" spans="1:340">
      <c r="A62" s="14">
        <v>1</v>
      </c>
      <c r="B62" s="582"/>
      <c r="C62" s="583"/>
      <c r="D62" s="584"/>
      <c r="E62" s="584"/>
      <c r="F62" s="585"/>
      <c r="G62" s="587"/>
      <c r="H62" s="587"/>
      <c r="I62" s="587"/>
      <c r="J62" s="585"/>
      <c r="K62" s="585"/>
      <c r="L62" s="585"/>
      <c r="M62" s="585"/>
      <c r="N62" s="585"/>
      <c r="O62" s="585"/>
      <c r="P62" s="585"/>
      <c r="Q62" s="585"/>
      <c r="R62" s="585"/>
      <c r="S62" s="585"/>
      <c r="T62" s="585"/>
      <c r="U62" s="585"/>
      <c r="V62" s="585"/>
      <c r="W62" s="585"/>
      <c r="X62" s="585"/>
      <c r="Y62" s="585"/>
      <c r="Z62" s="585"/>
      <c r="AA62" s="585"/>
      <c r="AB62" s="584"/>
      <c r="AC62" s="585"/>
      <c r="AD62" s="585"/>
      <c r="AE62" s="585"/>
      <c r="AF62" s="585"/>
      <c r="AG62" s="585"/>
      <c r="AH62" s="585"/>
      <c r="AI62" s="585"/>
      <c r="AJ62" s="585"/>
      <c r="AK62" s="585"/>
      <c r="AL62" s="585"/>
      <c r="AM62" s="585"/>
      <c r="AN62" s="585"/>
      <c r="AO62" s="585"/>
      <c r="AP62" s="585"/>
      <c r="AQ62" s="585"/>
      <c r="AR62" s="585"/>
      <c r="AS62" s="585"/>
      <c r="AT62" s="585"/>
      <c r="AU62" s="585"/>
      <c r="AV62" s="585"/>
      <c r="AW62" s="585"/>
      <c r="AX62" s="585"/>
      <c r="AY62" s="585"/>
      <c r="AZ62" s="585"/>
      <c r="BA62" s="585"/>
      <c r="BB62" s="585"/>
      <c r="BC62" s="585"/>
      <c r="BD62" s="585"/>
      <c r="BE62" s="585"/>
      <c r="BF62" s="585"/>
      <c r="BG62" s="585"/>
      <c r="BH62" s="585"/>
      <c r="BI62" s="585"/>
      <c r="BJ62" s="585"/>
      <c r="BK62" s="585"/>
      <c r="BL62" s="585"/>
      <c r="BM62" s="585"/>
      <c r="BN62" s="585"/>
      <c r="BO62" s="585"/>
      <c r="BP62" s="585"/>
      <c r="BQ62" s="585"/>
      <c r="BR62" s="585"/>
      <c r="BS62" s="585"/>
      <c r="BT62" s="585"/>
      <c r="BU62" s="585"/>
      <c r="BV62" s="585"/>
      <c r="BW62" s="585"/>
      <c r="BX62" s="585"/>
      <c r="BY62" s="585"/>
      <c r="BZ62" s="585"/>
      <c r="CA62" s="585"/>
      <c r="CB62" s="585"/>
      <c r="CC62" s="585"/>
      <c r="CD62" s="585"/>
      <c r="CE62" s="585"/>
      <c r="CF62" s="585"/>
      <c r="CG62" s="585"/>
      <c r="CH62" s="585"/>
      <c r="CI62" s="585"/>
      <c r="CJ62" s="585"/>
      <c r="CK62" s="585"/>
      <c r="CL62" s="585"/>
      <c r="CM62" s="585"/>
      <c r="CN62" s="585"/>
      <c r="CO62" s="585"/>
      <c r="CP62" s="585"/>
      <c r="CQ62" s="585"/>
      <c r="CR62" s="585"/>
      <c r="CS62" s="585"/>
      <c r="CT62" s="585"/>
      <c r="CU62" s="585"/>
      <c r="CV62" s="585"/>
      <c r="CW62" s="585"/>
      <c r="CX62" s="585"/>
      <c r="CY62" s="585"/>
      <c r="CZ62" s="585"/>
      <c r="DA62" s="585"/>
      <c r="DB62" s="585"/>
      <c r="DC62" s="585"/>
      <c r="DD62" s="585"/>
      <c r="DE62" s="585"/>
      <c r="DF62" s="585"/>
      <c r="DG62" s="585"/>
      <c r="DH62" s="585"/>
      <c r="DI62" s="585"/>
      <c r="DJ62" s="585"/>
      <c r="DK62" s="585"/>
      <c r="DL62" s="585"/>
      <c r="DM62" s="585"/>
      <c r="DN62" s="585"/>
      <c r="DO62" s="585"/>
      <c r="DP62" s="585"/>
      <c r="DQ62" s="585"/>
      <c r="DR62" s="585"/>
      <c r="DS62" s="585"/>
      <c r="DT62" s="585"/>
      <c r="DU62" s="585"/>
      <c r="DV62" s="585"/>
      <c r="DW62" s="585"/>
      <c r="DX62" s="585"/>
      <c r="DY62" s="585"/>
      <c r="DZ62" s="585"/>
      <c r="EA62" s="585"/>
      <c r="EB62" s="585"/>
      <c r="EC62" s="585"/>
      <c r="ED62" s="585"/>
      <c r="EE62" s="585"/>
      <c r="EF62" s="585"/>
      <c r="EG62" s="585"/>
      <c r="EH62" s="585"/>
      <c r="EI62" s="585"/>
      <c r="EJ62" s="585"/>
      <c r="EK62" s="585"/>
      <c r="EL62" s="585"/>
      <c r="EM62" s="585"/>
      <c r="EN62" s="585"/>
      <c r="EO62" s="585"/>
      <c r="EP62" s="585"/>
      <c r="EQ62" s="585"/>
      <c r="ER62" s="585"/>
      <c r="ES62" s="585"/>
      <c r="ET62" s="585"/>
      <c r="EU62" s="585"/>
      <c r="EV62" s="585"/>
      <c r="EW62" s="585"/>
      <c r="EX62" s="585"/>
      <c r="EY62" s="585"/>
      <c r="EZ62" s="585"/>
      <c r="FA62" s="585"/>
      <c r="FB62" s="585"/>
      <c r="FC62" s="585"/>
      <c r="FD62" s="585"/>
      <c r="FE62" s="585"/>
      <c r="FF62" s="585"/>
      <c r="FG62" s="585"/>
      <c r="FH62" s="585"/>
      <c r="FI62" s="585"/>
      <c r="FJ62" s="585"/>
      <c r="FK62" s="585"/>
      <c r="FL62" s="585"/>
      <c r="FM62" s="585"/>
      <c r="FN62" s="585"/>
      <c r="FO62" s="585"/>
      <c r="FP62" s="585"/>
      <c r="FQ62" s="585"/>
      <c r="FR62" s="585"/>
      <c r="FS62" s="585"/>
      <c r="FT62" s="585"/>
      <c r="FU62" s="585"/>
      <c r="FV62" s="585"/>
      <c r="FW62" s="585"/>
      <c r="FX62" s="585"/>
      <c r="FY62" s="585"/>
      <c r="FZ62" s="585"/>
      <c r="GA62" s="585"/>
      <c r="GB62" s="585"/>
      <c r="GC62" s="585"/>
      <c r="GD62" s="585"/>
      <c r="GE62" s="585"/>
      <c r="GF62" s="585"/>
      <c r="GG62" s="585"/>
      <c r="GH62" s="585"/>
      <c r="GI62" s="585"/>
      <c r="GJ62" s="585"/>
      <c r="GK62" s="585"/>
      <c r="GL62" s="585"/>
      <c r="GM62" s="585"/>
      <c r="GN62" s="585"/>
      <c r="GO62" s="585"/>
      <c r="GP62" s="585"/>
      <c r="GQ62" s="585"/>
      <c r="GR62" s="585"/>
      <c r="GS62" s="585"/>
      <c r="GT62" s="585"/>
      <c r="GU62" s="585"/>
      <c r="GV62" s="585"/>
      <c r="GW62" s="585"/>
      <c r="GX62" s="585"/>
      <c r="GY62" s="585"/>
      <c r="GZ62" s="585"/>
      <c r="HA62" s="585"/>
      <c r="HB62" s="585"/>
      <c r="HC62" s="585"/>
      <c r="HD62" s="585"/>
      <c r="HE62" s="585"/>
      <c r="HF62" s="585"/>
      <c r="HG62" s="585"/>
      <c r="HH62" s="585"/>
      <c r="HI62" s="585"/>
      <c r="HJ62" s="585"/>
      <c r="HK62" s="585"/>
      <c r="HL62" s="585"/>
      <c r="HM62" s="585"/>
      <c r="HN62" s="585"/>
      <c r="HO62" s="585"/>
      <c r="HP62" s="585"/>
      <c r="HQ62" s="585"/>
      <c r="HR62" s="585"/>
      <c r="HS62" s="585"/>
      <c r="HT62" s="585"/>
      <c r="HU62" s="585"/>
      <c r="HV62" s="585"/>
      <c r="HW62" s="585"/>
      <c r="HX62" s="585"/>
      <c r="HY62" s="585"/>
      <c r="HZ62" s="585"/>
      <c r="IA62" s="585"/>
      <c r="IB62" s="585"/>
      <c r="IC62" s="585"/>
      <c r="ID62" s="585"/>
      <c r="IE62" s="585"/>
      <c r="IF62" s="585"/>
      <c r="IG62" s="585"/>
      <c r="IH62" s="585"/>
      <c r="II62" s="585"/>
      <c r="IJ62" s="585"/>
      <c r="IK62" s="585"/>
      <c r="IL62" s="585"/>
      <c r="IM62" s="585"/>
      <c r="IN62" s="585"/>
      <c r="IO62" s="585"/>
      <c r="IP62" s="585"/>
      <c r="IQ62" s="585"/>
      <c r="IR62" s="585"/>
      <c r="IS62" s="585"/>
      <c r="IT62" s="585"/>
      <c r="IU62" s="585"/>
      <c r="IV62" s="585"/>
      <c r="IW62" s="585"/>
      <c r="IX62" s="585"/>
      <c r="IY62" s="585"/>
      <c r="IZ62" s="585"/>
      <c r="JA62" s="585"/>
      <c r="JB62" s="585"/>
      <c r="JC62" s="585"/>
      <c r="JD62" s="585"/>
      <c r="JE62" s="585"/>
      <c r="JF62" s="585"/>
      <c r="JG62" s="585"/>
      <c r="JH62" s="585"/>
      <c r="JI62" s="585"/>
      <c r="JJ62" s="585"/>
      <c r="JK62" s="585"/>
      <c r="JL62" s="585"/>
      <c r="JM62" s="585"/>
      <c r="JN62" s="585"/>
      <c r="JO62" s="585"/>
      <c r="JP62" s="585"/>
      <c r="JQ62" s="585"/>
      <c r="JR62" s="585"/>
      <c r="JS62" s="585"/>
      <c r="JT62" s="587"/>
      <c r="JU62" s="585"/>
      <c r="JV62" s="585"/>
      <c r="JW62" s="585"/>
      <c r="JX62" s="585"/>
      <c r="JY62" s="585"/>
      <c r="JZ62" s="585"/>
      <c r="KA62" s="585"/>
      <c r="KB62" s="585"/>
      <c r="KC62" s="585"/>
      <c r="KD62" s="585"/>
      <c r="KE62" s="585"/>
      <c r="KF62" s="585"/>
      <c r="KG62" s="585"/>
      <c r="KH62" s="585"/>
      <c r="KI62" s="585"/>
      <c r="KJ62" s="585"/>
      <c r="KK62" s="585"/>
      <c r="KL62" s="585"/>
      <c r="KM62" s="585"/>
      <c r="KN62" s="585"/>
      <c r="KO62" s="585"/>
      <c r="KP62" s="585"/>
      <c r="KQ62" s="585"/>
      <c r="KR62" s="585"/>
      <c r="KS62" s="585"/>
      <c r="KT62" s="585"/>
      <c r="KU62" s="585"/>
      <c r="KV62" s="585"/>
      <c r="KW62" s="585"/>
      <c r="KX62" s="585"/>
      <c r="KY62" s="585"/>
      <c r="KZ62" s="585"/>
      <c r="LA62" s="585"/>
      <c r="LB62" s="585"/>
      <c r="LC62" s="585"/>
      <c r="LD62" s="584"/>
      <c r="LE62" s="585"/>
      <c r="LF62" s="585"/>
      <c r="LG62" s="585"/>
      <c r="LH62" s="585"/>
      <c r="LI62" s="585"/>
      <c r="LJ62" s="585"/>
      <c r="LK62" s="585"/>
      <c r="LL62" s="585"/>
      <c r="LM62" s="585"/>
      <c r="LN62" s="585"/>
      <c r="LO62" s="585"/>
      <c r="LP62" s="585"/>
      <c r="LQ62" s="585"/>
      <c r="LR62" s="585"/>
      <c r="LS62" s="585"/>
      <c r="LT62" s="585"/>
      <c r="LU62" s="585"/>
      <c r="LV62" s="585"/>
      <c r="LW62" s="585"/>
      <c r="LX62" s="585"/>
      <c r="LY62" s="585"/>
      <c r="LZ62" s="585"/>
      <c r="MA62" s="585"/>
      <c r="MB62" s="585"/>
    </row>
    <row r="63" spans="1:340">
      <c r="A63" s="14">
        <v>1</v>
      </c>
      <c r="B63" s="582"/>
      <c r="C63" s="583"/>
      <c r="D63" s="584"/>
      <c r="E63" s="584"/>
      <c r="F63" s="585"/>
      <c r="G63" s="587"/>
      <c r="H63" s="587"/>
      <c r="I63" s="587"/>
      <c r="J63" s="585"/>
      <c r="K63" s="585"/>
      <c r="L63" s="585"/>
      <c r="M63" s="585"/>
      <c r="N63" s="585"/>
      <c r="O63" s="585"/>
      <c r="P63" s="585"/>
      <c r="Q63" s="585"/>
      <c r="R63" s="585"/>
      <c r="S63" s="585"/>
      <c r="T63" s="585"/>
      <c r="U63" s="585"/>
      <c r="V63" s="585"/>
      <c r="W63" s="585"/>
      <c r="X63" s="585"/>
      <c r="Y63" s="585"/>
      <c r="Z63" s="585"/>
      <c r="AA63" s="585"/>
      <c r="AB63" s="584"/>
      <c r="AC63" s="585"/>
      <c r="AD63" s="585"/>
      <c r="AE63" s="585"/>
      <c r="AF63" s="585"/>
      <c r="AG63" s="585"/>
      <c r="AH63" s="585"/>
      <c r="AI63" s="585"/>
      <c r="AJ63" s="585"/>
      <c r="AK63" s="585"/>
      <c r="AL63" s="585"/>
      <c r="AM63" s="585"/>
      <c r="AN63" s="585"/>
      <c r="AO63" s="585"/>
      <c r="AP63" s="585"/>
      <c r="AQ63" s="585"/>
      <c r="AR63" s="585"/>
      <c r="AS63" s="585"/>
      <c r="AT63" s="585"/>
      <c r="AU63" s="585"/>
      <c r="AV63" s="585"/>
      <c r="AW63" s="585"/>
      <c r="AX63" s="585"/>
      <c r="AY63" s="585"/>
      <c r="AZ63" s="585"/>
      <c r="BA63" s="585"/>
      <c r="BB63" s="585"/>
      <c r="BC63" s="585"/>
      <c r="BD63" s="585"/>
      <c r="BE63" s="585"/>
      <c r="BF63" s="585"/>
      <c r="BG63" s="585"/>
      <c r="BH63" s="585"/>
      <c r="BI63" s="585"/>
      <c r="BJ63" s="585"/>
      <c r="BK63" s="585"/>
      <c r="BL63" s="585"/>
      <c r="BM63" s="585"/>
      <c r="BN63" s="585"/>
      <c r="BO63" s="585"/>
      <c r="BP63" s="585"/>
      <c r="BQ63" s="585"/>
      <c r="BR63" s="585"/>
      <c r="BS63" s="585"/>
      <c r="BT63" s="585"/>
      <c r="BU63" s="585"/>
      <c r="BV63" s="585"/>
      <c r="BW63" s="585"/>
      <c r="BX63" s="585"/>
      <c r="BY63" s="585"/>
      <c r="BZ63" s="585"/>
      <c r="CA63" s="585"/>
      <c r="CB63" s="585"/>
      <c r="CC63" s="585"/>
      <c r="CD63" s="585"/>
      <c r="CE63" s="585"/>
      <c r="CF63" s="585"/>
      <c r="CG63" s="585"/>
      <c r="CH63" s="585"/>
      <c r="CI63" s="585"/>
      <c r="CJ63" s="585"/>
      <c r="CK63" s="585"/>
      <c r="CL63" s="585"/>
      <c r="CM63" s="585"/>
      <c r="CN63" s="585"/>
      <c r="CO63" s="585"/>
      <c r="CP63" s="585"/>
      <c r="CQ63" s="585"/>
      <c r="CR63" s="585"/>
      <c r="CS63" s="585"/>
      <c r="CT63" s="585"/>
      <c r="CU63" s="585"/>
      <c r="CV63" s="585"/>
      <c r="CW63" s="585"/>
      <c r="CX63" s="585"/>
      <c r="CY63" s="585"/>
      <c r="CZ63" s="585"/>
      <c r="DA63" s="585"/>
      <c r="DB63" s="585"/>
      <c r="DC63" s="585"/>
      <c r="DD63" s="585"/>
      <c r="DE63" s="585"/>
      <c r="DF63" s="585"/>
      <c r="DG63" s="585"/>
      <c r="DH63" s="585"/>
      <c r="DI63" s="585"/>
      <c r="DJ63" s="585"/>
      <c r="DK63" s="585"/>
      <c r="DL63" s="585"/>
      <c r="DM63" s="585"/>
      <c r="DN63" s="585"/>
      <c r="DO63" s="585"/>
      <c r="DP63" s="585"/>
      <c r="DQ63" s="585"/>
      <c r="DR63" s="585"/>
      <c r="DS63" s="585"/>
      <c r="DT63" s="585"/>
      <c r="DU63" s="585"/>
      <c r="DV63" s="585"/>
      <c r="DW63" s="585"/>
      <c r="DX63" s="585"/>
      <c r="DY63" s="585"/>
      <c r="DZ63" s="585"/>
      <c r="EA63" s="585"/>
      <c r="EB63" s="585"/>
      <c r="EC63" s="585"/>
      <c r="ED63" s="585"/>
      <c r="EE63" s="585"/>
      <c r="EF63" s="585"/>
      <c r="EG63" s="585"/>
      <c r="EH63" s="585"/>
      <c r="EI63" s="585"/>
      <c r="EJ63" s="585"/>
      <c r="EK63" s="585"/>
      <c r="EL63" s="585"/>
      <c r="EM63" s="585"/>
      <c r="EN63" s="585"/>
      <c r="EO63" s="585"/>
      <c r="EP63" s="585"/>
      <c r="EQ63" s="585"/>
      <c r="ER63" s="585"/>
      <c r="ES63" s="585"/>
      <c r="ET63" s="585"/>
      <c r="EU63" s="585"/>
      <c r="EV63" s="585"/>
      <c r="EW63" s="585"/>
      <c r="EX63" s="585"/>
      <c r="EY63" s="585"/>
      <c r="EZ63" s="585"/>
      <c r="FA63" s="585"/>
      <c r="FB63" s="585"/>
      <c r="FC63" s="585"/>
      <c r="FD63" s="585"/>
      <c r="FE63" s="585"/>
      <c r="FF63" s="585"/>
      <c r="FG63" s="585"/>
      <c r="FH63" s="585"/>
      <c r="FI63" s="585"/>
      <c r="FJ63" s="585"/>
      <c r="FK63" s="585"/>
      <c r="FL63" s="585"/>
      <c r="FM63" s="585"/>
      <c r="FN63" s="585"/>
      <c r="FO63" s="585"/>
      <c r="FP63" s="585"/>
      <c r="FQ63" s="585"/>
      <c r="FR63" s="585"/>
      <c r="FS63" s="585"/>
      <c r="FT63" s="585"/>
      <c r="FU63" s="585"/>
      <c r="FV63" s="585"/>
      <c r="FW63" s="585"/>
      <c r="FX63" s="585"/>
      <c r="FY63" s="585"/>
      <c r="FZ63" s="585"/>
      <c r="GA63" s="585"/>
      <c r="GB63" s="585"/>
      <c r="GC63" s="585"/>
      <c r="GD63" s="585"/>
      <c r="GE63" s="585"/>
      <c r="GF63" s="585"/>
      <c r="GG63" s="585"/>
      <c r="GH63" s="585"/>
      <c r="GI63" s="585"/>
      <c r="GJ63" s="585"/>
      <c r="GK63" s="585"/>
      <c r="GL63" s="585"/>
      <c r="GM63" s="585"/>
      <c r="GN63" s="585"/>
      <c r="GO63" s="585"/>
      <c r="GP63" s="585"/>
      <c r="GQ63" s="585"/>
      <c r="GR63" s="585"/>
      <c r="GS63" s="585"/>
      <c r="GT63" s="585"/>
      <c r="GU63" s="585"/>
      <c r="GV63" s="585"/>
      <c r="GW63" s="585"/>
      <c r="GX63" s="585"/>
      <c r="GY63" s="585"/>
      <c r="GZ63" s="585"/>
      <c r="HA63" s="585"/>
      <c r="HB63" s="585"/>
      <c r="HC63" s="585"/>
      <c r="HD63" s="585"/>
      <c r="HE63" s="585"/>
      <c r="HF63" s="585"/>
      <c r="HG63" s="585"/>
      <c r="HH63" s="585"/>
      <c r="HI63" s="585"/>
      <c r="HJ63" s="585"/>
      <c r="HK63" s="585"/>
      <c r="HL63" s="585"/>
      <c r="HM63" s="585"/>
      <c r="HN63" s="585"/>
      <c r="HO63" s="585"/>
      <c r="HP63" s="585"/>
      <c r="HQ63" s="585"/>
      <c r="HR63" s="585"/>
      <c r="HS63" s="585"/>
      <c r="HT63" s="585"/>
      <c r="HU63" s="585"/>
      <c r="HV63" s="585"/>
      <c r="HW63" s="585"/>
      <c r="HX63" s="585"/>
      <c r="HY63" s="585"/>
      <c r="HZ63" s="585"/>
      <c r="IA63" s="585"/>
      <c r="IB63" s="585"/>
      <c r="IC63" s="585"/>
      <c r="ID63" s="585"/>
      <c r="IE63" s="585"/>
      <c r="IF63" s="585"/>
      <c r="IG63" s="585"/>
      <c r="IH63" s="585"/>
      <c r="II63" s="585"/>
      <c r="IJ63" s="585"/>
      <c r="IK63" s="585"/>
      <c r="IL63" s="585"/>
      <c r="IM63" s="585"/>
      <c r="IN63" s="585"/>
      <c r="IO63" s="585"/>
      <c r="IP63" s="585"/>
      <c r="IQ63" s="585"/>
      <c r="IR63" s="585"/>
      <c r="IS63" s="585"/>
      <c r="IT63" s="585"/>
      <c r="IU63" s="585"/>
      <c r="IV63" s="585"/>
      <c r="IW63" s="585"/>
      <c r="IX63" s="585"/>
      <c r="IY63" s="585"/>
      <c r="IZ63" s="585"/>
      <c r="JA63" s="585"/>
      <c r="JB63" s="585"/>
      <c r="JC63" s="585"/>
      <c r="JD63" s="585"/>
      <c r="JE63" s="585"/>
      <c r="JF63" s="585"/>
      <c r="JG63" s="585"/>
      <c r="JH63" s="585"/>
      <c r="JI63" s="585"/>
      <c r="JJ63" s="585"/>
      <c r="JK63" s="585"/>
      <c r="JL63" s="585"/>
      <c r="JM63" s="585"/>
      <c r="JN63" s="585"/>
      <c r="JO63" s="585"/>
      <c r="JP63" s="585"/>
      <c r="JQ63" s="585"/>
      <c r="JR63" s="585"/>
      <c r="JS63" s="585"/>
      <c r="JT63" s="587"/>
      <c r="JU63" s="585"/>
      <c r="JV63" s="585"/>
      <c r="JW63" s="585"/>
      <c r="JX63" s="585"/>
      <c r="JY63" s="585"/>
      <c r="JZ63" s="585"/>
      <c r="KA63" s="585"/>
      <c r="KB63" s="585"/>
      <c r="KC63" s="585"/>
      <c r="KD63" s="585"/>
      <c r="KE63" s="585"/>
      <c r="KF63" s="585"/>
      <c r="KG63" s="585"/>
      <c r="KH63" s="585"/>
      <c r="KI63" s="585"/>
      <c r="KJ63" s="585"/>
      <c r="KK63" s="585"/>
      <c r="KL63" s="585"/>
      <c r="KM63" s="585"/>
      <c r="KN63" s="585"/>
      <c r="KO63" s="585"/>
      <c r="KP63" s="585"/>
      <c r="KQ63" s="585"/>
      <c r="KR63" s="585"/>
      <c r="KS63" s="585"/>
      <c r="KT63" s="585"/>
      <c r="KU63" s="585"/>
      <c r="KV63" s="585"/>
      <c r="KW63" s="585"/>
      <c r="KX63" s="585"/>
      <c r="KY63" s="585"/>
      <c r="KZ63" s="585"/>
      <c r="LA63" s="585"/>
      <c r="LB63" s="585"/>
      <c r="LC63" s="585"/>
      <c r="LD63" s="584"/>
      <c r="LE63" s="585"/>
      <c r="LF63" s="585"/>
      <c r="LG63" s="585"/>
      <c r="LH63" s="585"/>
      <c r="LI63" s="585"/>
      <c r="LJ63" s="585"/>
      <c r="LK63" s="585"/>
      <c r="LL63" s="585"/>
      <c r="LM63" s="585"/>
      <c r="LN63" s="585"/>
      <c r="LO63" s="585"/>
      <c r="LP63" s="585"/>
      <c r="LQ63" s="585"/>
      <c r="LR63" s="585"/>
      <c r="LS63" s="585"/>
      <c r="LT63" s="585"/>
      <c r="LU63" s="585"/>
      <c r="LV63" s="585"/>
      <c r="LW63" s="585"/>
      <c r="LX63" s="585"/>
      <c r="LY63" s="585"/>
      <c r="LZ63" s="585"/>
      <c r="MA63" s="585"/>
      <c r="MB63" s="585"/>
    </row>
    <row r="64" spans="1:340">
      <c r="A64" s="14">
        <v>1</v>
      </c>
      <c r="B64" s="582"/>
      <c r="C64" s="583"/>
      <c r="D64" s="584"/>
      <c r="E64" s="584"/>
      <c r="F64" s="585"/>
      <c r="G64" s="587"/>
      <c r="H64" s="587"/>
      <c r="I64" s="587"/>
      <c r="J64" s="585"/>
      <c r="K64" s="585"/>
      <c r="L64" s="585"/>
      <c r="M64" s="585"/>
      <c r="N64" s="585"/>
      <c r="O64" s="585"/>
      <c r="P64" s="585"/>
      <c r="Q64" s="585"/>
      <c r="R64" s="585"/>
      <c r="S64" s="585"/>
      <c r="T64" s="585"/>
      <c r="U64" s="585"/>
      <c r="V64" s="585"/>
      <c r="W64" s="585"/>
      <c r="X64" s="585"/>
      <c r="Y64" s="585"/>
      <c r="Z64" s="585"/>
      <c r="AA64" s="585"/>
      <c r="AB64" s="584"/>
      <c r="AC64" s="585"/>
      <c r="AD64" s="585"/>
      <c r="AE64" s="585"/>
      <c r="AF64" s="585"/>
      <c r="AG64" s="585"/>
      <c r="AH64" s="585"/>
      <c r="AI64" s="585"/>
      <c r="AJ64" s="585"/>
      <c r="AK64" s="585"/>
      <c r="AL64" s="585"/>
      <c r="AM64" s="585"/>
      <c r="AN64" s="585"/>
      <c r="AO64" s="585"/>
      <c r="AP64" s="585"/>
      <c r="AQ64" s="585"/>
      <c r="AR64" s="585"/>
      <c r="AS64" s="585"/>
      <c r="AT64" s="585"/>
      <c r="AU64" s="585"/>
      <c r="AV64" s="585"/>
      <c r="AW64" s="585"/>
      <c r="AX64" s="585"/>
      <c r="AY64" s="585"/>
      <c r="AZ64" s="585"/>
      <c r="BA64" s="585"/>
      <c r="BB64" s="585"/>
      <c r="BC64" s="585"/>
      <c r="BD64" s="585"/>
      <c r="BE64" s="585"/>
      <c r="BF64" s="585"/>
      <c r="BG64" s="585"/>
      <c r="BH64" s="585"/>
      <c r="BI64" s="585"/>
      <c r="BJ64" s="585"/>
      <c r="BK64" s="585"/>
      <c r="BL64" s="585"/>
      <c r="BM64" s="585"/>
      <c r="BN64" s="585"/>
      <c r="BO64" s="585"/>
      <c r="BP64" s="585"/>
      <c r="BQ64" s="585"/>
      <c r="BR64" s="585"/>
      <c r="BS64" s="585"/>
      <c r="BT64" s="585"/>
      <c r="BU64" s="585"/>
      <c r="BV64" s="585"/>
      <c r="BW64" s="585"/>
      <c r="BX64" s="585"/>
      <c r="BY64" s="585"/>
      <c r="BZ64" s="585"/>
      <c r="CA64" s="585"/>
      <c r="CB64" s="585"/>
      <c r="CC64" s="585"/>
      <c r="CD64" s="585"/>
      <c r="CE64" s="585"/>
      <c r="CF64" s="585"/>
      <c r="CG64" s="585"/>
      <c r="CH64" s="585"/>
      <c r="CI64" s="585"/>
      <c r="CJ64" s="585"/>
      <c r="CK64" s="585"/>
      <c r="CL64" s="585"/>
      <c r="CM64" s="585"/>
      <c r="CN64" s="585"/>
      <c r="CO64" s="585"/>
      <c r="CP64" s="585"/>
      <c r="CQ64" s="585"/>
      <c r="CR64" s="585"/>
      <c r="CS64" s="585"/>
      <c r="CT64" s="585"/>
      <c r="CU64" s="585"/>
      <c r="CV64" s="585"/>
      <c r="CW64" s="585"/>
      <c r="CX64" s="585"/>
      <c r="CY64" s="585"/>
      <c r="CZ64" s="585"/>
      <c r="DA64" s="585"/>
      <c r="DB64" s="585"/>
      <c r="DC64" s="585"/>
      <c r="DD64" s="585"/>
      <c r="DE64" s="585"/>
      <c r="DF64" s="585"/>
      <c r="DG64" s="585"/>
      <c r="DH64" s="585"/>
      <c r="DI64" s="585"/>
      <c r="DJ64" s="585"/>
      <c r="DK64" s="585"/>
      <c r="DL64" s="585"/>
      <c r="DM64" s="585"/>
      <c r="DN64" s="585"/>
      <c r="DO64" s="585"/>
      <c r="DP64" s="585"/>
      <c r="DQ64" s="585"/>
      <c r="DR64" s="585"/>
      <c r="DS64" s="585"/>
      <c r="DT64" s="585"/>
      <c r="DU64" s="585"/>
      <c r="DV64" s="585"/>
      <c r="DW64" s="585"/>
      <c r="DX64" s="585"/>
      <c r="DY64" s="585"/>
      <c r="DZ64" s="585"/>
      <c r="EA64" s="585"/>
      <c r="EB64" s="585"/>
      <c r="EC64" s="585"/>
      <c r="ED64" s="585"/>
      <c r="EE64" s="585"/>
      <c r="EF64" s="585"/>
      <c r="EG64" s="585"/>
      <c r="EH64" s="585"/>
      <c r="EI64" s="585"/>
      <c r="EJ64" s="585"/>
      <c r="EK64" s="585"/>
      <c r="EL64" s="585"/>
      <c r="EM64" s="585"/>
      <c r="EN64" s="585"/>
      <c r="EO64" s="585"/>
      <c r="EP64" s="585"/>
      <c r="EQ64" s="585"/>
      <c r="ER64" s="585"/>
      <c r="ES64" s="585"/>
      <c r="ET64" s="585"/>
      <c r="EU64" s="585"/>
      <c r="EV64" s="585"/>
      <c r="EW64" s="585"/>
      <c r="EX64" s="585"/>
      <c r="EY64" s="585"/>
      <c r="EZ64" s="585"/>
      <c r="FA64" s="585"/>
      <c r="FB64" s="585"/>
      <c r="FC64" s="585"/>
      <c r="FD64" s="585"/>
      <c r="FE64" s="585"/>
      <c r="FF64" s="585"/>
      <c r="FG64" s="585"/>
      <c r="FH64" s="585"/>
      <c r="FI64" s="585"/>
      <c r="FJ64" s="585"/>
      <c r="FK64" s="585"/>
      <c r="FL64" s="585"/>
      <c r="FM64" s="585"/>
      <c r="FN64" s="585"/>
      <c r="FO64" s="585"/>
      <c r="FP64" s="585"/>
      <c r="FQ64" s="585"/>
      <c r="FR64" s="585"/>
      <c r="FS64" s="585"/>
      <c r="FT64" s="585"/>
      <c r="FU64" s="585"/>
      <c r="FV64" s="585"/>
      <c r="FW64" s="585"/>
      <c r="FX64" s="585"/>
      <c r="FY64" s="585"/>
      <c r="FZ64" s="585"/>
      <c r="GA64" s="585"/>
      <c r="GB64" s="585"/>
      <c r="GC64" s="585"/>
      <c r="GD64" s="585"/>
      <c r="GE64" s="585"/>
      <c r="GF64" s="585"/>
      <c r="GG64" s="585"/>
      <c r="GH64" s="585"/>
      <c r="GI64" s="585"/>
      <c r="GJ64" s="585"/>
      <c r="GK64" s="585"/>
      <c r="GL64" s="585"/>
      <c r="GM64" s="585"/>
      <c r="GN64" s="585"/>
      <c r="GO64" s="585"/>
      <c r="GP64" s="585"/>
      <c r="GQ64" s="585"/>
      <c r="GR64" s="585"/>
      <c r="GS64" s="585"/>
      <c r="GT64" s="585"/>
      <c r="GU64" s="585"/>
      <c r="GV64" s="585"/>
      <c r="GW64" s="585"/>
      <c r="GX64" s="585"/>
      <c r="GY64" s="585"/>
      <c r="GZ64" s="585"/>
      <c r="HA64" s="585"/>
      <c r="HB64" s="585"/>
      <c r="HC64" s="585"/>
      <c r="HD64" s="585"/>
      <c r="HE64" s="585"/>
      <c r="HF64" s="585"/>
      <c r="HG64" s="585"/>
      <c r="HH64" s="585"/>
      <c r="HI64" s="585"/>
      <c r="HJ64" s="585"/>
      <c r="HK64" s="585"/>
      <c r="HL64" s="585"/>
      <c r="HM64" s="585"/>
      <c r="HN64" s="585"/>
      <c r="HO64" s="585"/>
      <c r="HP64" s="585"/>
      <c r="HQ64" s="585"/>
      <c r="HR64" s="585"/>
      <c r="HS64" s="585"/>
      <c r="HT64" s="585"/>
      <c r="HU64" s="585"/>
      <c r="HV64" s="585"/>
      <c r="HW64" s="585"/>
      <c r="HX64" s="585"/>
      <c r="HY64" s="585"/>
      <c r="HZ64" s="585"/>
      <c r="IA64" s="585"/>
      <c r="IB64" s="585"/>
      <c r="IC64" s="585"/>
      <c r="ID64" s="585"/>
      <c r="IE64" s="585"/>
      <c r="IF64" s="585"/>
      <c r="IG64" s="585"/>
      <c r="IH64" s="585"/>
      <c r="II64" s="585"/>
      <c r="IJ64" s="585"/>
      <c r="IK64" s="585"/>
      <c r="IL64" s="585"/>
      <c r="IM64" s="585"/>
      <c r="IN64" s="585"/>
      <c r="IO64" s="585"/>
      <c r="IP64" s="585"/>
      <c r="IQ64" s="585"/>
      <c r="IR64" s="585"/>
      <c r="IS64" s="585"/>
      <c r="IT64" s="585"/>
      <c r="IU64" s="585"/>
      <c r="IV64" s="585"/>
      <c r="IW64" s="585"/>
      <c r="IX64" s="585"/>
      <c r="IY64" s="585"/>
      <c r="IZ64" s="585"/>
      <c r="JA64" s="585"/>
      <c r="JB64" s="585"/>
      <c r="JC64" s="585"/>
      <c r="JD64" s="585"/>
      <c r="JE64" s="585"/>
      <c r="JF64" s="585"/>
      <c r="JG64" s="585"/>
      <c r="JH64" s="585"/>
      <c r="JI64" s="585"/>
      <c r="JJ64" s="585"/>
      <c r="JK64" s="585"/>
      <c r="JL64" s="585"/>
      <c r="JM64" s="585"/>
      <c r="JN64" s="585"/>
      <c r="JO64" s="585"/>
      <c r="JP64" s="585"/>
      <c r="JQ64" s="585"/>
      <c r="JR64" s="585"/>
      <c r="JS64" s="585"/>
      <c r="JT64" s="587"/>
      <c r="JU64" s="585"/>
      <c r="JV64" s="585"/>
      <c r="JW64" s="585"/>
      <c r="JX64" s="585"/>
      <c r="JY64" s="585"/>
      <c r="JZ64" s="585"/>
      <c r="KA64" s="585"/>
      <c r="KB64" s="585"/>
      <c r="KC64" s="585"/>
      <c r="KD64" s="585"/>
      <c r="KE64" s="585"/>
      <c r="KF64" s="585"/>
      <c r="KG64" s="585"/>
      <c r="KH64" s="585"/>
      <c r="KI64" s="585"/>
      <c r="KJ64" s="585"/>
      <c r="KK64" s="585"/>
      <c r="KL64" s="585"/>
      <c r="KM64" s="585"/>
      <c r="KN64" s="585"/>
      <c r="KO64" s="585"/>
      <c r="KP64" s="585"/>
      <c r="KQ64" s="585"/>
      <c r="KR64" s="585"/>
      <c r="KS64" s="585"/>
      <c r="KT64" s="585"/>
      <c r="KU64" s="585"/>
      <c r="KV64" s="585"/>
      <c r="KW64" s="585"/>
      <c r="KX64" s="585"/>
      <c r="KY64" s="585"/>
      <c r="KZ64" s="585"/>
      <c r="LA64" s="585"/>
      <c r="LB64" s="585"/>
      <c r="LC64" s="585"/>
      <c r="LD64" s="584"/>
      <c r="LE64" s="585"/>
      <c r="LF64" s="585"/>
      <c r="LG64" s="585"/>
      <c r="LH64" s="585"/>
      <c r="LI64" s="585"/>
      <c r="LJ64" s="585"/>
      <c r="LK64" s="585"/>
      <c r="LL64" s="585"/>
      <c r="LM64" s="585"/>
      <c r="LN64" s="585"/>
      <c r="LO64" s="585"/>
      <c r="LP64" s="585"/>
      <c r="LQ64" s="585"/>
      <c r="LR64" s="585"/>
      <c r="LS64" s="585"/>
      <c r="LT64" s="585"/>
      <c r="LU64" s="585"/>
      <c r="LV64" s="585"/>
      <c r="LW64" s="585"/>
      <c r="LX64" s="585"/>
      <c r="LY64" s="585"/>
      <c r="LZ64" s="585"/>
      <c r="MA64" s="585"/>
      <c r="MB64" s="585"/>
    </row>
    <row r="65" spans="1:340">
      <c r="A65" s="14">
        <v>1</v>
      </c>
      <c r="B65" s="582"/>
      <c r="C65" s="583"/>
      <c r="D65" s="584"/>
      <c r="E65" s="584"/>
      <c r="F65" s="585"/>
      <c r="G65" s="587"/>
      <c r="H65" s="587"/>
      <c r="I65" s="587"/>
      <c r="J65" s="585"/>
      <c r="K65" s="585"/>
      <c r="L65" s="585"/>
      <c r="M65" s="585"/>
      <c r="N65" s="585"/>
      <c r="O65" s="585"/>
      <c r="P65" s="585"/>
      <c r="Q65" s="585"/>
      <c r="R65" s="585"/>
      <c r="S65" s="585"/>
      <c r="T65" s="585"/>
      <c r="U65" s="585"/>
      <c r="V65" s="585"/>
      <c r="W65" s="585"/>
      <c r="X65" s="585"/>
      <c r="Y65" s="585"/>
      <c r="Z65" s="585"/>
      <c r="AA65" s="585"/>
      <c r="AB65" s="584"/>
      <c r="AC65" s="585"/>
      <c r="AD65" s="585"/>
      <c r="AE65" s="585"/>
      <c r="AF65" s="585"/>
      <c r="AG65" s="585"/>
      <c r="AH65" s="585"/>
      <c r="AI65" s="585"/>
      <c r="AJ65" s="585"/>
      <c r="AK65" s="585"/>
      <c r="AL65" s="585"/>
      <c r="AM65" s="585"/>
      <c r="AN65" s="585"/>
      <c r="AO65" s="585"/>
      <c r="AP65" s="585"/>
      <c r="AQ65" s="585"/>
      <c r="AR65" s="585"/>
      <c r="AS65" s="585"/>
      <c r="AT65" s="585"/>
      <c r="AU65" s="585"/>
      <c r="AV65" s="585"/>
      <c r="AW65" s="585"/>
      <c r="AX65" s="585"/>
      <c r="AY65" s="585"/>
      <c r="AZ65" s="585"/>
      <c r="BA65" s="585"/>
      <c r="BB65" s="585"/>
      <c r="BC65" s="585"/>
      <c r="BD65" s="585"/>
      <c r="BE65" s="585"/>
      <c r="BF65" s="585"/>
      <c r="BG65" s="585"/>
      <c r="BH65" s="585"/>
      <c r="BI65" s="585"/>
      <c r="BJ65" s="585"/>
      <c r="BK65" s="585"/>
      <c r="BL65" s="585"/>
      <c r="BM65" s="585"/>
      <c r="BN65" s="585"/>
      <c r="BO65" s="585"/>
      <c r="BP65" s="585"/>
      <c r="BQ65" s="585"/>
      <c r="BR65" s="585"/>
      <c r="BS65" s="585"/>
      <c r="BT65" s="585"/>
      <c r="BU65" s="585"/>
      <c r="BV65" s="585"/>
      <c r="BW65" s="585"/>
      <c r="BX65" s="585"/>
      <c r="BY65" s="585"/>
      <c r="BZ65" s="585"/>
      <c r="CA65" s="585"/>
      <c r="CB65" s="585"/>
      <c r="CC65" s="585"/>
      <c r="CD65" s="585"/>
      <c r="CE65" s="585"/>
      <c r="CF65" s="585"/>
      <c r="CG65" s="585"/>
      <c r="CH65" s="585"/>
      <c r="CI65" s="585"/>
      <c r="CJ65" s="585"/>
      <c r="CK65" s="585"/>
      <c r="CL65" s="585"/>
      <c r="CM65" s="585"/>
      <c r="CN65" s="585"/>
      <c r="CO65" s="585"/>
      <c r="CP65" s="585"/>
      <c r="CQ65" s="585"/>
      <c r="CR65" s="585"/>
      <c r="CS65" s="585"/>
      <c r="CT65" s="585"/>
      <c r="CU65" s="585"/>
      <c r="CV65" s="585"/>
      <c r="CW65" s="585"/>
      <c r="CX65" s="585"/>
      <c r="CY65" s="585"/>
      <c r="CZ65" s="585"/>
      <c r="DA65" s="585"/>
      <c r="DB65" s="585"/>
      <c r="DC65" s="585"/>
      <c r="DD65" s="585"/>
      <c r="DE65" s="585"/>
      <c r="DF65" s="585"/>
      <c r="DG65" s="585"/>
      <c r="DH65" s="585"/>
      <c r="DI65" s="585"/>
      <c r="DJ65" s="585"/>
      <c r="DK65" s="585"/>
      <c r="DL65" s="585"/>
      <c r="DM65" s="585"/>
      <c r="DN65" s="585"/>
      <c r="DO65" s="585"/>
      <c r="DP65" s="585"/>
      <c r="DQ65" s="585"/>
      <c r="DR65" s="585"/>
      <c r="DS65" s="585"/>
      <c r="DT65" s="585"/>
      <c r="DU65" s="585"/>
      <c r="DV65" s="585"/>
      <c r="DW65" s="585"/>
      <c r="DX65" s="585"/>
      <c r="DY65" s="585"/>
      <c r="DZ65" s="585"/>
      <c r="EA65" s="585"/>
      <c r="EB65" s="585"/>
      <c r="EC65" s="585"/>
      <c r="ED65" s="585"/>
      <c r="EE65" s="585"/>
      <c r="EF65" s="585"/>
      <c r="EG65" s="585"/>
      <c r="EH65" s="585"/>
      <c r="EI65" s="585"/>
      <c r="EJ65" s="585"/>
      <c r="EK65" s="585"/>
      <c r="EL65" s="585"/>
      <c r="EM65" s="585"/>
      <c r="EN65" s="585"/>
      <c r="EO65" s="585"/>
      <c r="EP65" s="585"/>
      <c r="EQ65" s="585"/>
      <c r="ER65" s="585"/>
      <c r="ES65" s="585"/>
      <c r="ET65" s="585"/>
      <c r="EU65" s="585"/>
      <c r="EV65" s="585"/>
      <c r="EW65" s="585"/>
      <c r="EX65" s="585"/>
      <c r="EY65" s="585"/>
      <c r="EZ65" s="585"/>
      <c r="FA65" s="585"/>
      <c r="FB65" s="585"/>
      <c r="FC65" s="585"/>
      <c r="FD65" s="585"/>
      <c r="FE65" s="585"/>
      <c r="FF65" s="585"/>
      <c r="FG65" s="585"/>
      <c r="FH65" s="585"/>
      <c r="FI65" s="585"/>
      <c r="FJ65" s="585"/>
      <c r="FK65" s="585"/>
      <c r="FL65" s="585"/>
      <c r="FM65" s="585"/>
      <c r="FN65" s="585"/>
      <c r="FO65" s="585"/>
      <c r="FP65" s="585"/>
      <c r="FQ65" s="585"/>
      <c r="FR65" s="585"/>
      <c r="FS65" s="585"/>
      <c r="FT65" s="585"/>
      <c r="FU65" s="585"/>
      <c r="FV65" s="585"/>
      <c r="FW65" s="585"/>
      <c r="FX65" s="585"/>
      <c r="FY65" s="585"/>
      <c r="FZ65" s="585"/>
      <c r="GA65" s="585"/>
      <c r="GB65" s="585"/>
      <c r="GC65" s="585"/>
      <c r="GD65" s="585"/>
      <c r="GE65" s="585"/>
      <c r="GF65" s="585"/>
      <c r="GG65" s="585"/>
      <c r="GH65" s="585"/>
      <c r="GI65" s="585"/>
      <c r="GJ65" s="585"/>
      <c r="GK65" s="585"/>
      <c r="GL65" s="585"/>
      <c r="GM65" s="585"/>
      <c r="GN65" s="585"/>
      <c r="GO65" s="585"/>
      <c r="GP65" s="585"/>
      <c r="GQ65" s="585"/>
      <c r="GR65" s="585"/>
      <c r="GS65" s="585"/>
      <c r="GT65" s="585"/>
      <c r="GU65" s="585"/>
      <c r="GV65" s="585"/>
      <c r="GW65" s="585"/>
      <c r="GX65" s="585"/>
      <c r="GY65" s="585"/>
      <c r="GZ65" s="585"/>
      <c r="HA65" s="585"/>
      <c r="HB65" s="585"/>
      <c r="HC65" s="585"/>
      <c r="HD65" s="585"/>
      <c r="HE65" s="585"/>
      <c r="HF65" s="585"/>
      <c r="HG65" s="585"/>
      <c r="HH65" s="585"/>
      <c r="HI65" s="585"/>
      <c r="HJ65" s="585"/>
      <c r="HK65" s="585"/>
      <c r="HL65" s="585"/>
      <c r="HM65" s="585"/>
      <c r="HN65" s="585"/>
      <c r="HO65" s="585"/>
      <c r="HP65" s="585"/>
      <c r="HQ65" s="585"/>
      <c r="HR65" s="585"/>
      <c r="HS65" s="585"/>
      <c r="HT65" s="585"/>
      <c r="HU65" s="585"/>
      <c r="HV65" s="585"/>
      <c r="HW65" s="585"/>
      <c r="HX65" s="585"/>
      <c r="HY65" s="585"/>
      <c r="HZ65" s="585"/>
      <c r="IA65" s="585"/>
      <c r="IB65" s="585"/>
      <c r="IC65" s="585"/>
      <c r="ID65" s="585"/>
      <c r="IE65" s="585"/>
      <c r="IF65" s="585"/>
      <c r="IG65" s="585"/>
      <c r="IH65" s="585"/>
      <c r="II65" s="585"/>
      <c r="IJ65" s="585"/>
      <c r="IK65" s="585"/>
      <c r="IL65" s="585"/>
      <c r="IM65" s="585"/>
      <c r="IN65" s="585"/>
      <c r="IO65" s="585"/>
      <c r="IP65" s="585"/>
      <c r="IQ65" s="585"/>
      <c r="IR65" s="585"/>
      <c r="IS65" s="585"/>
      <c r="IT65" s="585"/>
      <c r="IU65" s="585"/>
      <c r="IV65" s="585"/>
      <c r="IW65" s="585"/>
      <c r="IX65" s="585"/>
      <c r="IY65" s="585"/>
      <c r="IZ65" s="585"/>
      <c r="JA65" s="585"/>
      <c r="JB65" s="585"/>
      <c r="JC65" s="585"/>
      <c r="JD65" s="585"/>
      <c r="JE65" s="585"/>
      <c r="JF65" s="585"/>
      <c r="JG65" s="585"/>
      <c r="JH65" s="585"/>
      <c r="JI65" s="585"/>
      <c r="JJ65" s="585"/>
      <c r="JK65" s="585"/>
      <c r="JL65" s="585"/>
      <c r="JM65" s="585"/>
      <c r="JN65" s="585"/>
      <c r="JO65" s="585"/>
      <c r="JP65" s="585"/>
      <c r="JQ65" s="585"/>
      <c r="JR65" s="585"/>
      <c r="JS65" s="585"/>
      <c r="JT65" s="587"/>
      <c r="JU65" s="585"/>
      <c r="JV65" s="585"/>
      <c r="JW65" s="585"/>
      <c r="JX65" s="585"/>
      <c r="JY65" s="585"/>
      <c r="JZ65" s="585"/>
      <c r="KA65" s="585"/>
      <c r="KB65" s="585"/>
      <c r="KC65" s="585"/>
      <c r="KD65" s="585"/>
      <c r="KE65" s="585"/>
      <c r="KF65" s="585"/>
      <c r="KG65" s="585"/>
      <c r="KH65" s="585"/>
      <c r="KI65" s="585"/>
      <c r="KJ65" s="585"/>
      <c r="KK65" s="585"/>
      <c r="KL65" s="585"/>
      <c r="KM65" s="585"/>
      <c r="KN65" s="585"/>
      <c r="KO65" s="585"/>
      <c r="KP65" s="585"/>
      <c r="KQ65" s="585"/>
      <c r="KR65" s="585"/>
      <c r="KS65" s="585"/>
      <c r="KT65" s="585"/>
      <c r="KU65" s="585"/>
      <c r="KV65" s="585"/>
      <c r="KW65" s="585"/>
      <c r="KX65" s="585"/>
      <c r="KY65" s="585"/>
      <c r="KZ65" s="585"/>
      <c r="LA65" s="585"/>
      <c r="LB65" s="585"/>
      <c r="LC65" s="585"/>
      <c r="LD65" s="584"/>
      <c r="LE65" s="585"/>
      <c r="LF65" s="585"/>
      <c r="LG65" s="585"/>
      <c r="LH65" s="585"/>
      <c r="LI65" s="585"/>
      <c r="LJ65" s="585"/>
      <c r="LK65" s="585"/>
      <c r="LL65" s="585"/>
      <c r="LM65" s="585"/>
      <c r="LN65" s="585"/>
      <c r="LO65" s="585"/>
      <c r="LP65" s="585"/>
      <c r="LQ65" s="585"/>
      <c r="LR65" s="585"/>
      <c r="LS65" s="585"/>
      <c r="LT65" s="585"/>
      <c r="LU65" s="585"/>
      <c r="LV65" s="585"/>
      <c r="LW65" s="585"/>
      <c r="LX65" s="585"/>
      <c r="LY65" s="585"/>
      <c r="LZ65" s="585"/>
      <c r="MA65" s="585"/>
      <c r="MB65" s="585"/>
    </row>
    <row r="66" spans="1:340">
      <c r="A66" s="14">
        <v>1</v>
      </c>
      <c r="B66" s="582"/>
      <c r="C66" s="583"/>
      <c r="D66" s="584"/>
      <c r="E66" s="584"/>
      <c r="F66" s="585"/>
      <c r="G66" s="587"/>
      <c r="H66" s="587"/>
      <c r="I66" s="587"/>
      <c r="J66" s="585"/>
      <c r="K66" s="585"/>
      <c r="L66" s="585"/>
      <c r="M66" s="585"/>
      <c r="N66" s="585"/>
      <c r="O66" s="585"/>
      <c r="P66" s="585"/>
      <c r="Q66" s="585"/>
      <c r="R66" s="585"/>
      <c r="S66" s="585"/>
      <c r="T66" s="585"/>
      <c r="U66" s="585"/>
      <c r="V66" s="585"/>
      <c r="W66" s="585"/>
      <c r="X66" s="585"/>
      <c r="Y66" s="585"/>
      <c r="Z66" s="585"/>
      <c r="AA66" s="585"/>
      <c r="AB66" s="584"/>
      <c r="AC66" s="585"/>
      <c r="AD66" s="585"/>
      <c r="AE66" s="585"/>
      <c r="AF66" s="585"/>
      <c r="AG66" s="585"/>
      <c r="AH66" s="585"/>
      <c r="AI66" s="585"/>
      <c r="AJ66" s="585"/>
      <c r="AK66" s="585"/>
      <c r="AL66" s="585"/>
      <c r="AM66" s="585"/>
      <c r="AN66" s="585"/>
      <c r="AO66" s="585"/>
      <c r="AP66" s="585"/>
      <c r="AQ66" s="585"/>
      <c r="AR66" s="585"/>
      <c r="AS66" s="585"/>
      <c r="AT66" s="585"/>
      <c r="AU66" s="585"/>
      <c r="AV66" s="585"/>
      <c r="AW66" s="585"/>
      <c r="AX66" s="585"/>
      <c r="AY66" s="585"/>
      <c r="AZ66" s="585"/>
      <c r="BA66" s="585"/>
      <c r="BB66" s="585"/>
      <c r="BC66" s="585"/>
      <c r="BD66" s="585"/>
      <c r="BE66" s="585"/>
      <c r="BF66" s="585"/>
      <c r="BG66" s="585"/>
      <c r="BH66" s="585"/>
      <c r="BI66" s="585"/>
      <c r="BJ66" s="585"/>
      <c r="BK66" s="585"/>
      <c r="BL66" s="585"/>
      <c r="BM66" s="585"/>
      <c r="BN66" s="585"/>
      <c r="BO66" s="585"/>
      <c r="BP66" s="585"/>
      <c r="BQ66" s="585"/>
      <c r="BR66" s="585"/>
      <c r="BS66" s="585"/>
      <c r="BT66" s="585"/>
      <c r="BU66" s="585"/>
      <c r="BV66" s="585"/>
      <c r="BW66" s="585"/>
      <c r="BX66" s="585"/>
      <c r="BY66" s="585"/>
      <c r="BZ66" s="585"/>
      <c r="CA66" s="585"/>
      <c r="CB66" s="585"/>
      <c r="CC66" s="585"/>
      <c r="CD66" s="585"/>
      <c r="CE66" s="585"/>
      <c r="CF66" s="585"/>
      <c r="CG66" s="585"/>
      <c r="CH66" s="585"/>
      <c r="CI66" s="585"/>
      <c r="CJ66" s="585"/>
      <c r="CK66" s="585"/>
      <c r="CL66" s="585"/>
      <c r="CM66" s="585"/>
      <c r="CN66" s="585"/>
      <c r="CO66" s="585"/>
      <c r="CP66" s="585"/>
      <c r="CQ66" s="585"/>
      <c r="CR66" s="585"/>
      <c r="CS66" s="585"/>
      <c r="CT66" s="585"/>
      <c r="CU66" s="585"/>
      <c r="CV66" s="585"/>
      <c r="CW66" s="585"/>
      <c r="CX66" s="585"/>
      <c r="CY66" s="585"/>
      <c r="CZ66" s="585"/>
      <c r="DA66" s="585"/>
      <c r="DB66" s="585"/>
      <c r="DC66" s="585"/>
      <c r="DD66" s="585"/>
      <c r="DE66" s="585"/>
      <c r="DF66" s="585"/>
      <c r="DG66" s="585"/>
      <c r="DH66" s="585"/>
      <c r="DI66" s="585"/>
      <c r="DJ66" s="585"/>
      <c r="DK66" s="585"/>
      <c r="DL66" s="585"/>
      <c r="DM66" s="585"/>
      <c r="DN66" s="585"/>
      <c r="DO66" s="585"/>
      <c r="DP66" s="585"/>
      <c r="DQ66" s="585"/>
      <c r="DR66" s="585"/>
      <c r="DS66" s="585"/>
      <c r="DT66" s="585"/>
      <c r="DU66" s="585"/>
      <c r="DV66" s="585"/>
      <c r="DW66" s="585"/>
      <c r="DX66" s="585"/>
      <c r="DY66" s="585"/>
      <c r="DZ66" s="585"/>
      <c r="EA66" s="585"/>
      <c r="EB66" s="585"/>
      <c r="EC66" s="585"/>
      <c r="ED66" s="585"/>
      <c r="EE66" s="585"/>
      <c r="EF66" s="585"/>
      <c r="EG66" s="585"/>
      <c r="EH66" s="585"/>
      <c r="EI66" s="585"/>
      <c r="EJ66" s="585"/>
      <c r="EK66" s="585"/>
      <c r="EL66" s="585"/>
      <c r="EM66" s="585"/>
      <c r="EN66" s="585"/>
      <c r="EO66" s="585"/>
      <c r="EP66" s="585"/>
      <c r="EQ66" s="585"/>
      <c r="ER66" s="585"/>
      <c r="ES66" s="585"/>
      <c r="ET66" s="585"/>
      <c r="EU66" s="585"/>
      <c r="EV66" s="585"/>
      <c r="EW66" s="585"/>
      <c r="EX66" s="585"/>
      <c r="EY66" s="585"/>
      <c r="EZ66" s="585"/>
      <c r="FA66" s="585"/>
      <c r="FB66" s="585"/>
      <c r="FC66" s="585"/>
      <c r="FD66" s="585"/>
      <c r="FE66" s="585"/>
      <c r="FF66" s="585"/>
      <c r="FG66" s="585"/>
      <c r="FH66" s="585"/>
      <c r="FI66" s="585"/>
      <c r="FJ66" s="585"/>
      <c r="FK66" s="585"/>
      <c r="FL66" s="585"/>
      <c r="FM66" s="585"/>
      <c r="FN66" s="585"/>
      <c r="FO66" s="585"/>
      <c r="FP66" s="585"/>
      <c r="FQ66" s="585"/>
      <c r="FR66" s="585"/>
      <c r="FS66" s="585"/>
      <c r="FT66" s="585"/>
      <c r="FU66" s="585"/>
      <c r="FV66" s="585"/>
      <c r="FW66" s="585"/>
      <c r="FX66" s="585"/>
      <c r="FY66" s="585"/>
      <c r="FZ66" s="585"/>
      <c r="GA66" s="585"/>
      <c r="GB66" s="585"/>
      <c r="GC66" s="585"/>
      <c r="GD66" s="585"/>
      <c r="GE66" s="585"/>
      <c r="GF66" s="585"/>
      <c r="GG66" s="585"/>
      <c r="GH66" s="585"/>
      <c r="GI66" s="585"/>
      <c r="GJ66" s="585"/>
      <c r="GK66" s="585"/>
      <c r="GL66" s="585"/>
      <c r="GM66" s="585"/>
      <c r="GN66" s="585"/>
      <c r="GO66" s="585"/>
      <c r="GP66" s="585"/>
      <c r="GQ66" s="585"/>
      <c r="GR66" s="585"/>
      <c r="GS66" s="585"/>
      <c r="GT66" s="585"/>
      <c r="GU66" s="585"/>
      <c r="GV66" s="585"/>
      <c r="GW66" s="585"/>
      <c r="GX66" s="585"/>
      <c r="GY66" s="585"/>
      <c r="GZ66" s="585"/>
      <c r="HA66" s="585"/>
      <c r="HB66" s="585"/>
      <c r="HC66" s="585"/>
      <c r="HD66" s="585"/>
      <c r="HE66" s="585"/>
      <c r="HF66" s="585"/>
      <c r="HG66" s="585"/>
      <c r="HH66" s="585"/>
      <c r="HI66" s="585"/>
      <c r="HJ66" s="585"/>
      <c r="HK66" s="585"/>
      <c r="HL66" s="585"/>
      <c r="HM66" s="585"/>
      <c r="HN66" s="585"/>
      <c r="HO66" s="585"/>
      <c r="HP66" s="585"/>
      <c r="HQ66" s="585"/>
      <c r="HR66" s="585"/>
      <c r="HS66" s="585"/>
      <c r="HT66" s="585"/>
      <c r="HU66" s="585"/>
      <c r="HV66" s="585"/>
      <c r="HW66" s="585"/>
      <c r="HX66" s="585"/>
      <c r="HY66" s="585"/>
      <c r="HZ66" s="585"/>
      <c r="IA66" s="585"/>
      <c r="IB66" s="585"/>
      <c r="IC66" s="585"/>
      <c r="ID66" s="585"/>
      <c r="IE66" s="585"/>
      <c r="IF66" s="585"/>
      <c r="IG66" s="585"/>
      <c r="IH66" s="585"/>
      <c r="II66" s="585"/>
      <c r="IJ66" s="585"/>
      <c r="IK66" s="585"/>
      <c r="IL66" s="585"/>
      <c r="IM66" s="585"/>
      <c r="IN66" s="585"/>
      <c r="IO66" s="585"/>
      <c r="IP66" s="585"/>
      <c r="IQ66" s="585"/>
      <c r="IR66" s="585"/>
      <c r="IS66" s="585"/>
      <c r="IT66" s="585"/>
      <c r="IU66" s="585"/>
      <c r="IV66" s="585"/>
      <c r="IW66" s="585"/>
      <c r="IX66" s="585"/>
      <c r="IY66" s="585"/>
      <c r="IZ66" s="585"/>
      <c r="JA66" s="585"/>
      <c r="JB66" s="585"/>
      <c r="JC66" s="585"/>
      <c r="JD66" s="585"/>
      <c r="JE66" s="585"/>
      <c r="JF66" s="585"/>
      <c r="JG66" s="585"/>
      <c r="JH66" s="585"/>
      <c r="JI66" s="585"/>
      <c r="JJ66" s="585"/>
      <c r="JK66" s="585"/>
      <c r="JL66" s="585"/>
      <c r="JM66" s="585"/>
      <c r="JN66" s="585"/>
      <c r="JO66" s="585"/>
      <c r="JP66" s="585"/>
      <c r="JQ66" s="585"/>
      <c r="JR66" s="585"/>
      <c r="JS66" s="585"/>
      <c r="JT66" s="587"/>
      <c r="JU66" s="585"/>
      <c r="JV66" s="585"/>
      <c r="JW66" s="585"/>
      <c r="JX66" s="585"/>
      <c r="JY66" s="585"/>
      <c r="JZ66" s="585"/>
      <c r="KA66" s="585"/>
      <c r="KB66" s="585"/>
      <c r="KC66" s="585"/>
      <c r="KD66" s="585"/>
      <c r="KE66" s="585"/>
      <c r="KF66" s="585"/>
      <c r="KG66" s="585"/>
      <c r="KH66" s="585"/>
      <c r="KI66" s="585"/>
      <c r="KJ66" s="585"/>
      <c r="KK66" s="585"/>
      <c r="KL66" s="585"/>
      <c r="KM66" s="585"/>
      <c r="KN66" s="585"/>
      <c r="KO66" s="585"/>
      <c r="KP66" s="585"/>
      <c r="KQ66" s="585"/>
      <c r="KR66" s="585"/>
      <c r="KS66" s="585"/>
      <c r="KT66" s="585"/>
      <c r="KU66" s="585"/>
      <c r="KV66" s="585"/>
      <c r="KW66" s="585"/>
      <c r="KX66" s="585"/>
      <c r="KY66" s="585"/>
      <c r="KZ66" s="585"/>
      <c r="LA66" s="585"/>
      <c r="LB66" s="585"/>
      <c r="LC66" s="585"/>
      <c r="LD66" s="584"/>
      <c r="LE66" s="585"/>
      <c r="LF66" s="585"/>
      <c r="LG66" s="585"/>
      <c r="LH66" s="585"/>
      <c r="LI66" s="585"/>
      <c r="LJ66" s="585"/>
      <c r="LK66" s="585"/>
      <c r="LL66" s="585"/>
      <c r="LM66" s="585"/>
      <c r="LN66" s="585"/>
      <c r="LO66" s="585"/>
      <c r="LP66" s="585"/>
      <c r="LQ66" s="585"/>
      <c r="LR66" s="585"/>
      <c r="LS66" s="585"/>
      <c r="LT66" s="585"/>
      <c r="LU66" s="585"/>
      <c r="LV66" s="585"/>
      <c r="LW66" s="585"/>
      <c r="LX66" s="585"/>
      <c r="LY66" s="585"/>
      <c r="LZ66" s="585"/>
      <c r="MA66" s="585"/>
      <c r="MB66" s="585"/>
    </row>
    <row r="67" spans="1:340">
      <c r="A67" s="14">
        <v>1</v>
      </c>
      <c r="B67" s="582"/>
      <c r="C67" s="583"/>
      <c r="D67" s="584"/>
      <c r="E67" s="584"/>
      <c r="F67" s="585"/>
      <c r="G67" s="587"/>
      <c r="H67" s="587"/>
      <c r="I67" s="587"/>
      <c r="J67" s="585"/>
      <c r="K67" s="585"/>
      <c r="L67" s="585"/>
      <c r="M67" s="585"/>
      <c r="N67" s="585"/>
      <c r="O67" s="585"/>
      <c r="P67" s="585"/>
      <c r="Q67" s="585"/>
      <c r="R67" s="585"/>
      <c r="S67" s="585"/>
      <c r="T67" s="585"/>
      <c r="U67" s="585"/>
      <c r="V67" s="585"/>
      <c r="W67" s="585"/>
      <c r="X67" s="585"/>
      <c r="Y67" s="585"/>
      <c r="Z67" s="585"/>
      <c r="AA67" s="585"/>
      <c r="AB67" s="584"/>
      <c r="AC67" s="585"/>
      <c r="AD67" s="585"/>
      <c r="AE67" s="585"/>
      <c r="AF67" s="585"/>
      <c r="AG67" s="585"/>
      <c r="AH67" s="585"/>
      <c r="AI67" s="585"/>
      <c r="AJ67" s="585"/>
      <c r="AK67" s="585"/>
      <c r="AL67" s="585"/>
      <c r="AM67" s="585"/>
      <c r="AN67" s="585"/>
      <c r="AO67" s="585"/>
      <c r="AP67" s="585"/>
      <c r="AQ67" s="585"/>
      <c r="AR67" s="585"/>
      <c r="AS67" s="585"/>
      <c r="AT67" s="585"/>
      <c r="AU67" s="585"/>
      <c r="AV67" s="585"/>
      <c r="AW67" s="585"/>
      <c r="AX67" s="585"/>
      <c r="AY67" s="585"/>
      <c r="AZ67" s="585"/>
      <c r="BA67" s="585"/>
      <c r="BB67" s="585"/>
      <c r="BC67" s="585"/>
      <c r="BD67" s="585"/>
      <c r="BE67" s="585"/>
      <c r="BF67" s="585"/>
      <c r="BG67" s="585"/>
      <c r="BH67" s="585"/>
      <c r="BI67" s="585"/>
      <c r="BJ67" s="585"/>
      <c r="BK67" s="585"/>
      <c r="BL67" s="585"/>
      <c r="BM67" s="585"/>
      <c r="BN67" s="585"/>
      <c r="BO67" s="585"/>
      <c r="BP67" s="585"/>
      <c r="BQ67" s="585"/>
      <c r="BR67" s="585"/>
      <c r="BS67" s="585"/>
      <c r="BT67" s="585"/>
      <c r="BU67" s="585"/>
      <c r="BV67" s="585"/>
      <c r="BW67" s="585"/>
      <c r="BX67" s="585"/>
      <c r="BY67" s="585"/>
      <c r="BZ67" s="585"/>
      <c r="CA67" s="585"/>
      <c r="CB67" s="585"/>
      <c r="CC67" s="585"/>
      <c r="CD67" s="585"/>
      <c r="CE67" s="585"/>
      <c r="CF67" s="585"/>
      <c r="CG67" s="585"/>
      <c r="CH67" s="585"/>
      <c r="CI67" s="585"/>
      <c r="CJ67" s="585"/>
      <c r="CK67" s="585"/>
      <c r="CL67" s="585"/>
      <c r="CM67" s="585"/>
      <c r="CN67" s="585"/>
      <c r="CO67" s="585"/>
      <c r="CP67" s="585"/>
      <c r="CQ67" s="585"/>
      <c r="CR67" s="585"/>
      <c r="CS67" s="585"/>
      <c r="CT67" s="585"/>
      <c r="CU67" s="585"/>
      <c r="CV67" s="585"/>
      <c r="CW67" s="585"/>
      <c r="CX67" s="585"/>
      <c r="CY67" s="585"/>
      <c r="CZ67" s="585"/>
      <c r="DA67" s="585"/>
      <c r="DB67" s="585"/>
      <c r="DC67" s="585"/>
      <c r="DD67" s="585"/>
      <c r="DE67" s="585"/>
      <c r="DF67" s="585"/>
      <c r="DG67" s="585"/>
      <c r="DH67" s="585"/>
      <c r="DI67" s="585"/>
      <c r="DJ67" s="585"/>
      <c r="DK67" s="585"/>
      <c r="DL67" s="585"/>
      <c r="DM67" s="585"/>
      <c r="DN67" s="585"/>
      <c r="DO67" s="585"/>
      <c r="DP67" s="585"/>
      <c r="DQ67" s="585"/>
      <c r="DR67" s="585"/>
      <c r="DS67" s="585"/>
      <c r="DT67" s="585"/>
      <c r="DU67" s="585"/>
      <c r="DV67" s="585"/>
      <c r="DW67" s="585"/>
      <c r="DX67" s="585"/>
      <c r="DY67" s="585"/>
      <c r="DZ67" s="585"/>
      <c r="EA67" s="585"/>
      <c r="EB67" s="585"/>
      <c r="EC67" s="585"/>
      <c r="ED67" s="585"/>
      <c r="EE67" s="585"/>
      <c r="EF67" s="585"/>
      <c r="EG67" s="585"/>
      <c r="EH67" s="585"/>
      <c r="EI67" s="585"/>
      <c r="EJ67" s="585"/>
      <c r="EK67" s="585"/>
      <c r="EL67" s="585"/>
      <c r="EM67" s="585"/>
      <c r="EN67" s="585"/>
      <c r="EO67" s="585"/>
      <c r="EP67" s="585"/>
      <c r="EQ67" s="585"/>
      <c r="ER67" s="585"/>
      <c r="ES67" s="585"/>
      <c r="ET67" s="585"/>
      <c r="EU67" s="585"/>
      <c r="EV67" s="585"/>
      <c r="EW67" s="585"/>
      <c r="EX67" s="585"/>
      <c r="EY67" s="585"/>
      <c r="EZ67" s="585"/>
      <c r="FA67" s="585"/>
      <c r="FB67" s="585"/>
      <c r="FC67" s="585"/>
      <c r="FD67" s="585"/>
      <c r="FE67" s="585"/>
      <c r="FF67" s="585"/>
      <c r="FG67" s="585"/>
      <c r="FH67" s="585"/>
      <c r="FI67" s="585"/>
      <c r="FJ67" s="585"/>
      <c r="FK67" s="585"/>
      <c r="FL67" s="585"/>
      <c r="FM67" s="585"/>
      <c r="FN67" s="585"/>
      <c r="FO67" s="585"/>
      <c r="FP67" s="585"/>
      <c r="FQ67" s="585"/>
      <c r="FR67" s="585"/>
      <c r="FS67" s="585"/>
      <c r="FT67" s="585"/>
      <c r="FU67" s="585"/>
      <c r="FV67" s="585"/>
      <c r="FW67" s="585"/>
      <c r="FX67" s="585"/>
      <c r="FY67" s="585"/>
      <c r="FZ67" s="585"/>
      <c r="GA67" s="585"/>
      <c r="GB67" s="585"/>
      <c r="GC67" s="585"/>
      <c r="GD67" s="585"/>
      <c r="GE67" s="585"/>
      <c r="GF67" s="585"/>
      <c r="GG67" s="585"/>
      <c r="GH67" s="585"/>
      <c r="GI67" s="585"/>
      <c r="GJ67" s="585"/>
      <c r="GK67" s="585"/>
      <c r="GL67" s="585"/>
      <c r="GM67" s="585"/>
      <c r="GN67" s="585"/>
      <c r="GO67" s="585"/>
      <c r="GP67" s="585"/>
      <c r="GQ67" s="585"/>
      <c r="GR67" s="585"/>
      <c r="GS67" s="585"/>
      <c r="GT67" s="585"/>
      <c r="GU67" s="585"/>
      <c r="GV67" s="585"/>
      <c r="GW67" s="585"/>
      <c r="GX67" s="585"/>
      <c r="GY67" s="585"/>
      <c r="GZ67" s="585"/>
      <c r="HA67" s="585"/>
      <c r="HB67" s="585"/>
      <c r="HC67" s="585"/>
      <c r="HD67" s="585"/>
      <c r="HE67" s="585"/>
      <c r="HF67" s="585"/>
      <c r="HG67" s="585"/>
      <c r="HH67" s="585"/>
      <c r="HI67" s="585"/>
      <c r="HJ67" s="585"/>
      <c r="HK67" s="585"/>
      <c r="HL67" s="585"/>
      <c r="HM67" s="585"/>
      <c r="HN67" s="585"/>
      <c r="HO67" s="585"/>
      <c r="HP67" s="585"/>
      <c r="HQ67" s="585"/>
      <c r="HR67" s="585"/>
      <c r="HS67" s="585"/>
      <c r="HT67" s="585"/>
      <c r="HU67" s="585"/>
      <c r="HV67" s="585"/>
      <c r="HW67" s="585"/>
      <c r="HX67" s="585"/>
      <c r="HY67" s="585"/>
      <c r="HZ67" s="585"/>
      <c r="IA67" s="585"/>
      <c r="IB67" s="585"/>
      <c r="IC67" s="585"/>
      <c r="ID67" s="585"/>
      <c r="IE67" s="585"/>
      <c r="IF67" s="585"/>
      <c r="IG67" s="585"/>
      <c r="IH67" s="585"/>
      <c r="II67" s="585"/>
      <c r="IJ67" s="585"/>
      <c r="IK67" s="585"/>
      <c r="IL67" s="585"/>
      <c r="IM67" s="585"/>
      <c r="IN67" s="585"/>
      <c r="IO67" s="585"/>
      <c r="IP67" s="585"/>
      <c r="IQ67" s="585"/>
      <c r="IR67" s="585"/>
      <c r="IS67" s="585"/>
      <c r="IT67" s="585"/>
      <c r="IU67" s="585"/>
      <c r="IV67" s="585"/>
      <c r="IW67" s="585"/>
      <c r="IX67" s="585"/>
      <c r="IY67" s="585"/>
      <c r="IZ67" s="585"/>
      <c r="JA67" s="585"/>
      <c r="JB67" s="585"/>
      <c r="JC67" s="585"/>
      <c r="JD67" s="585"/>
      <c r="JE67" s="585"/>
      <c r="JF67" s="585"/>
      <c r="JG67" s="585"/>
      <c r="JH67" s="585"/>
      <c r="JI67" s="585"/>
      <c r="JJ67" s="585"/>
      <c r="JK67" s="585"/>
      <c r="JL67" s="585"/>
      <c r="JM67" s="585"/>
      <c r="JN67" s="585"/>
      <c r="JO67" s="585"/>
      <c r="JP67" s="585"/>
      <c r="JQ67" s="585"/>
      <c r="JR67" s="585"/>
      <c r="JS67" s="585"/>
      <c r="JT67" s="587"/>
      <c r="JU67" s="585"/>
      <c r="JV67" s="585"/>
      <c r="JW67" s="585"/>
      <c r="JX67" s="585"/>
      <c r="JY67" s="585"/>
      <c r="JZ67" s="585"/>
      <c r="KA67" s="585"/>
      <c r="KB67" s="585"/>
      <c r="KC67" s="585"/>
      <c r="KD67" s="585"/>
      <c r="KE67" s="585"/>
      <c r="KF67" s="585"/>
      <c r="KG67" s="585"/>
      <c r="KH67" s="585"/>
      <c r="KI67" s="585"/>
      <c r="KJ67" s="585"/>
      <c r="KK67" s="585"/>
      <c r="KL67" s="585"/>
      <c r="KM67" s="585"/>
      <c r="KN67" s="585"/>
      <c r="KO67" s="585"/>
      <c r="KP67" s="585"/>
      <c r="KQ67" s="585"/>
      <c r="KR67" s="585"/>
      <c r="KS67" s="585"/>
      <c r="KT67" s="585"/>
      <c r="KU67" s="585"/>
      <c r="KV67" s="585"/>
      <c r="KW67" s="585"/>
      <c r="KX67" s="585"/>
      <c r="KY67" s="585"/>
      <c r="KZ67" s="585"/>
      <c r="LA67" s="585"/>
      <c r="LB67" s="585"/>
      <c r="LC67" s="585"/>
      <c r="LD67" s="584"/>
      <c r="LE67" s="585"/>
      <c r="LF67" s="585"/>
      <c r="LG67" s="585"/>
      <c r="LH67" s="585"/>
      <c r="LI67" s="585"/>
      <c r="LJ67" s="585"/>
      <c r="LK67" s="585"/>
      <c r="LL67" s="585"/>
      <c r="LM67" s="585"/>
      <c r="LN67" s="585"/>
      <c r="LO67" s="585"/>
      <c r="LP67" s="585"/>
      <c r="LQ67" s="585"/>
      <c r="LR67" s="585"/>
      <c r="LS67" s="585"/>
      <c r="LT67" s="585"/>
      <c r="LU67" s="585"/>
      <c r="LV67" s="585"/>
      <c r="LW67" s="585"/>
      <c r="LX67" s="585"/>
      <c r="LY67" s="585"/>
      <c r="LZ67" s="585"/>
      <c r="MA67" s="585"/>
      <c r="MB67" s="585"/>
    </row>
    <row r="68" spans="1:340">
      <c r="A68" s="14">
        <v>1</v>
      </c>
      <c r="B68" s="582"/>
      <c r="C68" s="583"/>
      <c r="D68" s="584"/>
      <c r="E68" s="584"/>
      <c r="F68" s="585"/>
      <c r="G68" s="587"/>
      <c r="H68" s="587"/>
      <c r="I68" s="587"/>
      <c r="J68" s="585"/>
      <c r="K68" s="585"/>
      <c r="L68" s="585"/>
      <c r="M68" s="585"/>
      <c r="N68" s="585"/>
      <c r="O68" s="585"/>
      <c r="P68" s="585"/>
      <c r="Q68" s="585"/>
      <c r="R68" s="585"/>
      <c r="S68" s="585"/>
      <c r="T68" s="585"/>
      <c r="U68" s="585"/>
      <c r="V68" s="585"/>
      <c r="W68" s="585"/>
      <c r="X68" s="585"/>
      <c r="Y68" s="585"/>
      <c r="Z68" s="585"/>
      <c r="AA68" s="585"/>
      <c r="AB68" s="584"/>
      <c r="AC68" s="585"/>
      <c r="AD68" s="585"/>
      <c r="AE68" s="585"/>
      <c r="AF68" s="585"/>
      <c r="AG68" s="585"/>
      <c r="AH68" s="585"/>
      <c r="AI68" s="585"/>
      <c r="AJ68" s="585"/>
      <c r="AK68" s="585"/>
      <c r="AL68" s="585"/>
      <c r="AM68" s="585"/>
      <c r="AN68" s="585"/>
      <c r="AO68" s="585"/>
      <c r="AP68" s="585"/>
      <c r="AQ68" s="585"/>
      <c r="AR68" s="585"/>
      <c r="AS68" s="585"/>
      <c r="AT68" s="585"/>
      <c r="AU68" s="585"/>
      <c r="AV68" s="585"/>
      <c r="AW68" s="585"/>
      <c r="AX68" s="585"/>
      <c r="AY68" s="585"/>
      <c r="AZ68" s="585"/>
      <c r="BA68" s="585"/>
      <c r="BB68" s="585"/>
      <c r="BC68" s="585"/>
      <c r="BD68" s="585"/>
      <c r="BE68" s="585"/>
      <c r="BF68" s="585"/>
      <c r="BG68" s="585"/>
      <c r="BH68" s="585"/>
      <c r="BI68" s="585"/>
      <c r="BJ68" s="585"/>
      <c r="BK68" s="585"/>
      <c r="BL68" s="585"/>
      <c r="BM68" s="585"/>
      <c r="BN68" s="585"/>
      <c r="BO68" s="585"/>
      <c r="BP68" s="585"/>
      <c r="BQ68" s="585"/>
      <c r="BR68" s="585"/>
      <c r="BS68" s="585"/>
      <c r="BT68" s="585"/>
      <c r="BU68" s="585"/>
      <c r="BV68" s="585"/>
      <c r="BW68" s="585"/>
      <c r="BX68" s="585"/>
      <c r="BY68" s="585"/>
      <c r="BZ68" s="585"/>
      <c r="CA68" s="585"/>
      <c r="CB68" s="585"/>
      <c r="CC68" s="585"/>
      <c r="CD68" s="585"/>
      <c r="CE68" s="585"/>
      <c r="CF68" s="585"/>
      <c r="CG68" s="585"/>
      <c r="CH68" s="585"/>
      <c r="CI68" s="585"/>
      <c r="CJ68" s="585"/>
      <c r="CK68" s="585"/>
      <c r="CL68" s="585"/>
      <c r="CM68" s="585"/>
      <c r="CN68" s="585"/>
      <c r="CO68" s="585"/>
      <c r="CP68" s="585"/>
      <c r="CQ68" s="585"/>
      <c r="CR68" s="585"/>
      <c r="CS68" s="585"/>
      <c r="CT68" s="585"/>
      <c r="CU68" s="585"/>
      <c r="CV68" s="585"/>
      <c r="CW68" s="585"/>
      <c r="CX68" s="585"/>
      <c r="CY68" s="585"/>
      <c r="CZ68" s="585"/>
      <c r="DA68" s="585"/>
      <c r="DB68" s="585"/>
      <c r="DC68" s="585"/>
      <c r="DD68" s="585"/>
      <c r="DE68" s="585"/>
      <c r="DF68" s="585"/>
      <c r="DG68" s="585"/>
      <c r="DH68" s="585"/>
      <c r="DI68" s="585"/>
      <c r="DJ68" s="585"/>
      <c r="DK68" s="585"/>
      <c r="DL68" s="585"/>
      <c r="DM68" s="585"/>
      <c r="DN68" s="585"/>
      <c r="DO68" s="585"/>
      <c r="DP68" s="585"/>
      <c r="DQ68" s="585"/>
      <c r="DR68" s="585"/>
      <c r="DS68" s="585"/>
      <c r="DT68" s="585"/>
      <c r="DU68" s="585"/>
      <c r="DV68" s="585"/>
      <c r="DW68" s="585"/>
      <c r="DX68" s="585"/>
      <c r="DY68" s="585"/>
      <c r="DZ68" s="585"/>
      <c r="EA68" s="585"/>
      <c r="EB68" s="585"/>
      <c r="EC68" s="585"/>
      <c r="ED68" s="585"/>
      <c r="EE68" s="585"/>
      <c r="EF68" s="585"/>
      <c r="EG68" s="585"/>
      <c r="EH68" s="585"/>
      <c r="EI68" s="585"/>
      <c r="EJ68" s="585"/>
      <c r="EK68" s="585"/>
      <c r="EL68" s="585"/>
      <c r="EM68" s="585"/>
      <c r="EN68" s="585"/>
      <c r="EO68" s="585"/>
      <c r="EP68" s="585"/>
      <c r="EQ68" s="585"/>
      <c r="ER68" s="585"/>
      <c r="ES68" s="585"/>
      <c r="ET68" s="585"/>
      <c r="EU68" s="585"/>
      <c r="EV68" s="585"/>
      <c r="EW68" s="585"/>
      <c r="EX68" s="585"/>
      <c r="EY68" s="585"/>
      <c r="EZ68" s="585"/>
      <c r="FA68" s="585"/>
      <c r="FB68" s="585"/>
      <c r="FC68" s="585"/>
      <c r="FD68" s="585"/>
      <c r="FE68" s="585"/>
      <c r="FF68" s="585"/>
      <c r="FG68" s="585"/>
      <c r="FH68" s="585"/>
      <c r="FI68" s="585"/>
      <c r="FJ68" s="585"/>
      <c r="FK68" s="585"/>
      <c r="FL68" s="585"/>
      <c r="FM68" s="585"/>
      <c r="FN68" s="585"/>
      <c r="FO68" s="585"/>
      <c r="FP68" s="585"/>
      <c r="FQ68" s="585"/>
      <c r="FR68" s="585"/>
      <c r="FS68" s="585"/>
      <c r="FT68" s="585"/>
      <c r="FU68" s="585"/>
      <c r="FV68" s="585"/>
      <c r="FW68" s="585"/>
      <c r="FX68" s="585"/>
      <c r="FY68" s="585"/>
      <c r="FZ68" s="585"/>
      <c r="GA68" s="585"/>
      <c r="GB68" s="585"/>
      <c r="GC68" s="585"/>
      <c r="GD68" s="585"/>
      <c r="GE68" s="585"/>
      <c r="GF68" s="585"/>
      <c r="GG68" s="585"/>
      <c r="GH68" s="585"/>
      <c r="GI68" s="585"/>
      <c r="GJ68" s="585"/>
      <c r="GK68" s="585"/>
      <c r="GL68" s="585"/>
      <c r="GM68" s="585"/>
      <c r="GN68" s="585"/>
      <c r="GO68" s="585"/>
      <c r="GP68" s="585"/>
      <c r="GQ68" s="585"/>
      <c r="GR68" s="585"/>
      <c r="GS68" s="585"/>
      <c r="GT68" s="585"/>
      <c r="GU68" s="585"/>
      <c r="GV68" s="585"/>
      <c r="GW68" s="585"/>
      <c r="GX68" s="585"/>
      <c r="GY68" s="585"/>
      <c r="GZ68" s="585"/>
      <c r="HA68" s="585"/>
      <c r="HB68" s="585"/>
      <c r="HC68" s="585"/>
      <c r="HD68" s="585"/>
      <c r="HE68" s="585"/>
      <c r="HF68" s="585"/>
      <c r="HG68" s="585"/>
      <c r="HH68" s="585"/>
      <c r="HI68" s="585"/>
      <c r="HJ68" s="585"/>
      <c r="HK68" s="585"/>
      <c r="HL68" s="585"/>
      <c r="HM68" s="585"/>
      <c r="HN68" s="585"/>
      <c r="HO68" s="585"/>
      <c r="HP68" s="585"/>
      <c r="HQ68" s="585"/>
      <c r="HR68" s="585"/>
      <c r="HS68" s="585"/>
      <c r="HT68" s="585"/>
      <c r="HU68" s="585"/>
      <c r="HV68" s="585"/>
      <c r="HW68" s="585"/>
      <c r="HX68" s="585"/>
      <c r="HY68" s="585"/>
      <c r="HZ68" s="585"/>
      <c r="IA68" s="585"/>
      <c r="IB68" s="585"/>
      <c r="IC68" s="585"/>
      <c r="ID68" s="585"/>
      <c r="IE68" s="585"/>
      <c r="IF68" s="585"/>
      <c r="IG68" s="585"/>
      <c r="IH68" s="585"/>
      <c r="II68" s="585"/>
      <c r="IJ68" s="585"/>
      <c r="IK68" s="585"/>
      <c r="IL68" s="585"/>
      <c r="IM68" s="585"/>
      <c r="IN68" s="585"/>
      <c r="IO68" s="585"/>
      <c r="IP68" s="585"/>
      <c r="IQ68" s="585"/>
      <c r="IR68" s="585"/>
      <c r="IS68" s="585"/>
      <c r="IT68" s="585"/>
      <c r="IU68" s="585"/>
      <c r="IV68" s="585"/>
      <c r="IW68" s="585"/>
      <c r="IX68" s="585"/>
      <c r="IY68" s="585"/>
      <c r="IZ68" s="585"/>
      <c r="JA68" s="585"/>
      <c r="JB68" s="585"/>
      <c r="JC68" s="585"/>
      <c r="JD68" s="585"/>
      <c r="JE68" s="585"/>
      <c r="JF68" s="585"/>
      <c r="JG68" s="585"/>
      <c r="JH68" s="585"/>
      <c r="JI68" s="585"/>
      <c r="JJ68" s="585"/>
      <c r="JK68" s="585"/>
      <c r="JL68" s="585"/>
      <c r="JM68" s="585"/>
      <c r="JN68" s="585"/>
      <c r="JO68" s="585"/>
      <c r="JP68" s="585"/>
      <c r="JQ68" s="585"/>
      <c r="JR68" s="585"/>
      <c r="JS68" s="585"/>
      <c r="JT68" s="587"/>
      <c r="JU68" s="585"/>
      <c r="JV68" s="585"/>
      <c r="JW68" s="585"/>
      <c r="JX68" s="585"/>
      <c r="JY68" s="585"/>
      <c r="JZ68" s="585"/>
      <c r="KA68" s="585"/>
      <c r="KB68" s="585"/>
      <c r="KC68" s="585"/>
      <c r="KD68" s="585"/>
      <c r="KE68" s="585"/>
      <c r="KF68" s="585"/>
      <c r="KG68" s="585"/>
      <c r="KH68" s="585"/>
      <c r="KI68" s="585"/>
      <c r="KJ68" s="585"/>
      <c r="KK68" s="585"/>
      <c r="KL68" s="585"/>
      <c r="KM68" s="585"/>
      <c r="KN68" s="585"/>
      <c r="KO68" s="585"/>
      <c r="KP68" s="585"/>
      <c r="KQ68" s="585"/>
      <c r="KR68" s="585"/>
      <c r="KS68" s="585"/>
      <c r="KT68" s="585"/>
      <c r="KU68" s="585"/>
      <c r="KV68" s="585"/>
      <c r="KW68" s="585"/>
      <c r="KX68" s="585"/>
      <c r="KY68" s="585"/>
      <c r="KZ68" s="585"/>
      <c r="LA68" s="585"/>
      <c r="LB68" s="585"/>
      <c r="LC68" s="585"/>
      <c r="LD68" s="584"/>
      <c r="LE68" s="585"/>
      <c r="LF68" s="585"/>
      <c r="LG68" s="585"/>
      <c r="LH68" s="585"/>
      <c r="LI68" s="585"/>
      <c r="LJ68" s="585"/>
      <c r="LK68" s="585"/>
      <c r="LL68" s="585"/>
      <c r="LM68" s="585"/>
      <c r="LN68" s="585"/>
      <c r="LO68" s="585"/>
      <c r="LP68" s="585"/>
      <c r="LQ68" s="585"/>
      <c r="LR68" s="585"/>
      <c r="LS68" s="585"/>
      <c r="LT68" s="585"/>
      <c r="LU68" s="585"/>
      <c r="LV68" s="585"/>
      <c r="LW68" s="585"/>
      <c r="LX68" s="585"/>
      <c r="LY68" s="585"/>
      <c r="LZ68" s="585"/>
      <c r="MA68" s="585"/>
      <c r="MB68" s="585"/>
    </row>
    <row r="69" spans="1:340">
      <c r="B69" s="582"/>
      <c r="C69" s="583"/>
      <c r="D69" s="584"/>
      <c r="E69" s="584"/>
      <c r="F69" s="585"/>
      <c r="G69" s="587"/>
      <c r="H69" s="587"/>
      <c r="I69" s="587"/>
      <c r="J69" s="585"/>
      <c r="K69" s="585"/>
      <c r="L69" s="585"/>
      <c r="M69" s="585"/>
      <c r="N69" s="585"/>
      <c r="O69" s="585"/>
      <c r="P69" s="585"/>
      <c r="Q69" s="585"/>
      <c r="R69" s="585"/>
      <c r="S69" s="585"/>
      <c r="T69" s="585"/>
      <c r="U69" s="585"/>
      <c r="V69" s="585"/>
      <c r="W69" s="585"/>
      <c r="X69" s="585"/>
      <c r="Y69" s="585"/>
      <c r="Z69" s="585"/>
      <c r="AA69" s="585"/>
      <c r="AB69" s="584"/>
      <c r="AC69" s="585"/>
      <c r="AD69" s="585"/>
      <c r="AE69" s="585"/>
      <c r="AF69" s="585"/>
      <c r="AG69" s="585"/>
      <c r="AH69" s="585"/>
      <c r="AI69" s="585"/>
      <c r="AJ69" s="585"/>
      <c r="AK69" s="585"/>
      <c r="AL69" s="585"/>
      <c r="AM69" s="585"/>
      <c r="AN69" s="585"/>
      <c r="AO69" s="585"/>
      <c r="AP69" s="585"/>
      <c r="AQ69" s="585"/>
      <c r="AR69" s="585"/>
      <c r="AS69" s="585"/>
      <c r="AT69" s="585"/>
      <c r="AU69" s="585"/>
      <c r="AV69" s="585"/>
      <c r="AW69" s="585"/>
      <c r="AX69" s="585"/>
      <c r="AY69" s="585"/>
      <c r="AZ69" s="585"/>
      <c r="BA69" s="585"/>
      <c r="BB69" s="585"/>
      <c r="BC69" s="585"/>
      <c r="BD69" s="585"/>
      <c r="BE69" s="585"/>
      <c r="BF69" s="585"/>
      <c r="BG69" s="585"/>
      <c r="BH69" s="585"/>
      <c r="BI69" s="585"/>
      <c r="BJ69" s="585"/>
      <c r="BK69" s="585"/>
      <c r="BL69" s="585"/>
      <c r="BM69" s="585"/>
      <c r="BN69" s="585"/>
      <c r="BO69" s="585"/>
      <c r="BP69" s="585"/>
      <c r="BQ69" s="585"/>
      <c r="BR69" s="585"/>
      <c r="BS69" s="585"/>
      <c r="BT69" s="585"/>
      <c r="BU69" s="585"/>
      <c r="BV69" s="585"/>
      <c r="BW69" s="585"/>
      <c r="BX69" s="585"/>
      <c r="BY69" s="585"/>
      <c r="BZ69" s="585"/>
      <c r="CA69" s="585"/>
      <c r="CB69" s="585"/>
      <c r="CC69" s="585"/>
      <c r="CD69" s="585"/>
      <c r="CE69" s="585"/>
      <c r="CF69" s="585"/>
      <c r="CG69" s="585"/>
      <c r="CH69" s="585"/>
      <c r="CI69" s="585"/>
      <c r="CJ69" s="585"/>
      <c r="CK69" s="585"/>
      <c r="CL69" s="585"/>
      <c r="CM69" s="585"/>
      <c r="CN69" s="585"/>
      <c r="CO69" s="585"/>
      <c r="CP69" s="585"/>
      <c r="CQ69" s="585"/>
      <c r="CR69" s="585"/>
      <c r="CS69" s="585"/>
      <c r="CT69" s="585"/>
      <c r="CU69" s="585"/>
      <c r="CV69" s="585"/>
      <c r="CW69" s="585"/>
      <c r="CX69" s="585"/>
      <c r="CY69" s="585"/>
      <c r="CZ69" s="585"/>
      <c r="DA69" s="585"/>
      <c r="DB69" s="585"/>
      <c r="DC69" s="585"/>
      <c r="DD69" s="585"/>
      <c r="DE69" s="585"/>
      <c r="DF69" s="585"/>
      <c r="DG69" s="585"/>
      <c r="DH69" s="585"/>
      <c r="DI69" s="585"/>
      <c r="DJ69" s="585"/>
      <c r="DK69" s="585"/>
      <c r="DL69" s="585"/>
      <c r="DM69" s="585"/>
      <c r="DN69" s="585"/>
      <c r="DO69" s="585"/>
      <c r="DP69" s="585"/>
      <c r="DQ69" s="585"/>
      <c r="DR69" s="585"/>
      <c r="DS69" s="585"/>
      <c r="DT69" s="585"/>
      <c r="DU69" s="585"/>
      <c r="DV69" s="585"/>
      <c r="DW69" s="585"/>
      <c r="DX69" s="585"/>
      <c r="DY69" s="585"/>
      <c r="DZ69" s="585"/>
      <c r="EA69" s="585"/>
      <c r="EB69" s="585"/>
      <c r="EC69" s="585"/>
      <c r="ED69" s="585"/>
      <c r="EE69" s="585"/>
      <c r="EF69" s="585"/>
      <c r="EG69" s="585"/>
      <c r="EH69" s="585"/>
      <c r="EI69" s="585"/>
      <c r="EJ69" s="585"/>
      <c r="EK69" s="585"/>
      <c r="EL69" s="585"/>
      <c r="EM69" s="585"/>
      <c r="EN69" s="585"/>
      <c r="EO69" s="585"/>
      <c r="EP69" s="585"/>
      <c r="EQ69" s="585"/>
      <c r="ER69" s="585"/>
      <c r="ES69" s="585"/>
      <c r="ET69" s="585"/>
      <c r="EU69" s="585"/>
      <c r="EV69" s="585"/>
      <c r="EW69" s="585"/>
      <c r="EX69" s="585"/>
      <c r="EY69" s="585"/>
      <c r="EZ69" s="585"/>
      <c r="FA69" s="585"/>
      <c r="FB69" s="585"/>
      <c r="FC69" s="585"/>
      <c r="FD69" s="585"/>
      <c r="FE69" s="585"/>
      <c r="FF69" s="585"/>
      <c r="FG69" s="585"/>
      <c r="FH69" s="585"/>
      <c r="FI69" s="585"/>
      <c r="FJ69" s="585"/>
      <c r="FK69" s="585"/>
      <c r="FL69" s="585"/>
      <c r="FM69" s="585"/>
      <c r="FN69" s="585"/>
      <c r="FO69" s="585"/>
      <c r="FP69" s="585"/>
      <c r="FQ69" s="585"/>
      <c r="FR69" s="585"/>
      <c r="FS69" s="585"/>
      <c r="FT69" s="585"/>
      <c r="FU69" s="585"/>
      <c r="FV69" s="585"/>
      <c r="FW69" s="585"/>
      <c r="FX69" s="585"/>
      <c r="FY69" s="585"/>
      <c r="FZ69" s="585"/>
      <c r="GA69" s="585"/>
      <c r="GB69" s="585"/>
      <c r="GC69" s="585"/>
      <c r="GD69" s="585"/>
      <c r="GE69" s="585"/>
      <c r="GF69" s="585"/>
      <c r="GG69" s="585"/>
      <c r="GH69" s="585"/>
      <c r="GI69" s="585"/>
      <c r="GJ69" s="585"/>
      <c r="GK69" s="585"/>
      <c r="GL69" s="585"/>
      <c r="GM69" s="585"/>
      <c r="GN69" s="585"/>
      <c r="GO69" s="585"/>
      <c r="GP69" s="585"/>
      <c r="GQ69" s="585"/>
      <c r="GR69" s="585"/>
      <c r="GS69" s="585"/>
      <c r="GT69" s="585"/>
      <c r="GU69" s="585"/>
      <c r="GV69" s="585"/>
      <c r="GW69" s="585"/>
      <c r="GX69" s="585"/>
      <c r="GY69" s="585"/>
      <c r="GZ69" s="585"/>
      <c r="HA69" s="585"/>
      <c r="HB69" s="585"/>
      <c r="HC69" s="585"/>
      <c r="HD69" s="585"/>
      <c r="HE69" s="585"/>
      <c r="HF69" s="585"/>
      <c r="HG69" s="585"/>
      <c r="HH69" s="585"/>
      <c r="HI69" s="585"/>
      <c r="HJ69" s="585"/>
      <c r="HK69" s="585"/>
      <c r="HL69" s="585"/>
      <c r="HM69" s="585"/>
      <c r="HN69" s="585"/>
      <c r="HO69" s="585"/>
      <c r="HP69" s="585"/>
      <c r="HQ69" s="585"/>
      <c r="HR69" s="585"/>
      <c r="HS69" s="585"/>
      <c r="HT69" s="585"/>
      <c r="HU69" s="585"/>
      <c r="HV69" s="585"/>
      <c r="HW69" s="585"/>
      <c r="HX69" s="585"/>
      <c r="HY69" s="585"/>
      <c r="HZ69" s="585"/>
      <c r="IA69" s="585"/>
      <c r="IB69" s="585"/>
      <c r="IC69" s="585"/>
      <c r="ID69" s="585"/>
      <c r="IE69" s="585"/>
      <c r="IF69" s="585"/>
      <c r="IG69" s="585"/>
      <c r="IH69" s="585"/>
      <c r="II69" s="585"/>
      <c r="IJ69" s="585"/>
      <c r="IK69" s="585"/>
      <c r="IL69" s="585"/>
      <c r="IM69" s="585"/>
      <c r="IN69" s="585"/>
      <c r="IO69" s="585"/>
      <c r="IP69" s="585"/>
      <c r="IQ69" s="585"/>
      <c r="IR69" s="585"/>
      <c r="IS69" s="585"/>
      <c r="IT69" s="585"/>
      <c r="IU69" s="585"/>
      <c r="IV69" s="585"/>
      <c r="IW69" s="585"/>
      <c r="IX69" s="585"/>
      <c r="IY69" s="585"/>
      <c r="IZ69" s="585"/>
      <c r="JA69" s="585"/>
      <c r="JB69" s="585"/>
      <c r="JC69" s="585"/>
      <c r="JD69" s="585"/>
      <c r="JE69" s="585"/>
      <c r="JF69" s="585"/>
      <c r="JG69" s="585"/>
      <c r="JH69" s="585"/>
      <c r="JI69" s="585"/>
      <c r="JJ69" s="585"/>
      <c r="JK69" s="585"/>
      <c r="JL69" s="585"/>
      <c r="JM69" s="585"/>
      <c r="JN69" s="585"/>
      <c r="JO69" s="585"/>
      <c r="JP69" s="585"/>
      <c r="JQ69" s="585"/>
      <c r="JR69" s="585"/>
      <c r="JS69" s="585"/>
      <c r="JT69" s="587"/>
      <c r="JU69" s="585"/>
      <c r="JV69" s="585"/>
      <c r="JW69" s="585"/>
      <c r="JX69" s="585"/>
      <c r="JY69" s="585"/>
      <c r="JZ69" s="585"/>
      <c r="KA69" s="585"/>
      <c r="KB69" s="585"/>
      <c r="KC69" s="585"/>
      <c r="KD69" s="585"/>
      <c r="KE69" s="585"/>
      <c r="KF69" s="585"/>
      <c r="KG69" s="585"/>
      <c r="KH69" s="585"/>
      <c r="KI69" s="585"/>
      <c r="KJ69" s="585"/>
      <c r="KK69" s="585"/>
      <c r="KL69" s="585"/>
      <c r="KM69" s="585"/>
      <c r="KN69" s="585"/>
      <c r="KO69" s="585"/>
      <c r="KP69" s="585"/>
      <c r="KQ69" s="585"/>
      <c r="KR69" s="585"/>
      <c r="KS69" s="585"/>
      <c r="KT69" s="585"/>
      <c r="KU69" s="585"/>
      <c r="KV69" s="585"/>
      <c r="KW69" s="585"/>
      <c r="KX69" s="585"/>
      <c r="KY69" s="585"/>
      <c r="KZ69" s="585"/>
      <c r="LA69" s="585"/>
      <c r="LB69" s="585"/>
      <c r="LC69" s="585"/>
      <c r="LD69" s="584"/>
      <c r="LE69" s="585"/>
      <c r="LF69" s="585"/>
      <c r="LG69" s="585"/>
      <c r="LH69" s="585"/>
      <c r="LI69" s="585"/>
      <c r="LJ69" s="585"/>
      <c r="LK69" s="585"/>
      <c r="LL69" s="585"/>
      <c r="LM69" s="585"/>
      <c r="LN69" s="585"/>
      <c r="LO69" s="585"/>
      <c r="LP69" s="585"/>
      <c r="LQ69" s="585"/>
      <c r="LR69" s="585"/>
      <c r="LS69" s="585"/>
      <c r="LT69" s="585"/>
      <c r="LU69" s="585"/>
      <c r="LV69" s="585"/>
      <c r="LW69" s="585"/>
      <c r="LX69" s="585"/>
      <c r="LY69" s="585"/>
      <c r="LZ69" s="585"/>
      <c r="MA69" s="585"/>
      <c r="MB69" s="585"/>
    </row>
    <row r="70" spans="1:340">
      <c r="B70" s="582"/>
      <c r="C70" s="583"/>
      <c r="D70" s="584"/>
      <c r="E70" s="584"/>
      <c r="F70" s="585"/>
      <c r="G70" s="587"/>
      <c r="H70" s="587"/>
      <c r="I70" s="587"/>
      <c r="J70" s="585"/>
      <c r="K70" s="585"/>
      <c r="L70" s="585"/>
      <c r="M70" s="585"/>
      <c r="N70" s="585"/>
      <c r="O70" s="585"/>
      <c r="P70" s="585"/>
      <c r="Q70" s="585"/>
      <c r="R70" s="585"/>
      <c r="S70" s="585"/>
      <c r="T70" s="585"/>
      <c r="U70" s="585"/>
      <c r="V70" s="585"/>
      <c r="W70" s="585"/>
      <c r="X70" s="585"/>
      <c r="Y70" s="585"/>
      <c r="Z70" s="585"/>
      <c r="AA70" s="585"/>
      <c r="AB70" s="584"/>
      <c r="AC70" s="585"/>
      <c r="AD70" s="585"/>
      <c r="AE70" s="585"/>
      <c r="AF70" s="585"/>
      <c r="AG70" s="585"/>
      <c r="AH70" s="585"/>
      <c r="AI70" s="585"/>
      <c r="AJ70" s="585"/>
      <c r="AK70" s="585"/>
      <c r="AL70" s="585"/>
      <c r="AM70" s="585"/>
      <c r="AN70" s="585"/>
      <c r="AO70" s="585"/>
      <c r="AP70" s="585"/>
      <c r="AQ70" s="585"/>
      <c r="AR70" s="585"/>
      <c r="AS70" s="585"/>
      <c r="AT70" s="585"/>
      <c r="AU70" s="585"/>
      <c r="AV70" s="585"/>
      <c r="AW70" s="585"/>
      <c r="AX70" s="585"/>
      <c r="AY70" s="585"/>
      <c r="AZ70" s="585"/>
      <c r="BA70" s="585"/>
      <c r="BB70" s="585"/>
      <c r="BC70" s="585"/>
      <c r="BD70" s="585"/>
      <c r="BE70" s="585"/>
      <c r="BF70" s="585"/>
      <c r="BG70" s="585"/>
      <c r="BH70" s="585"/>
      <c r="BI70" s="585"/>
      <c r="BJ70" s="585"/>
      <c r="BK70" s="585"/>
      <c r="BL70" s="585"/>
      <c r="BM70" s="585"/>
      <c r="BN70" s="585"/>
      <c r="BO70" s="585"/>
      <c r="BP70" s="585"/>
      <c r="BQ70" s="585"/>
      <c r="BR70" s="585"/>
      <c r="BS70" s="585"/>
      <c r="BT70" s="585"/>
      <c r="BU70" s="585"/>
      <c r="BV70" s="585"/>
      <c r="BW70" s="585"/>
      <c r="BX70" s="585"/>
      <c r="BY70" s="585"/>
      <c r="BZ70" s="585"/>
      <c r="CA70" s="585"/>
      <c r="CB70" s="585"/>
      <c r="CC70" s="585"/>
      <c r="CD70" s="585"/>
      <c r="CE70" s="585"/>
      <c r="CF70" s="585"/>
      <c r="CG70" s="585"/>
      <c r="CH70" s="585"/>
      <c r="CI70" s="585"/>
      <c r="CJ70" s="585"/>
      <c r="CK70" s="585"/>
      <c r="CL70" s="585"/>
      <c r="CM70" s="585"/>
      <c r="CN70" s="585"/>
      <c r="CO70" s="585"/>
      <c r="CP70" s="585"/>
      <c r="CQ70" s="585"/>
      <c r="CR70" s="585"/>
      <c r="CS70" s="585"/>
      <c r="CT70" s="585"/>
      <c r="CU70" s="585"/>
      <c r="CV70" s="585"/>
      <c r="CW70" s="585"/>
      <c r="CX70" s="585"/>
      <c r="CY70" s="585"/>
      <c r="CZ70" s="585"/>
      <c r="DA70" s="585"/>
      <c r="DB70" s="585"/>
      <c r="DC70" s="585"/>
      <c r="DD70" s="585"/>
      <c r="DE70" s="585"/>
      <c r="DF70" s="585"/>
      <c r="DG70" s="585"/>
      <c r="DH70" s="585"/>
      <c r="DI70" s="585"/>
      <c r="DJ70" s="585"/>
      <c r="DK70" s="585"/>
      <c r="DL70" s="585"/>
      <c r="DM70" s="585"/>
      <c r="DN70" s="585"/>
      <c r="DO70" s="585"/>
      <c r="DP70" s="585"/>
      <c r="DQ70" s="585"/>
      <c r="DR70" s="585"/>
      <c r="DS70" s="585"/>
      <c r="DT70" s="585"/>
      <c r="DU70" s="585"/>
      <c r="DV70" s="585"/>
      <c r="DW70" s="585"/>
      <c r="DX70" s="585"/>
      <c r="DY70" s="585"/>
      <c r="DZ70" s="585"/>
      <c r="EA70" s="585"/>
      <c r="EB70" s="585"/>
      <c r="EC70" s="585"/>
      <c r="ED70" s="585"/>
      <c r="EE70" s="585"/>
      <c r="EF70" s="585"/>
      <c r="EG70" s="585"/>
      <c r="EH70" s="585"/>
      <c r="EI70" s="585"/>
      <c r="EJ70" s="585"/>
      <c r="EK70" s="585"/>
      <c r="EL70" s="585"/>
      <c r="EM70" s="585"/>
      <c r="EN70" s="585"/>
      <c r="EO70" s="585"/>
      <c r="EP70" s="585"/>
      <c r="EQ70" s="585"/>
      <c r="ER70" s="585"/>
      <c r="ES70" s="585"/>
      <c r="ET70" s="585"/>
      <c r="EU70" s="585"/>
      <c r="EV70" s="585"/>
      <c r="EW70" s="585"/>
      <c r="EX70" s="585"/>
      <c r="EY70" s="585"/>
      <c r="EZ70" s="585"/>
      <c r="FA70" s="585"/>
      <c r="FB70" s="585"/>
      <c r="FC70" s="585"/>
      <c r="FD70" s="585"/>
      <c r="FE70" s="585"/>
      <c r="FF70" s="585"/>
      <c r="FG70" s="585"/>
      <c r="FH70" s="585"/>
      <c r="FI70" s="585"/>
      <c r="FJ70" s="585"/>
      <c r="FK70" s="585"/>
      <c r="FL70" s="585"/>
      <c r="FM70" s="585"/>
      <c r="FN70" s="585"/>
      <c r="FO70" s="585"/>
      <c r="FP70" s="585"/>
      <c r="FQ70" s="585"/>
      <c r="FR70" s="585"/>
      <c r="FS70" s="585"/>
      <c r="FT70" s="585"/>
      <c r="FU70" s="585"/>
      <c r="FV70" s="585"/>
      <c r="FW70" s="585"/>
      <c r="FX70" s="585"/>
      <c r="FY70" s="585"/>
      <c r="FZ70" s="585"/>
      <c r="GA70" s="585"/>
      <c r="GB70" s="585"/>
      <c r="GC70" s="585"/>
      <c r="GD70" s="585"/>
      <c r="GE70" s="585"/>
      <c r="GF70" s="585"/>
      <c r="GG70" s="585"/>
      <c r="GH70" s="585"/>
      <c r="GI70" s="585"/>
      <c r="GJ70" s="585"/>
      <c r="GK70" s="585"/>
      <c r="GL70" s="585"/>
      <c r="GM70" s="585"/>
      <c r="GN70" s="585"/>
      <c r="GO70" s="585"/>
      <c r="GP70" s="585"/>
      <c r="GQ70" s="585"/>
      <c r="GR70" s="585"/>
      <c r="GS70" s="585"/>
      <c r="GT70" s="585"/>
      <c r="GU70" s="585"/>
      <c r="GV70" s="585"/>
      <c r="GW70" s="585"/>
      <c r="GX70" s="585"/>
      <c r="GY70" s="585"/>
      <c r="GZ70" s="585"/>
      <c r="HA70" s="585"/>
      <c r="HB70" s="585"/>
      <c r="HC70" s="585"/>
      <c r="HD70" s="585"/>
      <c r="HE70" s="585"/>
      <c r="HF70" s="585"/>
      <c r="HG70" s="585"/>
      <c r="HH70" s="585"/>
      <c r="HI70" s="585"/>
      <c r="HJ70" s="585"/>
      <c r="HK70" s="585"/>
      <c r="HL70" s="585"/>
      <c r="HM70" s="585"/>
      <c r="HN70" s="585"/>
      <c r="HO70" s="585"/>
      <c r="HP70" s="585"/>
      <c r="HQ70" s="585"/>
      <c r="HR70" s="585"/>
      <c r="HS70" s="585"/>
      <c r="HT70" s="585"/>
      <c r="HU70" s="585"/>
      <c r="HV70" s="585"/>
      <c r="HW70" s="585"/>
      <c r="HX70" s="585"/>
      <c r="HY70" s="585"/>
      <c r="HZ70" s="585"/>
      <c r="IA70" s="585"/>
      <c r="IB70" s="585"/>
      <c r="IC70" s="585"/>
      <c r="ID70" s="585"/>
      <c r="IE70" s="585"/>
      <c r="IF70" s="585"/>
      <c r="IG70" s="585"/>
      <c r="IH70" s="585"/>
      <c r="II70" s="585"/>
      <c r="IJ70" s="585"/>
      <c r="IK70" s="585"/>
      <c r="IL70" s="585"/>
      <c r="IM70" s="585"/>
      <c r="IN70" s="585"/>
      <c r="IO70" s="585"/>
      <c r="IP70" s="585"/>
      <c r="IQ70" s="585"/>
      <c r="IR70" s="585"/>
      <c r="IS70" s="585"/>
      <c r="IT70" s="585"/>
      <c r="IU70" s="585"/>
      <c r="IV70" s="585"/>
      <c r="IW70" s="585"/>
      <c r="IX70" s="585"/>
      <c r="IY70" s="585"/>
      <c r="IZ70" s="585"/>
      <c r="JA70" s="585"/>
      <c r="JB70" s="585"/>
      <c r="JC70" s="585"/>
      <c r="JD70" s="585"/>
      <c r="JE70" s="585"/>
      <c r="JF70" s="585"/>
      <c r="JG70" s="585"/>
      <c r="JH70" s="585"/>
      <c r="JI70" s="585"/>
      <c r="JJ70" s="585"/>
      <c r="JK70" s="585"/>
      <c r="JL70" s="585"/>
      <c r="JM70" s="585"/>
      <c r="JN70" s="585"/>
      <c r="JO70" s="585"/>
      <c r="JP70" s="585"/>
      <c r="JQ70" s="585"/>
      <c r="JR70" s="585"/>
      <c r="JS70" s="585"/>
      <c r="JT70" s="587"/>
      <c r="JU70" s="585"/>
      <c r="JV70" s="585"/>
      <c r="JW70" s="585"/>
      <c r="JX70" s="585"/>
      <c r="JY70" s="585"/>
      <c r="JZ70" s="585"/>
      <c r="KA70" s="585"/>
      <c r="KB70" s="585"/>
      <c r="KC70" s="585"/>
      <c r="KD70" s="585"/>
      <c r="KE70" s="585"/>
      <c r="KF70" s="585"/>
      <c r="KG70" s="585"/>
      <c r="KH70" s="585"/>
      <c r="KI70" s="585"/>
      <c r="KJ70" s="585"/>
      <c r="KK70" s="585"/>
      <c r="KL70" s="585"/>
      <c r="KM70" s="585"/>
      <c r="KN70" s="585"/>
      <c r="KO70" s="585"/>
      <c r="KP70" s="585"/>
      <c r="KQ70" s="585"/>
      <c r="KR70" s="585"/>
      <c r="KS70" s="585"/>
      <c r="KT70" s="585"/>
      <c r="KU70" s="585"/>
      <c r="KV70" s="585"/>
      <c r="KW70" s="585"/>
      <c r="KX70" s="585"/>
      <c r="KY70" s="585"/>
      <c r="KZ70" s="585"/>
      <c r="LA70" s="585"/>
      <c r="LB70" s="585"/>
      <c r="LC70" s="585"/>
      <c r="LD70" s="584"/>
      <c r="LE70" s="585"/>
      <c r="LF70" s="585"/>
      <c r="LG70" s="585"/>
      <c r="LH70" s="585"/>
      <c r="LI70" s="585"/>
      <c r="LJ70" s="585"/>
      <c r="LK70" s="585"/>
      <c r="LL70" s="585"/>
      <c r="LM70" s="585"/>
      <c r="LN70" s="585"/>
      <c r="LO70" s="585"/>
      <c r="LP70" s="585"/>
      <c r="LQ70" s="585"/>
      <c r="LR70" s="585"/>
      <c r="LS70" s="585"/>
      <c r="LT70" s="585"/>
      <c r="LU70" s="585"/>
      <c r="LV70" s="585"/>
      <c r="LW70" s="585"/>
      <c r="LX70" s="585"/>
      <c r="LY70" s="585"/>
      <c r="LZ70" s="585"/>
      <c r="MA70" s="585"/>
      <c r="MB70" s="585"/>
    </row>
    <row r="71" spans="1:340">
      <c r="B71" s="582"/>
      <c r="C71" s="583"/>
      <c r="D71" s="584"/>
      <c r="E71" s="584"/>
      <c r="F71" s="585"/>
      <c r="G71" s="587"/>
      <c r="H71" s="587"/>
      <c r="I71" s="587"/>
      <c r="J71" s="585"/>
      <c r="K71" s="585"/>
      <c r="L71" s="585"/>
      <c r="M71" s="585"/>
      <c r="N71" s="585"/>
      <c r="O71" s="585"/>
      <c r="P71" s="585"/>
      <c r="Q71" s="585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4"/>
      <c r="AC71" s="585"/>
      <c r="AD71" s="585"/>
      <c r="AE71" s="585"/>
      <c r="AF71" s="585"/>
      <c r="AG71" s="585"/>
      <c r="AH71" s="585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5"/>
      <c r="AT71" s="585"/>
      <c r="AU71" s="585"/>
      <c r="AV71" s="585"/>
      <c r="AW71" s="585"/>
      <c r="AX71" s="585"/>
      <c r="AY71" s="585"/>
      <c r="AZ71" s="585"/>
      <c r="BA71" s="585"/>
      <c r="BB71" s="585"/>
      <c r="BC71" s="585"/>
      <c r="BD71" s="585"/>
      <c r="BE71" s="585"/>
      <c r="BF71" s="585"/>
      <c r="BG71" s="585"/>
      <c r="BH71" s="585"/>
      <c r="BI71" s="585"/>
      <c r="BJ71" s="585"/>
      <c r="BK71" s="585"/>
      <c r="BL71" s="585"/>
      <c r="BM71" s="585"/>
      <c r="BN71" s="585"/>
      <c r="BO71" s="585"/>
      <c r="BP71" s="585"/>
      <c r="BQ71" s="585"/>
      <c r="BR71" s="585"/>
      <c r="BS71" s="585"/>
      <c r="BT71" s="585"/>
      <c r="BU71" s="585"/>
      <c r="BV71" s="585"/>
      <c r="BW71" s="585"/>
      <c r="BX71" s="585"/>
      <c r="BY71" s="585"/>
      <c r="BZ71" s="585"/>
      <c r="CA71" s="585"/>
      <c r="CB71" s="585"/>
      <c r="CC71" s="585"/>
      <c r="CD71" s="585"/>
      <c r="CE71" s="585"/>
      <c r="CF71" s="585"/>
      <c r="CG71" s="585"/>
      <c r="CH71" s="585"/>
      <c r="CI71" s="585"/>
      <c r="CJ71" s="585"/>
      <c r="CK71" s="585"/>
      <c r="CL71" s="585"/>
      <c r="CM71" s="585"/>
      <c r="CN71" s="585"/>
      <c r="CO71" s="585"/>
      <c r="CP71" s="585"/>
      <c r="CQ71" s="585"/>
      <c r="CR71" s="585"/>
      <c r="CS71" s="585"/>
      <c r="CT71" s="585"/>
      <c r="CU71" s="585"/>
      <c r="CV71" s="585"/>
      <c r="CW71" s="585"/>
      <c r="CX71" s="585"/>
      <c r="CY71" s="585"/>
      <c r="CZ71" s="585"/>
      <c r="DA71" s="585"/>
      <c r="DB71" s="585"/>
      <c r="DC71" s="585"/>
      <c r="DD71" s="585"/>
      <c r="DE71" s="585"/>
      <c r="DF71" s="585"/>
      <c r="DG71" s="585"/>
      <c r="DH71" s="585"/>
      <c r="DI71" s="585"/>
      <c r="DJ71" s="585"/>
      <c r="DK71" s="585"/>
      <c r="DL71" s="585"/>
      <c r="DM71" s="585"/>
      <c r="DN71" s="585"/>
      <c r="DO71" s="585"/>
      <c r="DP71" s="585"/>
      <c r="DQ71" s="585"/>
      <c r="DR71" s="585"/>
      <c r="DS71" s="585"/>
      <c r="DT71" s="585"/>
      <c r="DU71" s="585"/>
      <c r="DV71" s="585"/>
      <c r="DW71" s="585"/>
      <c r="DX71" s="585"/>
      <c r="DY71" s="585"/>
      <c r="DZ71" s="585"/>
      <c r="EA71" s="585"/>
      <c r="EB71" s="585"/>
      <c r="EC71" s="585"/>
      <c r="ED71" s="585"/>
      <c r="EE71" s="585"/>
      <c r="EF71" s="585"/>
      <c r="EG71" s="585"/>
      <c r="EH71" s="585"/>
      <c r="EI71" s="585"/>
      <c r="EJ71" s="585"/>
      <c r="EK71" s="585"/>
      <c r="EL71" s="585"/>
      <c r="EM71" s="585"/>
      <c r="EN71" s="585"/>
      <c r="EO71" s="585"/>
      <c r="EP71" s="585"/>
      <c r="EQ71" s="585"/>
      <c r="ER71" s="585"/>
      <c r="ES71" s="585"/>
      <c r="ET71" s="585"/>
      <c r="EU71" s="585"/>
      <c r="EV71" s="585"/>
      <c r="EW71" s="585"/>
      <c r="EX71" s="585"/>
      <c r="EY71" s="585"/>
      <c r="EZ71" s="585"/>
      <c r="FA71" s="585"/>
      <c r="FB71" s="585"/>
      <c r="FC71" s="585"/>
      <c r="FD71" s="585"/>
      <c r="FE71" s="585"/>
      <c r="FF71" s="585"/>
      <c r="FG71" s="585"/>
      <c r="FH71" s="585"/>
      <c r="FI71" s="585"/>
      <c r="FJ71" s="585"/>
      <c r="FK71" s="585"/>
      <c r="FL71" s="585"/>
      <c r="FM71" s="585"/>
      <c r="FN71" s="585"/>
      <c r="FO71" s="585"/>
      <c r="FP71" s="585"/>
      <c r="FQ71" s="585"/>
      <c r="FR71" s="585"/>
      <c r="FS71" s="585"/>
      <c r="FT71" s="585"/>
      <c r="FU71" s="585"/>
      <c r="FV71" s="585"/>
      <c r="FW71" s="585"/>
      <c r="FX71" s="585"/>
      <c r="FY71" s="585"/>
      <c r="FZ71" s="585"/>
      <c r="GA71" s="585"/>
      <c r="GB71" s="585"/>
      <c r="GC71" s="585"/>
      <c r="GD71" s="585"/>
      <c r="GE71" s="585"/>
      <c r="GF71" s="585"/>
      <c r="GG71" s="585"/>
      <c r="GH71" s="585"/>
      <c r="GI71" s="585"/>
      <c r="GJ71" s="585"/>
      <c r="GK71" s="585"/>
      <c r="GL71" s="585"/>
      <c r="GM71" s="585"/>
      <c r="GN71" s="585"/>
      <c r="GO71" s="585"/>
      <c r="GP71" s="585"/>
      <c r="GQ71" s="585"/>
      <c r="GR71" s="585"/>
      <c r="GS71" s="585"/>
      <c r="GT71" s="585"/>
      <c r="GU71" s="585"/>
      <c r="GV71" s="585"/>
      <c r="GW71" s="585"/>
      <c r="GX71" s="585"/>
      <c r="GY71" s="585"/>
      <c r="GZ71" s="585"/>
      <c r="HA71" s="585"/>
      <c r="HB71" s="585"/>
      <c r="HC71" s="585"/>
      <c r="HD71" s="585"/>
      <c r="HE71" s="585"/>
      <c r="HF71" s="585"/>
      <c r="HG71" s="585"/>
      <c r="HH71" s="585"/>
      <c r="HI71" s="585"/>
      <c r="HJ71" s="585"/>
      <c r="HK71" s="585"/>
      <c r="HL71" s="585"/>
      <c r="HM71" s="585"/>
      <c r="HN71" s="585"/>
      <c r="HO71" s="585"/>
      <c r="HP71" s="585"/>
      <c r="HQ71" s="585"/>
      <c r="HR71" s="585"/>
      <c r="HS71" s="585"/>
      <c r="HT71" s="585"/>
      <c r="HU71" s="585"/>
      <c r="HV71" s="585"/>
      <c r="HW71" s="585"/>
      <c r="HX71" s="585"/>
      <c r="HY71" s="585"/>
      <c r="HZ71" s="585"/>
      <c r="IA71" s="585"/>
      <c r="IB71" s="585"/>
      <c r="IC71" s="585"/>
      <c r="ID71" s="585"/>
      <c r="IE71" s="585"/>
      <c r="IF71" s="585"/>
      <c r="IG71" s="585"/>
      <c r="IH71" s="585"/>
      <c r="II71" s="585"/>
      <c r="IJ71" s="585"/>
      <c r="IK71" s="585"/>
      <c r="IL71" s="585"/>
      <c r="IM71" s="585"/>
      <c r="IN71" s="585"/>
      <c r="IO71" s="585"/>
      <c r="IP71" s="585"/>
      <c r="IQ71" s="585"/>
      <c r="IR71" s="585"/>
      <c r="IS71" s="585"/>
      <c r="IT71" s="585"/>
      <c r="IU71" s="585"/>
      <c r="IV71" s="585"/>
      <c r="IW71" s="585"/>
      <c r="IX71" s="585"/>
      <c r="IY71" s="585"/>
      <c r="IZ71" s="585"/>
      <c r="JA71" s="585"/>
      <c r="JB71" s="585"/>
      <c r="JC71" s="585"/>
      <c r="JD71" s="585"/>
      <c r="JE71" s="585"/>
      <c r="JF71" s="585"/>
      <c r="JG71" s="585"/>
      <c r="JH71" s="585"/>
      <c r="JI71" s="585"/>
      <c r="JJ71" s="585"/>
      <c r="JK71" s="585"/>
      <c r="JL71" s="585"/>
      <c r="JM71" s="585"/>
      <c r="JN71" s="585"/>
      <c r="JO71" s="585"/>
      <c r="JP71" s="585"/>
      <c r="JQ71" s="585"/>
      <c r="JR71" s="585"/>
      <c r="JS71" s="585"/>
      <c r="JT71" s="587"/>
      <c r="JU71" s="585"/>
      <c r="JV71" s="585"/>
      <c r="JW71" s="585"/>
      <c r="JX71" s="585"/>
      <c r="JY71" s="585"/>
      <c r="JZ71" s="585"/>
      <c r="KA71" s="585"/>
      <c r="KB71" s="585"/>
      <c r="KC71" s="585"/>
      <c r="KD71" s="585"/>
      <c r="KE71" s="585"/>
      <c r="KF71" s="585"/>
      <c r="KG71" s="585"/>
      <c r="KH71" s="585"/>
      <c r="KI71" s="585"/>
      <c r="KJ71" s="585"/>
      <c r="KK71" s="585"/>
      <c r="KL71" s="585"/>
      <c r="KM71" s="585"/>
      <c r="KN71" s="585"/>
      <c r="KO71" s="585"/>
      <c r="KP71" s="585"/>
      <c r="KQ71" s="585"/>
      <c r="KR71" s="585"/>
      <c r="KS71" s="585"/>
      <c r="KT71" s="585"/>
      <c r="KU71" s="585"/>
      <c r="KV71" s="585"/>
      <c r="KW71" s="585"/>
      <c r="KX71" s="585"/>
      <c r="KY71" s="585"/>
      <c r="KZ71" s="585"/>
      <c r="LA71" s="585"/>
      <c r="LB71" s="585"/>
      <c r="LC71" s="585"/>
      <c r="LD71" s="584"/>
      <c r="LE71" s="585"/>
      <c r="LF71" s="585"/>
      <c r="LG71" s="585"/>
      <c r="LH71" s="585"/>
      <c r="LI71" s="585"/>
      <c r="LJ71" s="585"/>
      <c r="LK71" s="585"/>
      <c r="LL71" s="585"/>
      <c r="LM71" s="585"/>
      <c r="LN71" s="585"/>
      <c r="LO71" s="585"/>
      <c r="LP71" s="585"/>
      <c r="LQ71" s="585"/>
      <c r="LR71" s="585"/>
      <c r="LS71" s="585"/>
      <c r="LT71" s="585"/>
      <c r="LU71" s="585"/>
      <c r="LV71" s="585"/>
      <c r="LW71" s="585"/>
      <c r="LX71" s="585"/>
      <c r="LY71" s="585"/>
      <c r="LZ71" s="585"/>
      <c r="MA71" s="585"/>
      <c r="MB71" s="585"/>
    </row>
    <row r="72" spans="1:340">
      <c r="B72" s="582"/>
      <c r="C72" s="583"/>
      <c r="D72" s="584"/>
      <c r="E72" s="584"/>
      <c r="F72" s="585"/>
      <c r="G72" s="587"/>
      <c r="H72" s="587"/>
      <c r="I72" s="587"/>
      <c r="J72" s="585"/>
      <c r="K72" s="585"/>
      <c r="L72" s="585"/>
      <c r="M72" s="585"/>
      <c r="N72" s="585"/>
      <c r="O72" s="585"/>
      <c r="P72" s="585"/>
      <c r="Q72" s="585"/>
      <c r="R72" s="585"/>
      <c r="S72" s="585"/>
      <c r="T72" s="585"/>
      <c r="U72" s="585"/>
      <c r="V72" s="585"/>
      <c r="W72" s="585"/>
      <c r="X72" s="585"/>
      <c r="Y72" s="585"/>
      <c r="Z72" s="585"/>
      <c r="AA72" s="585"/>
      <c r="AB72" s="584"/>
      <c r="AC72" s="585"/>
      <c r="AD72" s="585"/>
      <c r="AE72" s="585"/>
      <c r="AF72" s="585"/>
      <c r="AG72" s="585"/>
      <c r="AH72" s="585"/>
      <c r="AI72" s="585"/>
      <c r="AJ72" s="585"/>
      <c r="AK72" s="585"/>
      <c r="AL72" s="585"/>
      <c r="AM72" s="585"/>
      <c r="AN72" s="585"/>
      <c r="AO72" s="585"/>
      <c r="AP72" s="585"/>
      <c r="AQ72" s="585"/>
      <c r="AR72" s="585"/>
      <c r="AS72" s="585"/>
      <c r="AT72" s="585"/>
      <c r="AU72" s="585"/>
      <c r="AV72" s="585"/>
      <c r="AW72" s="585"/>
      <c r="AX72" s="585"/>
      <c r="AY72" s="585"/>
      <c r="AZ72" s="585"/>
      <c r="BA72" s="585"/>
      <c r="BB72" s="585"/>
      <c r="BC72" s="585"/>
      <c r="BD72" s="585"/>
      <c r="BE72" s="585"/>
      <c r="BF72" s="585"/>
      <c r="BG72" s="585"/>
      <c r="BH72" s="585"/>
      <c r="BI72" s="585"/>
      <c r="BJ72" s="585"/>
      <c r="BK72" s="585"/>
      <c r="BL72" s="585"/>
      <c r="BM72" s="585"/>
      <c r="BN72" s="585"/>
      <c r="BO72" s="585"/>
      <c r="BP72" s="585"/>
      <c r="BQ72" s="585"/>
      <c r="BR72" s="585"/>
      <c r="BS72" s="585"/>
      <c r="BT72" s="585"/>
      <c r="BU72" s="585"/>
      <c r="BV72" s="585"/>
      <c r="BW72" s="585"/>
      <c r="BX72" s="585"/>
      <c r="BY72" s="585"/>
      <c r="BZ72" s="585"/>
      <c r="CA72" s="585"/>
      <c r="CB72" s="585"/>
      <c r="CC72" s="585"/>
      <c r="CD72" s="585"/>
      <c r="CE72" s="585"/>
      <c r="CF72" s="585"/>
      <c r="CG72" s="585"/>
      <c r="CH72" s="585"/>
      <c r="CI72" s="585"/>
      <c r="CJ72" s="585"/>
      <c r="CK72" s="585"/>
      <c r="CL72" s="585"/>
      <c r="CM72" s="585"/>
      <c r="CN72" s="585"/>
      <c r="CO72" s="585"/>
      <c r="CP72" s="585"/>
      <c r="CQ72" s="585"/>
      <c r="CR72" s="585"/>
      <c r="CS72" s="585"/>
      <c r="CT72" s="585"/>
      <c r="CU72" s="585"/>
      <c r="CV72" s="585"/>
      <c r="CW72" s="585"/>
      <c r="CX72" s="585"/>
      <c r="CY72" s="585"/>
      <c r="CZ72" s="585"/>
      <c r="DA72" s="585"/>
      <c r="DB72" s="585"/>
      <c r="DC72" s="585"/>
      <c r="DD72" s="585"/>
      <c r="DE72" s="585"/>
      <c r="DF72" s="585"/>
      <c r="DG72" s="585"/>
      <c r="DH72" s="585"/>
      <c r="DI72" s="585"/>
      <c r="DJ72" s="585"/>
      <c r="DK72" s="585"/>
      <c r="DL72" s="585"/>
      <c r="DM72" s="585"/>
      <c r="DN72" s="585"/>
      <c r="DO72" s="585"/>
      <c r="DP72" s="585"/>
      <c r="DQ72" s="585"/>
      <c r="DR72" s="585"/>
      <c r="DS72" s="585"/>
      <c r="DT72" s="585"/>
      <c r="DU72" s="585"/>
      <c r="DV72" s="585"/>
      <c r="DW72" s="585"/>
      <c r="DX72" s="585"/>
      <c r="DY72" s="585"/>
      <c r="DZ72" s="585"/>
      <c r="EA72" s="585"/>
      <c r="EB72" s="585"/>
      <c r="EC72" s="585"/>
      <c r="ED72" s="585"/>
      <c r="EE72" s="585"/>
      <c r="EF72" s="585"/>
      <c r="EG72" s="585"/>
      <c r="EH72" s="585"/>
      <c r="EI72" s="585"/>
      <c r="EJ72" s="585"/>
      <c r="EK72" s="585"/>
      <c r="EL72" s="585"/>
      <c r="EM72" s="585"/>
      <c r="EN72" s="585"/>
      <c r="EO72" s="585"/>
      <c r="EP72" s="585"/>
      <c r="EQ72" s="585"/>
      <c r="ER72" s="585"/>
      <c r="ES72" s="585"/>
      <c r="ET72" s="585"/>
      <c r="EU72" s="585"/>
      <c r="EV72" s="585"/>
      <c r="EW72" s="585"/>
      <c r="EX72" s="585"/>
      <c r="EY72" s="585"/>
      <c r="EZ72" s="585"/>
      <c r="FA72" s="585"/>
      <c r="FB72" s="585"/>
      <c r="FC72" s="585"/>
      <c r="FD72" s="585"/>
      <c r="FE72" s="585"/>
      <c r="FF72" s="585"/>
      <c r="FG72" s="585"/>
      <c r="FH72" s="585"/>
      <c r="FI72" s="585"/>
      <c r="FJ72" s="585"/>
      <c r="FK72" s="585"/>
      <c r="FL72" s="585"/>
      <c r="FM72" s="585"/>
      <c r="FN72" s="585"/>
      <c r="FO72" s="585"/>
      <c r="FP72" s="585"/>
      <c r="FQ72" s="585"/>
      <c r="FR72" s="585"/>
      <c r="FS72" s="585"/>
      <c r="FT72" s="585"/>
      <c r="FU72" s="585"/>
      <c r="FV72" s="585"/>
      <c r="FW72" s="585"/>
      <c r="FX72" s="585"/>
      <c r="FY72" s="585"/>
      <c r="FZ72" s="585"/>
      <c r="GA72" s="585"/>
      <c r="GB72" s="585"/>
      <c r="GC72" s="585"/>
      <c r="GD72" s="585"/>
      <c r="GE72" s="585"/>
      <c r="GF72" s="585"/>
      <c r="GG72" s="585"/>
      <c r="GH72" s="585"/>
      <c r="GI72" s="585"/>
      <c r="GJ72" s="585"/>
      <c r="GK72" s="585"/>
      <c r="GL72" s="585"/>
      <c r="GM72" s="585"/>
      <c r="GN72" s="585"/>
      <c r="GO72" s="585"/>
      <c r="GP72" s="585"/>
      <c r="GQ72" s="585"/>
      <c r="GR72" s="585"/>
      <c r="GS72" s="585"/>
      <c r="GT72" s="585"/>
      <c r="GU72" s="585"/>
      <c r="GV72" s="585"/>
      <c r="GW72" s="585"/>
      <c r="GX72" s="585"/>
      <c r="GY72" s="585"/>
      <c r="GZ72" s="585"/>
      <c r="HA72" s="585"/>
      <c r="HB72" s="585"/>
      <c r="HC72" s="585"/>
      <c r="HD72" s="585"/>
      <c r="HE72" s="585"/>
      <c r="HF72" s="585"/>
      <c r="HG72" s="585"/>
      <c r="HH72" s="585"/>
      <c r="HI72" s="585"/>
      <c r="HJ72" s="585"/>
      <c r="HK72" s="585"/>
      <c r="HL72" s="585"/>
      <c r="HM72" s="585"/>
      <c r="HN72" s="585"/>
      <c r="HO72" s="585"/>
      <c r="HP72" s="585"/>
      <c r="HQ72" s="585"/>
      <c r="HR72" s="585"/>
      <c r="HS72" s="585"/>
      <c r="HT72" s="585"/>
      <c r="HU72" s="585"/>
      <c r="HV72" s="585"/>
      <c r="HW72" s="585"/>
      <c r="HX72" s="585"/>
      <c r="HY72" s="585"/>
      <c r="HZ72" s="585"/>
      <c r="IA72" s="585"/>
      <c r="IB72" s="585"/>
      <c r="IC72" s="585"/>
      <c r="ID72" s="585"/>
      <c r="IE72" s="585"/>
      <c r="IF72" s="585"/>
      <c r="IG72" s="585"/>
      <c r="IH72" s="585"/>
      <c r="II72" s="585"/>
      <c r="IJ72" s="585"/>
      <c r="IK72" s="585"/>
      <c r="IL72" s="585"/>
      <c r="IM72" s="585"/>
      <c r="IN72" s="585"/>
      <c r="IO72" s="585"/>
      <c r="IP72" s="585"/>
      <c r="IQ72" s="585"/>
      <c r="IR72" s="585"/>
      <c r="IS72" s="585"/>
      <c r="IT72" s="585"/>
      <c r="IU72" s="585"/>
      <c r="IV72" s="585"/>
      <c r="IW72" s="585"/>
      <c r="IX72" s="585"/>
      <c r="IY72" s="585"/>
      <c r="IZ72" s="585"/>
      <c r="JA72" s="585"/>
      <c r="JB72" s="585"/>
      <c r="JC72" s="585"/>
      <c r="JD72" s="585"/>
      <c r="JE72" s="585"/>
      <c r="JF72" s="585"/>
      <c r="JG72" s="585"/>
      <c r="JH72" s="585"/>
      <c r="JI72" s="585"/>
      <c r="JJ72" s="585"/>
      <c r="JK72" s="585"/>
      <c r="JL72" s="585"/>
      <c r="JM72" s="585"/>
      <c r="JN72" s="585"/>
      <c r="JO72" s="585"/>
      <c r="JP72" s="585"/>
      <c r="JQ72" s="585"/>
      <c r="JR72" s="585"/>
      <c r="JS72" s="585"/>
      <c r="JT72" s="587"/>
      <c r="JU72" s="585"/>
      <c r="JV72" s="585"/>
      <c r="JW72" s="585"/>
      <c r="JX72" s="585"/>
      <c r="JY72" s="585"/>
      <c r="JZ72" s="585"/>
      <c r="KA72" s="585"/>
      <c r="KB72" s="585"/>
      <c r="KC72" s="585"/>
      <c r="KD72" s="585"/>
      <c r="KE72" s="585"/>
      <c r="KF72" s="585"/>
      <c r="KG72" s="585"/>
      <c r="KH72" s="585"/>
      <c r="KI72" s="585"/>
      <c r="KJ72" s="585"/>
      <c r="KK72" s="585"/>
      <c r="KL72" s="585"/>
      <c r="KM72" s="585"/>
      <c r="KN72" s="585"/>
      <c r="KO72" s="585"/>
      <c r="KP72" s="585"/>
      <c r="KQ72" s="585"/>
      <c r="KR72" s="585"/>
      <c r="KS72" s="585"/>
      <c r="KT72" s="585"/>
      <c r="KU72" s="585"/>
      <c r="KV72" s="585"/>
      <c r="KW72" s="585"/>
      <c r="KX72" s="585"/>
      <c r="KY72" s="585"/>
      <c r="KZ72" s="585"/>
      <c r="LA72" s="585"/>
      <c r="LB72" s="585"/>
      <c r="LC72" s="585"/>
      <c r="LD72" s="584"/>
      <c r="LE72" s="585"/>
      <c r="LF72" s="585"/>
      <c r="LG72" s="585"/>
      <c r="LH72" s="585"/>
      <c r="LI72" s="585"/>
      <c r="LJ72" s="585"/>
      <c r="LK72" s="585"/>
      <c r="LL72" s="585"/>
      <c r="LM72" s="585"/>
      <c r="LN72" s="585"/>
      <c r="LO72" s="585"/>
      <c r="LP72" s="585"/>
      <c r="LQ72" s="585"/>
      <c r="LR72" s="585"/>
      <c r="LS72" s="585"/>
      <c r="LT72" s="585"/>
      <c r="LU72" s="585"/>
      <c r="LV72" s="585"/>
      <c r="LW72" s="585"/>
      <c r="LX72" s="585"/>
      <c r="LY72" s="585"/>
      <c r="LZ72" s="585"/>
      <c r="MA72" s="585"/>
      <c r="MB72" s="585"/>
    </row>
    <row r="73" spans="1:340">
      <c r="B73" s="582"/>
      <c r="C73" s="583"/>
      <c r="D73" s="584"/>
      <c r="E73" s="584"/>
      <c r="F73" s="585"/>
      <c r="G73" s="587"/>
      <c r="H73" s="587"/>
      <c r="I73" s="587"/>
      <c r="J73" s="585"/>
      <c r="K73" s="585"/>
      <c r="L73" s="585"/>
      <c r="M73" s="585"/>
      <c r="N73" s="585"/>
      <c r="O73" s="585"/>
      <c r="P73" s="585"/>
      <c r="Q73" s="585"/>
      <c r="R73" s="585"/>
      <c r="S73" s="585"/>
      <c r="T73" s="585"/>
      <c r="U73" s="585"/>
      <c r="V73" s="585"/>
      <c r="W73" s="585"/>
      <c r="X73" s="585"/>
      <c r="Y73" s="585"/>
      <c r="Z73" s="585"/>
      <c r="AA73" s="585"/>
      <c r="AB73" s="584"/>
      <c r="AC73" s="585"/>
      <c r="AD73" s="585"/>
      <c r="AE73" s="585"/>
      <c r="AF73" s="585"/>
      <c r="AG73" s="585"/>
      <c r="AH73" s="585"/>
      <c r="AI73" s="585"/>
      <c r="AJ73" s="585"/>
      <c r="AK73" s="585"/>
      <c r="AL73" s="585"/>
      <c r="AM73" s="585"/>
      <c r="AN73" s="585"/>
      <c r="AO73" s="585"/>
      <c r="AP73" s="585"/>
      <c r="AQ73" s="585"/>
      <c r="AR73" s="585"/>
      <c r="AS73" s="585"/>
      <c r="AT73" s="585"/>
      <c r="AU73" s="585"/>
      <c r="AV73" s="585"/>
      <c r="AW73" s="585"/>
      <c r="AX73" s="585"/>
      <c r="AY73" s="585"/>
      <c r="AZ73" s="585"/>
      <c r="BA73" s="585"/>
      <c r="BB73" s="585"/>
      <c r="BC73" s="585"/>
      <c r="BD73" s="585"/>
      <c r="BE73" s="585"/>
      <c r="BF73" s="585"/>
      <c r="BG73" s="585"/>
      <c r="BH73" s="585"/>
      <c r="BI73" s="585"/>
      <c r="BJ73" s="585"/>
      <c r="BK73" s="585"/>
      <c r="BL73" s="585"/>
      <c r="BM73" s="585"/>
      <c r="BN73" s="585"/>
      <c r="BO73" s="585"/>
      <c r="BP73" s="585"/>
      <c r="BQ73" s="585"/>
      <c r="BR73" s="585"/>
      <c r="BS73" s="585"/>
      <c r="BT73" s="585"/>
      <c r="BU73" s="585"/>
      <c r="BV73" s="585"/>
      <c r="BW73" s="585"/>
      <c r="BX73" s="585"/>
      <c r="BY73" s="585"/>
      <c r="BZ73" s="585"/>
      <c r="CA73" s="585"/>
      <c r="CB73" s="585"/>
      <c r="CC73" s="585"/>
      <c r="CD73" s="585"/>
      <c r="CE73" s="585"/>
      <c r="CF73" s="585"/>
      <c r="CG73" s="585"/>
      <c r="CH73" s="585"/>
      <c r="CI73" s="585"/>
      <c r="CJ73" s="585"/>
      <c r="CK73" s="585"/>
      <c r="CL73" s="585"/>
      <c r="CM73" s="585"/>
      <c r="CN73" s="585"/>
      <c r="CO73" s="585"/>
      <c r="CP73" s="585"/>
      <c r="CQ73" s="585"/>
      <c r="CR73" s="585"/>
      <c r="CS73" s="585"/>
      <c r="CT73" s="585"/>
      <c r="CU73" s="585"/>
      <c r="CV73" s="585"/>
      <c r="CW73" s="585"/>
      <c r="CX73" s="585"/>
      <c r="CY73" s="585"/>
      <c r="CZ73" s="585"/>
      <c r="DA73" s="585"/>
      <c r="DB73" s="585"/>
      <c r="DC73" s="585"/>
      <c r="DD73" s="585"/>
      <c r="DE73" s="585"/>
      <c r="DF73" s="585"/>
      <c r="DG73" s="585"/>
      <c r="DH73" s="585"/>
      <c r="DI73" s="585"/>
      <c r="DJ73" s="585"/>
      <c r="DK73" s="585"/>
      <c r="DL73" s="585"/>
      <c r="DM73" s="585"/>
      <c r="DN73" s="585"/>
      <c r="DO73" s="585"/>
      <c r="DP73" s="585"/>
      <c r="DQ73" s="585"/>
      <c r="DR73" s="585"/>
      <c r="DS73" s="585"/>
      <c r="DT73" s="585"/>
      <c r="DU73" s="585"/>
      <c r="DV73" s="585"/>
      <c r="DW73" s="585"/>
      <c r="DX73" s="585"/>
      <c r="DY73" s="585"/>
      <c r="DZ73" s="585"/>
      <c r="EA73" s="585"/>
      <c r="EB73" s="585"/>
      <c r="EC73" s="585"/>
      <c r="ED73" s="585"/>
      <c r="EE73" s="585"/>
      <c r="EF73" s="585"/>
      <c r="EG73" s="585"/>
      <c r="EH73" s="585"/>
      <c r="EI73" s="585"/>
      <c r="EJ73" s="585"/>
      <c r="EK73" s="585"/>
      <c r="EL73" s="585"/>
      <c r="EM73" s="585"/>
      <c r="EN73" s="585"/>
      <c r="EO73" s="585"/>
      <c r="EP73" s="585"/>
      <c r="EQ73" s="585"/>
      <c r="ER73" s="585"/>
      <c r="ES73" s="585"/>
      <c r="ET73" s="585"/>
      <c r="EU73" s="585"/>
      <c r="EV73" s="585"/>
      <c r="EW73" s="585"/>
      <c r="EX73" s="585"/>
      <c r="EY73" s="585"/>
      <c r="EZ73" s="585"/>
      <c r="FA73" s="585"/>
      <c r="FB73" s="585"/>
      <c r="FC73" s="585"/>
      <c r="FD73" s="585"/>
      <c r="FE73" s="585"/>
      <c r="FF73" s="585"/>
      <c r="FG73" s="585"/>
      <c r="FH73" s="585"/>
      <c r="FI73" s="585"/>
      <c r="FJ73" s="585"/>
      <c r="FK73" s="585"/>
      <c r="FL73" s="585"/>
      <c r="FM73" s="585"/>
      <c r="FN73" s="585"/>
      <c r="FO73" s="585"/>
      <c r="FP73" s="585"/>
      <c r="FQ73" s="585"/>
      <c r="FR73" s="585"/>
      <c r="FS73" s="585"/>
      <c r="FT73" s="585"/>
      <c r="FU73" s="585"/>
      <c r="FV73" s="585"/>
      <c r="FW73" s="585"/>
      <c r="FX73" s="585"/>
      <c r="FY73" s="585"/>
      <c r="FZ73" s="585"/>
      <c r="GA73" s="585"/>
      <c r="GB73" s="585"/>
      <c r="GC73" s="585"/>
      <c r="GD73" s="585"/>
      <c r="GE73" s="585"/>
      <c r="GF73" s="585"/>
      <c r="GG73" s="585"/>
      <c r="GH73" s="585"/>
      <c r="GI73" s="585"/>
      <c r="GJ73" s="585"/>
      <c r="GK73" s="585"/>
      <c r="GL73" s="585"/>
      <c r="GM73" s="585"/>
      <c r="GN73" s="585"/>
      <c r="GO73" s="585"/>
      <c r="GP73" s="585"/>
      <c r="GQ73" s="585"/>
      <c r="GR73" s="585"/>
      <c r="GS73" s="585"/>
      <c r="GT73" s="585"/>
      <c r="GU73" s="585"/>
      <c r="GV73" s="585"/>
      <c r="GW73" s="585"/>
      <c r="GX73" s="585"/>
      <c r="GY73" s="585"/>
      <c r="GZ73" s="585"/>
      <c r="HA73" s="585"/>
      <c r="HB73" s="585"/>
      <c r="HC73" s="585"/>
      <c r="HD73" s="585"/>
      <c r="HE73" s="585"/>
      <c r="HF73" s="585"/>
      <c r="HG73" s="585"/>
      <c r="HH73" s="585"/>
      <c r="HI73" s="585"/>
      <c r="HJ73" s="585"/>
      <c r="HK73" s="585"/>
      <c r="HL73" s="585"/>
      <c r="HM73" s="585"/>
      <c r="HN73" s="585"/>
      <c r="HO73" s="585"/>
      <c r="HP73" s="585"/>
      <c r="HQ73" s="585"/>
      <c r="HR73" s="585"/>
      <c r="HS73" s="585"/>
      <c r="HT73" s="585"/>
      <c r="HU73" s="585"/>
      <c r="HV73" s="585"/>
      <c r="HW73" s="585"/>
      <c r="HX73" s="585"/>
      <c r="HY73" s="585"/>
      <c r="HZ73" s="585"/>
      <c r="IA73" s="585"/>
      <c r="IB73" s="585"/>
      <c r="IC73" s="585"/>
      <c r="ID73" s="585"/>
      <c r="IE73" s="585"/>
      <c r="IF73" s="585"/>
      <c r="IG73" s="585"/>
      <c r="IH73" s="585"/>
      <c r="II73" s="585"/>
      <c r="IJ73" s="585"/>
      <c r="IK73" s="585"/>
      <c r="IL73" s="585"/>
      <c r="IM73" s="585"/>
      <c r="IN73" s="585"/>
      <c r="IO73" s="585"/>
      <c r="IP73" s="585"/>
      <c r="IQ73" s="585"/>
      <c r="IR73" s="585"/>
      <c r="IS73" s="585"/>
      <c r="IT73" s="585"/>
      <c r="IU73" s="585"/>
      <c r="IV73" s="585"/>
      <c r="IW73" s="585"/>
      <c r="IX73" s="585"/>
      <c r="IY73" s="585"/>
      <c r="IZ73" s="585"/>
      <c r="JA73" s="585"/>
      <c r="JB73" s="585"/>
      <c r="JC73" s="585"/>
      <c r="JD73" s="585"/>
      <c r="JE73" s="585"/>
      <c r="JF73" s="585"/>
      <c r="JG73" s="585"/>
      <c r="JH73" s="585"/>
      <c r="JI73" s="585"/>
      <c r="JJ73" s="585"/>
      <c r="JK73" s="585"/>
      <c r="JL73" s="585"/>
      <c r="JM73" s="585"/>
      <c r="JN73" s="585"/>
      <c r="JO73" s="585"/>
      <c r="JP73" s="585"/>
      <c r="JQ73" s="585"/>
      <c r="JR73" s="585"/>
      <c r="JS73" s="585"/>
      <c r="JT73" s="587"/>
      <c r="JU73" s="585"/>
      <c r="JV73" s="585"/>
      <c r="JW73" s="585"/>
      <c r="JX73" s="585"/>
      <c r="JY73" s="585"/>
      <c r="JZ73" s="585"/>
      <c r="KA73" s="585"/>
      <c r="KB73" s="585"/>
      <c r="KC73" s="585"/>
      <c r="KD73" s="585"/>
      <c r="KE73" s="585"/>
      <c r="KF73" s="585"/>
      <c r="KG73" s="585"/>
      <c r="KH73" s="585"/>
      <c r="KI73" s="585"/>
      <c r="KJ73" s="585"/>
      <c r="KK73" s="585"/>
      <c r="KL73" s="585"/>
      <c r="KM73" s="585"/>
      <c r="KN73" s="585"/>
      <c r="KO73" s="585"/>
      <c r="KP73" s="585"/>
      <c r="KQ73" s="585"/>
      <c r="KR73" s="585"/>
      <c r="KS73" s="585"/>
      <c r="KT73" s="585"/>
      <c r="KU73" s="585"/>
      <c r="KV73" s="585"/>
      <c r="KW73" s="585"/>
      <c r="KX73" s="585"/>
      <c r="KY73" s="585"/>
      <c r="KZ73" s="585"/>
      <c r="LA73" s="585"/>
      <c r="LB73" s="585"/>
      <c r="LC73" s="585"/>
      <c r="LD73" s="584"/>
      <c r="LE73" s="585"/>
      <c r="LF73" s="585"/>
      <c r="LG73" s="585"/>
      <c r="LH73" s="585"/>
      <c r="LI73" s="585"/>
      <c r="LJ73" s="585"/>
      <c r="LK73" s="585"/>
      <c r="LL73" s="585"/>
      <c r="LM73" s="585"/>
      <c r="LN73" s="585"/>
      <c r="LO73" s="585"/>
      <c r="LP73" s="585"/>
      <c r="LQ73" s="585"/>
      <c r="LR73" s="585"/>
      <c r="LS73" s="585"/>
      <c r="LT73" s="585"/>
      <c r="LU73" s="585"/>
      <c r="LV73" s="585"/>
      <c r="LW73" s="585"/>
      <c r="LX73" s="585"/>
      <c r="LY73" s="585"/>
      <c r="LZ73" s="585"/>
      <c r="MA73" s="585"/>
      <c r="MB73" s="585"/>
    </row>
    <row r="74" spans="1:340">
      <c r="B74" s="582"/>
      <c r="C74" s="583"/>
      <c r="D74" s="584"/>
      <c r="E74" s="584"/>
      <c r="F74" s="585"/>
      <c r="G74" s="587"/>
      <c r="H74" s="587"/>
      <c r="I74" s="587"/>
      <c r="J74" s="585"/>
      <c r="K74" s="585"/>
      <c r="L74" s="585"/>
      <c r="M74" s="585"/>
      <c r="N74" s="585"/>
      <c r="O74" s="585"/>
      <c r="P74" s="585"/>
      <c r="Q74" s="585"/>
      <c r="R74" s="585"/>
      <c r="S74" s="585"/>
      <c r="T74" s="585"/>
      <c r="U74" s="585"/>
      <c r="V74" s="585"/>
      <c r="W74" s="585"/>
      <c r="X74" s="585"/>
      <c r="Y74" s="585"/>
      <c r="Z74" s="585"/>
      <c r="AA74" s="585"/>
      <c r="AB74" s="584"/>
      <c r="AC74" s="585"/>
      <c r="AD74" s="585"/>
      <c r="AE74" s="585"/>
      <c r="AF74" s="585"/>
      <c r="AG74" s="585"/>
      <c r="AH74" s="585"/>
      <c r="AI74" s="585"/>
      <c r="AJ74" s="585"/>
      <c r="AK74" s="585"/>
      <c r="AL74" s="585"/>
      <c r="AM74" s="585"/>
      <c r="AN74" s="585"/>
      <c r="AO74" s="585"/>
      <c r="AP74" s="585"/>
      <c r="AQ74" s="585"/>
      <c r="AR74" s="585"/>
      <c r="AS74" s="585"/>
      <c r="AT74" s="585"/>
      <c r="AU74" s="585"/>
      <c r="AV74" s="585"/>
      <c r="AW74" s="585"/>
      <c r="AX74" s="585"/>
      <c r="AY74" s="585"/>
      <c r="AZ74" s="585"/>
      <c r="BA74" s="585"/>
      <c r="BB74" s="585"/>
      <c r="BC74" s="585"/>
      <c r="BD74" s="585"/>
      <c r="BE74" s="585"/>
      <c r="BF74" s="585"/>
      <c r="BG74" s="585"/>
      <c r="BH74" s="585"/>
      <c r="BI74" s="585"/>
      <c r="BJ74" s="585"/>
      <c r="BK74" s="585"/>
      <c r="BL74" s="585"/>
      <c r="BM74" s="585"/>
      <c r="BN74" s="585"/>
      <c r="BO74" s="585"/>
      <c r="BP74" s="585"/>
      <c r="BQ74" s="585"/>
      <c r="BR74" s="585"/>
      <c r="BS74" s="585"/>
      <c r="BT74" s="585"/>
      <c r="BU74" s="585"/>
      <c r="BV74" s="585"/>
      <c r="BW74" s="585"/>
      <c r="BX74" s="585"/>
      <c r="BY74" s="585"/>
      <c r="BZ74" s="585"/>
      <c r="CA74" s="585"/>
      <c r="CB74" s="585"/>
      <c r="CC74" s="585"/>
      <c r="CD74" s="585"/>
      <c r="CE74" s="585"/>
      <c r="CF74" s="585"/>
      <c r="CG74" s="585"/>
      <c r="CH74" s="585"/>
      <c r="CI74" s="585"/>
      <c r="CJ74" s="585"/>
      <c r="CK74" s="585"/>
      <c r="CL74" s="585"/>
      <c r="CM74" s="585"/>
      <c r="CN74" s="585"/>
      <c r="CO74" s="585"/>
      <c r="CP74" s="585"/>
      <c r="CQ74" s="585"/>
      <c r="CR74" s="585"/>
      <c r="CS74" s="585"/>
      <c r="CT74" s="585"/>
      <c r="CU74" s="585"/>
      <c r="CV74" s="585"/>
      <c r="CW74" s="585"/>
      <c r="CX74" s="585"/>
      <c r="CY74" s="585"/>
      <c r="CZ74" s="585"/>
      <c r="DA74" s="585"/>
      <c r="DB74" s="585"/>
      <c r="DC74" s="585"/>
      <c r="DD74" s="585"/>
      <c r="DE74" s="585"/>
      <c r="DF74" s="585"/>
      <c r="DG74" s="585"/>
      <c r="DH74" s="585"/>
      <c r="DI74" s="585"/>
      <c r="DJ74" s="585"/>
      <c r="DK74" s="585"/>
      <c r="DL74" s="585"/>
      <c r="DM74" s="585"/>
      <c r="DN74" s="585"/>
      <c r="DO74" s="585"/>
      <c r="DP74" s="585"/>
      <c r="DQ74" s="585"/>
      <c r="DR74" s="585"/>
      <c r="DS74" s="585"/>
      <c r="DT74" s="585"/>
      <c r="DU74" s="585"/>
      <c r="DV74" s="585"/>
      <c r="DW74" s="585"/>
      <c r="DX74" s="585"/>
      <c r="DY74" s="585"/>
      <c r="DZ74" s="585"/>
      <c r="EA74" s="585"/>
      <c r="EB74" s="585"/>
      <c r="EC74" s="585"/>
      <c r="ED74" s="585"/>
      <c r="EE74" s="585"/>
      <c r="EF74" s="585"/>
      <c r="EG74" s="585"/>
      <c r="EH74" s="585"/>
      <c r="EI74" s="585"/>
      <c r="EJ74" s="585"/>
      <c r="EK74" s="585"/>
      <c r="EL74" s="585"/>
      <c r="EM74" s="585"/>
      <c r="EN74" s="585"/>
      <c r="EO74" s="585"/>
      <c r="EP74" s="585"/>
      <c r="EQ74" s="585"/>
      <c r="ER74" s="585"/>
      <c r="ES74" s="585"/>
      <c r="ET74" s="585"/>
      <c r="EU74" s="585"/>
      <c r="EV74" s="585"/>
      <c r="EW74" s="585"/>
      <c r="EX74" s="585"/>
      <c r="EY74" s="585"/>
      <c r="EZ74" s="585"/>
      <c r="FA74" s="585"/>
      <c r="FB74" s="585"/>
      <c r="FC74" s="585"/>
      <c r="FD74" s="585"/>
      <c r="FE74" s="585"/>
      <c r="FF74" s="585"/>
      <c r="FG74" s="585"/>
      <c r="FH74" s="585"/>
      <c r="FI74" s="585"/>
      <c r="FJ74" s="585"/>
      <c r="FK74" s="585"/>
      <c r="FL74" s="585"/>
      <c r="FM74" s="585"/>
      <c r="FN74" s="585"/>
      <c r="FO74" s="585"/>
      <c r="FP74" s="585"/>
      <c r="FQ74" s="585"/>
      <c r="FR74" s="585"/>
      <c r="FS74" s="585"/>
      <c r="FT74" s="585"/>
      <c r="FU74" s="585"/>
      <c r="FV74" s="585"/>
      <c r="FW74" s="585"/>
      <c r="FX74" s="585"/>
      <c r="FY74" s="585"/>
      <c r="FZ74" s="585"/>
      <c r="GA74" s="585"/>
      <c r="GB74" s="585"/>
      <c r="GC74" s="585"/>
      <c r="GD74" s="585"/>
      <c r="GE74" s="585"/>
      <c r="GF74" s="585"/>
      <c r="GG74" s="585"/>
      <c r="GH74" s="585"/>
      <c r="GI74" s="585"/>
      <c r="GJ74" s="585"/>
      <c r="GK74" s="585"/>
      <c r="GL74" s="585"/>
      <c r="GM74" s="585"/>
      <c r="GN74" s="585"/>
      <c r="GO74" s="585"/>
      <c r="GP74" s="585"/>
      <c r="GQ74" s="585"/>
      <c r="GR74" s="585"/>
      <c r="GS74" s="585"/>
      <c r="GT74" s="585"/>
      <c r="GU74" s="585"/>
      <c r="GV74" s="585"/>
      <c r="GW74" s="585"/>
      <c r="GX74" s="585"/>
      <c r="GY74" s="585"/>
      <c r="GZ74" s="585"/>
      <c r="HA74" s="585"/>
      <c r="HB74" s="585"/>
      <c r="HC74" s="585"/>
      <c r="HD74" s="585"/>
      <c r="HE74" s="585"/>
      <c r="HF74" s="585"/>
      <c r="HG74" s="585"/>
      <c r="HH74" s="585"/>
      <c r="HI74" s="585"/>
      <c r="HJ74" s="585"/>
      <c r="HK74" s="585"/>
      <c r="HL74" s="585"/>
      <c r="HM74" s="585"/>
      <c r="HN74" s="585"/>
      <c r="HO74" s="585"/>
      <c r="HP74" s="585"/>
      <c r="HQ74" s="585"/>
      <c r="HR74" s="585"/>
      <c r="HS74" s="585"/>
      <c r="HT74" s="585"/>
      <c r="HU74" s="585"/>
      <c r="HV74" s="585"/>
      <c r="HW74" s="585"/>
      <c r="HX74" s="585"/>
      <c r="HY74" s="585"/>
      <c r="HZ74" s="585"/>
      <c r="IA74" s="585"/>
      <c r="IB74" s="585"/>
      <c r="IC74" s="585"/>
      <c r="ID74" s="585"/>
      <c r="IE74" s="585"/>
      <c r="IF74" s="585"/>
      <c r="IG74" s="585"/>
      <c r="IH74" s="585"/>
      <c r="II74" s="585"/>
      <c r="IJ74" s="585"/>
      <c r="IK74" s="585"/>
      <c r="IL74" s="585"/>
      <c r="IM74" s="585"/>
      <c r="IN74" s="585"/>
      <c r="IO74" s="585"/>
      <c r="IP74" s="585"/>
      <c r="IQ74" s="585"/>
      <c r="IR74" s="585"/>
      <c r="IS74" s="585"/>
      <c r="IT74" s="585"/>
      <c r="IU74" s="585"/>
      <c r="IV74" s="585"/>
      <c r="IW74" s="585"/>
      <c r="IX74" s="585"/>
      <c r="IY74" s="585"/>
      <c r="IZ74" s="585"/>
      <c r="JA74" s="585"/>
      <c r="JB74" s="585"/>
      <c r="JC74" s="585"/>
      <c r="JD74" s="585"/>
      <c r="JE74" s="585"/>
      <c r="JF74" s="585"/>
      <c r="JG74" s="585"/>
      <c r="JH74" s="585"/>
      <c r="JI74" s="585"/>
      <c r="JJ74" s="585"/>
      <c r="JK74" s="585"/>
      <c r="JL74" s="585"/>
      <c r="JM74" s="585"/>
      <c r="JN74" s="585"/>
      <c r="JO74" s="585"/>
      <c r="JP74" s="585"/>
      <c r="JQ74" s="585"/>
      <c r="JR74" s="585"/>
      <c r="JS74" s="585"/>
      <c r="JT74" s="587"/>
      <c r="JU74" s="585"/>
      <c r="JV74" s="585"/>
      <c r="JW74" s="585"/>
      <c r="JX74" s="585"/>
      <c r="JY74" s="585"/>
      <c r="JZ74" s="585"/>
      <c r="KA74" s="585"/>
      <c r="KB74" s="585"/>
      <c r="KC74" s="585"/>
      <c r="KD74" s="585"/>
      <c r="KE74" s="585"/>
      <c r="KF74" s="585"/>
      <c r="KG74" s="585"/>
      <c r="KH74" s="585"/>
      <c r="KI74" s="585"/>
      <c r="KJ74" s="585"/>
      <c r="KK74" s="585"/>
      <c r="KL74" s="585"/>
      <c r="KM74" s="585"/>
      <c r="KN74" s="585"/>
      <c r="KO74" s="585"/>
      <c r="KP74" s="585"/>
      <c r="KQ74" s="585"/>
      <c r="KR74" s="585"/>
      <c r="KS74" s="585"/>
      <c r="KT74" s="585"/>
      <c r="KU74" s="585"/>
      <c r="KV74" s="585"/>
      <c r="KW74" s="585"/>
      <c r="KX74" s="585"/>
      <c r="KY74" s="585"/>
      <c r="KZ74" s="585"/>
      <c r="LA74" s="585"/>
      <c r="LB74" s="585"/>
      <c r="LC74" s="585"/>
      <c r="LD74" s="584"/>
      <c r="LE74" s="585"/>
      <c r="LF74" s="585"/>
      <c r="LG74" s="585"/>
      <c r="LH74" s="585"/>
      <c r="LI74" s="585"/>
      <c r="LJ74" s="585"/>
      <c r="LK74" s="585"/>
      <c r="LL74" s="585"/>
      <c r="LM74" s="585"/>
      <c r="LN74" s="585"/>
      <c r="LO74" s="585"/>
      <c r="LP74" s="585"/>
      <c r="LQ74" s="585"/>
      <c r="LR74" s="585"/>
      <c r="LS74" s="585"/>
      <c r="LT74" s="585"/>
      <c r="LU74" s="585"/>
      <c r="LV74" s="585"/>
      <c r="LW74" s="585"/>
      <c r="LX74" s="585"/>
      <c r="LY74" s="585"/>
      <c r="LZ74" s="585"/>
      <c r="MA74" s="585"/>
      <c r="MB74" s="585"/>
    </row>
    <row r="75" spans="1:340">
      <c r="B75" s="582"/>
      <c r="C75" s="583"/>
      <c r="D75" s="584"/>
      <c r="E75" s="584"/>
      <c r="F75" s="585"/>
      <c r="G75" s="587"/>
      <c r="H75" s="587"/>
      <c r="I75" s="587"/>
      <c r="J75" s="585"/>
      <c r="K75" s="585"/>
      <c r="L75" s="585"/>
      <c r="M75" s="585"/>
      <c r="N75" s="585"/>
      <c r="O75" s="585"/>
      <c r="P75" s="585"/>
      <c r="Q75" s="585"/>
      <c r="R75" s="585"/>
      <c r="S75" s="585"/>
      <c r="T75" s="585"/>
      <c r="U75" s="585"/>
      <c r="V75" s="585"/>
      <c r="W75" s="585"/>
      <c r="X75" s="585"/>
      <c r="Y75" s="585"/>
      <c r="Z75" s="585"/>
      <c r="AA75" s="585"/>
      <c r="AB75" s="584"/>
      <c r="AC75" s="585"/>
      <c r="AD75" s="585"/>
      <c r="AE75" s="585"/>
      <c r="AF75" s="585"/>
      <c r="AG75" s="585"/>
      <c r="AH75" s="585"/>
      <c r="AI75" s="585"/>
      <c r="AJ75" s="585"/>
      <c r="AK75" s="585"/>
      <c r="AL75" s="585"/>
      <c r="AM75" s="585"/>
      <c r="AN75" s="585"/>
      <c r="AO75" s="585"/>
      <c r="AP75" s="585"/>
      <c r="AQ75" s="585"/>
      <c r="AR75" s="585"/>
      <c r="AS75" s="585"/>
      <c r="AT75" s="585"/>
      <c r="AU75" s="585"/>
      <c r="AV75" s="585"/>
      <c r="AW75" s="585"/>
      <c r="AX75" s="585"/>
      <c r="AY75" s="585"/>
      <c r="AZ75" s="585"/>
      <c r="BA75" s="585"/>
      <c r="BB75" s="585"/>
      <c r="BC75" s="585"/>
      <c r="BD75" s="585"/>
      <c r="BE75" s="585"/>
      <c r="BF75" s="585"/>
      <c r="BG75" s="585"/>
      <c r="BH75" s="585"/>
      <c r="BI75" s="585"/>
      <c r="BJ75" s="585"/>
      <c r="BK75" s="585"/>
      <c r="BL75" s="585"/>
      <c r="BM75" s="585"/>
      <c r="BN75" s="585"/>
      <c r="BO75" s="585"/>
      <c r="BP75" s="585"/>
      <c r="BQ75" s="585"/>
      <c r="BR75" s="585"/>
      <c r="BS75" s="585"/>
      <c r="BT75" s="585"/>
      <c r="BU75" s="585"/>
      <c r="BV75" s="585"/>
      <c r="BW75" s="585"/>
      <c r="BX75" s="585"/>
      <c r="BY75" s="585"/>
      <c r="BZ75" s="585"/>
      <c r="CA75" s="585"/>
      <c r="CB75" s="585"/>
      <c r="CC75" s="585"/>
      <c r="CD75" s="585"/>
      <c r="CE75" s="585"/>
      <c r="CF75" s="585"/>
      <c r="CG75" s="585"/>
      <c r="CH75" s="585"/>
      <c r="CI75" s="585"/>
      <c r="CJ75" s="585"/>
      <c r="CK75" s="585"/>
      <c r="CL75" s="585"/>
      <c r="CM75" s="585"/>
      <c r="CN75" s="585"/>
      <c r="CO75" s="585"/>
      <c r="CP75" s="585"/>
      <c r="CQ75" s="585"/>
      <c r="CR75" s="585"/>
      <c r="CS75" s="585"/>
      <c r="CT75" s="585"/>
      <c r="CU75" s="585"/>
      <c r="CV75" s="585"/>
      <c r="CW75" s="585"/>
      <c r="CX75" s="585"/>
      <c r="CY75" s="585"/>
      <c r="CZ75" s="585"/>
      <c r="DA75" s="585"/>
      <c r="DB75" s="585"/>
      <c r="DC75" s="585"/>
      <c r="DD75" s="585"/>
      <c r="DE75" s="585"/>
      <c r="DF75" s="585"/>
      <c r="DG75" s="585"/>
      <c r="DH75" s="585"/>
      <c r="DI75" s="585"/>
      <c r="DJ75" s="585"/>
      <c r="DK75" s="585"/>
      <c r="DL75" s="585"/>
      <c r="DM75" s="585"/>
      <c r="DN75" s="585"/>
      <c r="DO75" s="585"/>
      <c r="DP75" s="585"/>
      <c r="DQ75" s="585"/>
      <c r="DR75" s="585"/>
      <c r="DS75" s="585"/>
      <c r="DT75" s="585"/>
      <c r="DU75" s="585"/>
      <c r="DV75" s="585"/>
      <c r="DW75" s="585"/>
      <c r="DX75" s="585"/>
      <c r="DY75" s="585"/>
      <c r="DZ75" s="585"/>
      <c r="EA75" s="585"/>
      <c r="EB75" s="585"/>
      <c r="EC75" s="585"/>
      <c r="ED75" s="585"/>
      <c r="EE75" s="585"/>
      <c r="EF75" s="585"/>
      <c r="EG75" s="585"/>
      <c r="EH75" s="585"/>
      <c r="EI75" s="585"/>
      <c r="EJ75" s="585"/>
      <c r="EK75" s="585"/>
      <c r="EL75" s="585"/>
      <c r="EM75" s="585"/>
      <c r="EN75" s="585"/>
      <c r="EO75" s="585"/>
      <c r="EP75" s="585"/>
      <c r="EQ75" s="585"/>
      <c r="ER75" s="585"/>
      <c r="ES75" s="585"/>
      <c r="ET75" s="585"/>
      <c r="EU75" s="585"/>
      <c r="EV75" s="585"/>
      <c r="EW75" s="585"/>
      <c r="EX75" s="585"/>
      <c r="EY75" s="585"/>
      <c r="EZ75" s="585"/>
      <c r="FA75" s="585"/>
      <c r="FB75" s="585"/>
      <c r="FC75" s="585"/>
      <c r="FD75" s="585"/>
      <c r="FE75" s="585"/>
      <c r="FF75" s="585"/>
      <c r="FG75" s="585"/>
      <c r="FH75" s="585"/>
      <c r="FI75" s="585"/>
      <c r="FJ75" s="585"/>
      <c r="FK75" s="585"/>
      <c r="FL75" s="585"/>
      <c r="FM75" s="585"/>
      <c r="FN75" s="585"/>
      <c r="FO75" s="585"/>
      <c r="FP75" s="585"/>
      <c r="FQ75" s="585"/>
      <c r="FR75" s="585"/>
      <c r="FS75" s="585"/>
      <c r="FT75" s="585"/>
      <c r="FU75" s="585"/>
      <c r="FV75" s="585"/>
      <c r="FW75" s="585"/>
      <c r="FX75" s="585"/>
      <c r="FY75" s="585"/>
      <c r="FZ75" s="585"/>
      <c r="GA75" s="585"/>
      <c r="GB75" s="585"/>
      <c r="GC75" s="585"/>
      <c r="GD75" s="585"/>
      <c r="GE75" s="585"/>
      <c r="GF75" s="585"/>
      <c r="GG75" s="585"/>
      <c r="GH75" s="585"/>
      <c r="GI75" s="585"/>
      <c r="GJ75" s="585"/>
      <c r="GK75" s="585"/>
      <c r="GL75" s="585"/>
      <c r="GM75" s="585"/>
      <c r="GN75" s="585"/>
      <c r="GO75" s="585"/>
      <c r="GP75" s="585"/>
      <c r="GQ75" s="585"/>
      <c r="GR75" s="585"/>
      <c r="GS75" s="585"/>
      <c r="GT75" s="585"/>
      <c r="GU75" s="585"/>
      <c r="GV75" s="585"/>
      <c r="GW75" s="585"/>
      <c r="GX75" s="585"/>
      <c r="GY75" s="585"/>
      <c r="GZ75" s="585"/>
      <c r="HA75" s="585"/>
      <c r="HB75" s="585"/>
      <c r="HC75" s="585"/>
      <c r="HD75" s="585"/>
      <c r="HE75" s="585"/>
      <c r="HF75" s="585"/>
      <c r="HG75" s="585"/>
      <c r="HH75" s="585"/>
      <c r="HI75" s="585"/>
      <c r="HJ75" s="585"/>
      <c r="HK75" s="585"/>
      <c r="HL75" s="585"/>
      <c r="HM75" s="585"/>
      <c r="HN75" s="585"/>
      <c r="HO75" s="585"/>
      <c r="HP75" s="585"/>
      <c r="HQ75" s="585"/>
      <c r="HR75" s="585"/>
      <c r="HS75" s="585"/>
      <c r="HT75" s="585"/>
      <c r="HU75" s="585"/>
      <c r="HV75" s="585"/>
      <c r="HW75" s="585"/>
      <c r="HX75" s="585"/>
      <c r="HY75" s="585"/>
      <c r="HZ75" s="585"/>
      <c r="IA75" s="585"/>
      <c r="IB75" s="585"/>
      <c r="IC75" s="585"/>
      <c r="ID75" s="585"/>
      <c r="IE75" s="585"/>
      <c r="IF75" s="585"/>
      <c r="IG75" s="585"/>
      <c r="IH75" s="585"/>
      <c r="II75" s="585"/>
      <c r="IJ75" s="585"/>
      <c r="IK75" s="585"/>
      <c r="IL75" s="585"/>
      <c r="IM75" s="585"/>
      <c r="IN75" s="585"/>
      <c r="IO75" s="585"/>
      <c r="IP75" s="585"/>
      <c r="IQ75" s="585"/>
      <c r="IR75" s="585"/>
      <c r="IS75" s="585"/>
      <c r="IT75" s="585"/>
      <c r="IU75" s="585"/>
      <c r="IV75" s="585"/>
      <c r="IW75" s="585"/>
      <c r="IX75" s="585"/>
      <c r="IY75" s="585"/>
      <c r="IZ75" s="585"/>
      <c r="JA75" s="585"/>
      <c r="JB75" s="585"/>
      <c r="JC75" s="585"/>
      <c r="JD75" s="585"/>
      <c r="JE75" s="585"/>
      <c r="JF75" s="585"/>
      <c r="JG75" s="585"/>
      <c r="JH75" s="585"/>
      <c r="JI75" s="585"/>
      <c r="JJ75" s="585"/>
      <c r="JK75" s="585"/>
      <c r="JL75" s="585"/>
      <c r="JM75" s="585"/>
      <c r="JN75" s="585"/>
      <c r="JO75" s="585"/>
      <c r="JP75" s="585"/>
      <c r="JQ75" s="585"/>
      <c r="JR75" s="585"/>
      <c r="JS75" s="585"/>
      <c r="JT75" s="587"/>
      <c r="JU75" s="585"/>
      <c r="JV75" s="585"/>
      <c r="JW75" s="585"/>
      <c r="JX75" s="585"/>
      <c r="JY75" s="585"/>
      <c r="JZ75" s="585"/>
      <c r="KA75" s="585"/>
      <c r="KB75" s="585"/>
      <c r="KC75" s="585"/>
      <c r="KD75" s="585"/>
      <c r="KE75" s="585"/>
      <c r="KF75" s="585"/>
      <c r="KG75" s="585"/>
      <c r="KH75" s="585"/>
      <c r="KI75" s="585"/>
      <c r="KJ75" s="585"/>
      <c r="KK75" s="585"/>
      <c r="KL75" s="585"/>
      <c r="KM75" s="585"/>
      <c r="KN75" s="585"/>
      <c r="KO75" s="585"/>
      <c r="KP75" s="585"/>
      <c r="KQ75" s="585"/>
      <c r="KR75" s="585"/>
      <c r="KS75" s="585"/>
      <c r="KT75" s="585"/>
      <c r="KU75" s="585"/>
      <c r="KV75" s="585"/>
      <c r="KW75" s="585"/>
      <c r="KX75" s="585"/>
      <c r="KY75" s="585"/>
      <c r="KZ75" s="585"/>
      <c r="LA75" s="585"/>
      <c r="LB75" s="585"/>
      <c r="LC75" s="585"/>
      <c r="LD75" s="584"/>
      <c r="LE75" s="585"/>
      <c r="LF75" s="585"/>
      <c r="LG75" s="585"/>
      <c r="LH75" s="585"/>
      <c r="LI75" s="585"/>
      <c r="LJ75" s="585"/>
      <c r="LK75" s="585"/>
      <c r="LL75" s="585"/>
      <c r="LM75" s="585"/>
      <c r="LN75" s="585"/>
      <c r="LO75" s="585"/>
      <c r="LP75" s="585"/>
      <c r="LQ75" s="585"/>
      <c r="LR75" s="585"/>
      <c r="LS75" s="585"/>
      <c r="LT75" s="585"/>
      <c r="LU75" s="585"/>
      <c r="LV75" s="585"/>
      <c r="LW75" s="585"/>
      <c r="LX75" s="585"/>
      <c r="LY75" s="585"/>
      <c r="LZ75" s="585"/>
      <c r="MA75" s="585"/>
      <c r="MB75" s="585"/>
    </row>
    <row r="76" spans="1:340">
      <c r="B76" s="582"/>
      <c r="C76" s="583"/>
      <c r="D76" s="584"/>
      <c r="E76" s="584"/>
      <c r="F76" s="585"/>
      <c r="G76" s="587"/>
      <c r="H76" s="587"/>
      <c r="I76" s="587"/>
      <c r="J76" s="585"/>
      <c r="K76" s="585"/>
      <c r="L76" s="585"/>
      <c r="M76" s="585"/>
      <c r="N76" s="585"/>
      <c r="O76" s="585"/>
      <c r="P76" s="585"/>
      <c r="Q76" s="585"/>
      <c r="R76" s="585"/>
      <c r="S76" s="585"/>
      <c r="T76" s="585"/>
      <c r="U76" s="585"/>
      <c r="V76" s="585"/>
      <c r="W76" s="585"/>
      <c r="X76" s="585"/>
      <c r="Y76" s="585"/>
      <c r="Z76" s="585"/>
      <c r="AA76" s="585"/>
      <c r="AB76" s="584"/>
      <c r="AC76" s="585"/>
      <c r="AD76" s="585"/>
      <c r="AE76" s="585"/>
      <c r="AF76" s="585"/>
      <c r="AG76" s="585"/>
      <c r="AH76" s="585"/>
      <c r="AI76" s="585"/>
      <c r="AJ76" s="585"/>
      <c r="AK76" s="585"/>
      <c r="AL76" s="585"/>
      <c r="AM76" s="585"/>
      <c r="AN76" s="585"/>
      <c r="AO76" s="585"/>
      <c r="AP76" s="585"/>
      <c r="AQ76" s="585"/>
      <c r="AR76" s="585"/>
      <c r="AS76" s="585"/>
      <c r="AT76" s="585"/>
      <c r="AU76" s="585"/>
      <c r="AV76" s="585"/>
      <c r="AW76" s="585"/>
      <c r="AX76" s="585"/>
      <c r="AY76" s="585"/>
      <c r="AZ76" s="585"/>
      <c r="BA76" s="585"/>
      <c r="BB76" s="585"/>
      <c r="BC76" s="585"/>
      <c r="BD76" s="585"/>
      <c r="BE76" s="585"/>
      <c r="BF76" s="585"/>
      <c r="BG76" s="585"/>
      <c r="BH76" s="585"/>
      <c r="BI76" s="585"/>
      <c r="BJ76" s="585"/>
      <c r="BK76" s="585"/>
      <c r="BL76" s="585"/>
      <c r="BM76" s="585"/>
      <c r="BN76" s="585"/>
      <c r="BO76" s="585"/>
      <c r="BP76" s="585"/>
      <c r="BQ76" s="585"/>
      <c r="BR76" s="585"/>
      <c r="BS76" s="585"/>
      <c r="BT76" s="585"/>
      <c r="BU76" s="585"/>
      <c r="BV76" s="585"/>
      <c r="BW76" s="585"/>
      <c r="BX76" s="585"/>
      <c r="BY76" s="585"/>
      <c r="BZ76" s="585"/>
      <c r="CA76" s="585"/>
      <c r="CB76" s="585"/>
      <c r="CC76" s="585"/>
      <c r="CD76" s="585"/>
      <c r="CE76" s="585"/>
      <c r="CF76" s="585"/>
      <c r="CG76" s="585"/>
      <c r="CH76" s="585"/>
      <c r="CI76" s="585"/>
      <c r="CJ76" s="585"/>
      <c r="CK76" s="585"/>
      <c r="CL76" s="585"/>
      <c r="CM76" s="585"/>
      <c r="CN76" s="585"/>
      <c r="CO76" s="585"/>
      <c r="CP76" s="585"/>
      <c r="CQ76" s="585"/>
      <c r="CR76" s="585"/>
      <c r="CS76" s="585"/>
      <c r="CT76" s="585"/>
      <c r="CU76" s="585"/>
      <c r="CV76" s="585"/>
      <c r="CW76" s="585"/>
      <c r="CX76" s="585"/>
      <c r="CY76" s="585"/>
      <c r="CZ76" s="585"/>
      <c r="DA76" s="585"/>
      <c r="DB76" s="585"/>
      <c r="DC76" s="585"/>
      <c r="DD76" s="585"/>
      <c r="DE76" s="585"/>
      <c r="DF76" s="585"/>
      <c r="DG76" s="585"/>
      <c r="DH76" s="585"/>
      <c r="DI76" s="585"/>
      <c r="DJ76" s="585"/>
      <c r="DK76" s="585"/>
      <c r="DL76" s="585"/>
      <c r="DM76" s="585"/>
      <c r="DN76" s="585"/>
      <c r="DO76" s="585"/>
      <c r="DP76" s="585"/>
      <c r="DQ76" s="585"/>
      <c r="DR76" s="585"/>
      <c r="DS76" s="585"/>
      <c r="DT76" s="585"/>
      <c r="DU76" s="585"/>
      <c r="DV76" s="585"/>
      <c r="DW76" s="585"/>
      <c r="DX76" s="585"/>
      <c r="DY76" s="585"/>
      <c r="DZ76" s="585"/>
      <c r="EA76" s="585"/>
      <c r="EB76" s="585"/>
      <c r="EC76" s="585"/>
      <c r="ED76" s="585"/>
      <c r="EE76" s="585"/>
      <c r="EF76" s="585"/>
      <c r="EG76" s="585"/>
      <c r="EH76" s="585"/>
      <c r="EI76" s="585"/>
      <c r="EJ76" s="585"/>
      <c r="EK76" s="585"/>
      <c r="EL76" s="585"/>
      <c r="EM76" s="585"/>
      <c r="EN76" s="585"/>
      <c r="EO76" s="585"/>
      <c r="EP76" s="585"/>
      <c r="EQ76" s="585"/>
      <c r="ER76" s="585"/>
      <c r="ES76" s="585"/>
      <c r="ET76" s="585"/>
      <c r="EU76" s="585"/>
      <c r="EV76" s="585"/>
      <c r="EW76" s="585"/>
      <c r="EX76" s="585"/>
      <c r="EY76" s="585"/>
      <c r="EZ76" s="585"/>
      <c r="FA76" s="585"/>
      <c r="FB76" s="585"/>
      <c r="FC76" s="585"/>
      <c r="FD76" s="585"/>
      <c r="FE76" s="585"/>
      <c r="FF76" s="585"/>
      <c r="FG76" s="585"/>
      <c r="FH76" s="585"/>
      <c r="FI76" s="585"/>
      <c r="FJ76" s="585"/>
      <c r="FK76" s="585"/>
      <c r="FL76" s="585"/>
      <c r="FM76" s="585"/>
      <c r="FN76" s="585"/>
      <c r="FO76" s="585"/>
      <c r="FP76" s="585"/>
      <c r="FQ76" s="585"/>
      <c r="FR76" s="585"/>
      <c r="FS76" s="585"/>
      <c r="FT76" s="585"/>
      <c r="FU76" s="585"/>
      <c r="FV76" s="585"/>
      <c r="FW76" s="585"/>
      <c r="FX76" s="585"/>
      <c r="FY76" s="585"/>
      <c r="FZ76" s="585"/>
      <c r="GA76" s="585"/>
      <c r="GB76" s="585"/>
      <c r="GC76" s="585"/>
      <c r="GD76" s="585"/>
      <c r="GE76" s="585"/>
      <c r="GF76" s="585"/>
      <c r="GG76" s="585"/>
      <c r="GH76" s="585"/>
      <c r="GI76" s="585"/>
      <c r="GJ76" s="585"/>
      <c r="GK76" s="585"/>
      <c r="GL76" s="585"/>
      <c r="GM76" s="585"/>
      <c r="GN76" s="585"/>
      <c r="GO76" s="585"/>
      <c r="GP76" s="585"/>
      <c r="GQ76" s="585"/>
      <c r="GR76" s="585"/>
      <c r="GS76" s="585"/>
      <c r="GT76" s="585"/>
      <c r="GU76" s="585"/>
      <c r="GV76" s="585"/>
      <c r="GW76" s="585"/>
      <c r="GX76" s="585"/>
      <c r="GY76" s="585"/>
      <c r="GZ76" s="585"/>
      <c r="HA76" s="585"/>
      <c r="HB76" s="585"/>
      <c r="HC76" s="585"/>
      <c r="HD76" s="585"/>
      <c r="HE76" s="585"/>
      <c r="HF76" s="585"/>
      <c r="HG76" s="585"/>
      <c r="HH76" s="585"/>
      <c r="HI76" s="585"/>
      <c r="HJ76" s="585"/>
      <c r="HK76" s="585"/>
      <c r="HL76" s="585"/>
      <c r="HM76" s="585"/>
      <c r="HN76" s="585"/>
      <c r="HO76" s="585"/>
      <c r="HP76" s="585"/>
      <c r="HQ76" s="585"/>
      <c r="HR76" s="585"/>
      <c r="HS76" s="585"/>
      <c r="HT76" s="585"/>
      <c r="HU76" s="585"/>
      <c r="HV76" s="585"/>
      <c r="HW76" s="585"/>
      <c r="HX76" s="585"/>
      <c r="HY76" s="585"/>
      <c r="HZ76" s="585"/>
      <c r="IA76" s="585"/>
      <c r="IB76" s="585"/>
      <c r="IC76" s="585"/>
      <c r="ID76" s="585"/>
      <c r="IE76" s="585"/>
      <c r="IF76" s="585"/>
      <c r="IG76" s="585"/>
      <c r="IH76" s="585"/>
      <c r="II76" s="585"/>
      <c r="IJ76" s="585"/>
      <c r="IK76" s="585"/>
      <c r="IL76" s="585"/>
      <c r="IM76" s="585"/>
      <c r="IN76" s="585"/>
      <c r="IO76" s="585"/>
      <c r="IP76" s="585"/>
      <c r="IQ76" s="585"/>
      <c r="IR76" s="585"/>
      <c r="IS76" s="585"/>
      <c r="IT76" s="585"/>
      <c r="IU76" s="585"/>
      <c r="IV76" s="585"/>
      <c r="IW76" s="585"/>
      <c r="IX76" s="585"/>
      <c r="IY76" s="585"/>
      <c r="IZ76" s="585"/>
      <c r="JA76" s="585"/>
      <c r="JB76" s="585"/>
      <c r="JC76" s="585"/>
      <c r="JD76" s="585"/>
      <c r="JE76" s="585"/>
      <c r="JF76" s="585"/>
      <c r="JG76" s="585"/>
      <c r="JH76" s="585"/>
      <c r="JI76" s="585"/>
      <c r="JJ76" s="585"/>
      <c r="JK76" s="585"/>
      <c r="JL76" s="585"/>
      <c r="JM76" s="585"/>
      <c r="JN76" s="585"/>
      <c r="JO76" s="585"/>
      <c r="JP76" s="585"/>
      <c r="JQ76" s="585"/>
      <c r="JR76" s="585"/>
      <c r="JS76" s="585"/>
      <c r="JT76" s="587"/>
      <c r="JU76" s="585"/>
      <c r="JV76" s="585"/>
      <c r="JW76" s="585"/>
      <c r="JX76" s="585"/>
      <c r="JY76" s="585"/>
      <c r="JZ76" s="585"/>
      <c r="KA76" s="585"/>
      <c r="KB76" s="585"/>
      <c r="KC76" s="585"/>
      <c r="KD76" s="585"/>
      <c r="KE76" s="585"/>
      <c r="KF76" s="585"/>
      <c r="KG76" s="585"/>
      <c r="KH76" s="585"/>
      <c r="KI76" s="585"/>
      <c r="KJ76" s="585"/>
      <c r="KK76" s="585"/>
      <c r="KL76" s="585"/>
      <c r="KM76" s="585"/>
      <c r="KN76" s="585"/>
      <c r="KO76" s="585"/>
      <c r="KP76" s="585"/>
      <c r="KQ76" s="585"/>
      <c r="KR76" s="585"/>
      <c r="KS76" s="585"/>
      <c r="KT76" s="585"/>
      <c r="KU76" s="585"/>
      <c r="KV76" s="585"/>
      <c r="KW76" s="585"/>
      <c r="KX76" s="585"/>
      <c r="KY76" s="585"/>
      <c r="KZ76" s="585"/>
      <c r="LA76" s="585"/>
      <c r="LB76" s="585"/>
      <c r="LC76" s="585"/>
      <c r="LD76" s="584"/>
      <c r="LE76" s="585"/>
      <c r="LF76" s="585"/>
      <c r="LG76" s="585"/>
      <c r="LH76" s="585"/>
      <c r="LI76" s="585"/>
      <c r="LJ76" s="585"/>
      <c r="LK76" s="585"/>
      <c r="LL76" s="585"/>
      <c r="LM76" s="585"/>
      <c r="LN76" s="585"/>
      <c r="LO76" s="585"/>
      <c r="LP76" s="585"/>
      <c r="LQ76" s="585"/>
      <c r="LR76" s="585"/>
      <c r="LS76" s="585"/>
      <c r="LT76" s="585"/>
      <c r="LU76" s="585"/>
      <c r="LV76" s="585"/>
      <c r="LW76" s="585"/>
      <c r="LX76" s="585"/>
      <c r="LY76" s="585"/>
      <c r="LZ76" s="585"/>
      <c r="MA76" s="585"/>
      <c r="MB76" s="585"/>
    </row>
    <row r="77" spans="1:340">
      <c r="B77" s="582"/>
      <c r="C77" s="583"/>
      <c r="D77" s="584"/>
      <c r="E77" s="584"/>
      <c r="F77" s="585"/>
      <c r="G77" s="587"/>
      <c r="H77" s="587"/>
      <c r="I77" s="587"/>
      <c r="J77" s="585"/>
      <c r="K77" s="585"/>
      <c r="L77" s="585"/>
      <c r="M77" s="585"/>
      <c r="N77" s="585"/>
      <c r="O77" s="585"/>
      <c r="P77" s="585"/>
      <c r="Q77" s="585"/>
      <c r="R77" s="585"/>
      <c r="S77" s="585"/>
      <c r="T77" s="585"/>
      <c r="U77" s="585"/>
      <c r="V77" s="585"/>
      <c r="W77" s="585"/>
      <c r="X77" s="585"/>
      <c r="Y77" s="585"/>
      <c r="Z77" s="585"/>
      <c r="AA77" s="585"/>
      <c r="AB77" s="584"/>
      <c r="AC77" s="585"/>
      <c r="AD77" s="585"/>
      <c r="AE77" s="585"/>
      <c r="AF77" s="585"/>
      <c r="AG77" s="585"/>
      <c r="AH77" s="585"/>
      <c r="AI77" s="585"/>
      <c r="AJ77" s="585"/>
      <c r="AK77" s="585"/>
      <c r="AL77" s="585"/>
      <c r="AM77" s="585"/>
      <c r="AN77" s="585"/>
      <c r="AO77" s="585"/>
      <c r="AP77" s="585"/>
      <c r="AQ77" s="585"/>
      <c r="AR77" s="585"/>
      <c r="AS77" s="585"/>
      <c r="AT77" s="585"/>
      <c r="AU77" s="585"/>
      <c r="AV77" s="585"/>
      <c r="AW77" s="585"/>
      <c r="AX77" s="585"/>
      <c r="AY77" s="585"/>
      <c r="AZ77" s="585"/>
      <c r="BA77" s="585"/>
      <c r="BB77" s="585"/>
      <c r="BC77" s="585"/>
      <c r="BD77" s="585"/>
      <c r="BE77" s="585"/>
      <c r="BF77" s="585"/>
      <c r="BG77" s="585"/>
      <c r="BH77" s="585"/>
      <c r="BI77" s="585"/>
      <c r="BJ77" s="585"/>
      <c r="BK77" s="585"/>
      <c r="BL77" s="585"/>
      <c r="BM77" s="585"/>
      <c r="BN77" s="585"/>
      <c r="BO77" s="585"/>
      <c r="BP77" s="585"/>
      <c r="BQ77" s="585"/>
      <c r="BR77" s="585"/>
      <c r="BS77" s="585"/>
      <c r="BT77" s="585"/>
      <c r="BU77" s="585"/>
      <c r="BV77" s="585"/>
      <c r="BW77" s="585"/>
      <c r="BX77" s="585"/>
      <c r="BY77" s="585"/>
      <c r="BZ77" s="585"/>
      <c r="CA77" s="585"/>
      <c r="CB77" s="585"/>
      <c r="CC77" s="585"/>
      <c r="CD77" s="585"/>
      <c r="CE77" s="585"/>
      <c r="CF77" s="585"/>
      <c r="CG77" s="585"/>
      <c r="CH77" s="585"/>
      <c r="CI77" s="585"/>
      <c r="CJ77" s="585"/>
      <c r="CK77" s="585"/>
      <c r="CL77" s="585"/>
      <c r="CM77" s="585"/>
      <c r="CN77" s="585"/>
      <c r="CO77" s="585"/>
      <c r="CP77" s="585"/>
      <c r="CQ77" s="585"/>
      <c r="CR77" s="585"/>
      <c r="CS77" s="585"/>
      <c r="CT77" s="585"/>
      <c r="CU77" s="585"/>
      <c r="CV77" s="585"/>
      <c r="CW77" s="585"/>
      <c r="CX77" s="585"/>
      <c r="CY77" s="585"/>
      <c r="CZ77" s="585"/>
      <c r="DA77" s="585"/>
      <c r="DB77" s="585"/>
      <c r="DC77" s="585"/>
      <c r="DD77" s="585"/>
      <c r="DE77" s="585"/>
      <c r="DF77" s="585"/>
      <c r="DG77" s="585"/>
      <c r="DH77" s="585"/>
      <c r="DI77" s="585"/>
      <c r="DJ77" s="585"/>
      <c r="DK77" s="585"/>
      <c r="DL77" s="585"/>
      <c r="DM77" s="585"/>
      <c r="DN77" s="585"/>
      <c r="DO77" s="585"/>
      <c r="DP77" s="585"/>
      <c r="DQ77" s="585"/>
      <c r="DR77" s="585"/>
      <c r="DS77" s="585"/>
      <c r="DT77" s="585"/>
      <c r="DU77" s="585"/>
      <c r="DV77" s="585"/>
      <c r="DW77" s="585"/>
      <c r="DX77" s="585"/>
      <c r="DY77" s="585"/>
      <c r="DZ77" s="585"/>
      <c r="EA77" s="585"/>
      <c r="EB77" s="585"/>
      <c r="EC77" s="585"/>
      <c r="ED77" s="585"/>
      <c r="EE77" s="585"/>
      <c r="EF77" s="585"/>
      <c r="EG77" s="585"/>
      <c r="EH77" s="585"/>
      <c r="EI77" s="585"/>
      <c r="EJ77" s="585"/>
      <c r="EK77" s="585"/>
      <c r="EL77" s="585"/>
      <c r="EM77" s="585"/>
      <c r="EN77" s="585"/>
      <c r="EO77" s="585"/>
      <c r="EP77" s="585"/>
      <c r="EQ77" s="585"/>
      <c r="ER77" s="585"/>
      <c r="ES77" s="585"/>
      <c r="ET77" s="585"/>
      <c r="EU77" s="585"/>
      <c r="EV77" s="585"/>
      <c r="EW77" s="585"/>
      <c r="EX77" s="585"/>
      <c r="EY77" s="585"/>
      <c r="EZ77" s="585"/>
      <c r="FA77" s="585"/>
      <c r="FB77" s="585"/>
      <c r="FC77" s="585"/>
      <c r="FD77" s="585"/>
      <c r="FE77" s="585"/>
      <c r="FF77" s="585"/>
      <c r="FG77" s="585"/>
      <c r="FH77" s="585"/>
      <c r="FI77" s="585"/>
      <c r="FJ77" s="585"/>
      <c r="FK77" s="585"/>
      <c r="FL77" s="585"/>
      <c r="FM77" s="585"/>
      <c r="FN77" s="585"/>
      <c r="FO77" s="585"/>
      <c r="FP77" s="585"/>
      <c r="FQ77" s="585"/>
      <c r="FR77" s="585"/>
      <c r="FS77" s="585"/>
      <c r="FT77" s="585"/>
      <c r="FU77" s="585"/>
      <c r="FV77" s="585"/>
      <c r="FW77" s="585"/>
      <c r="FX77" s="585"/>
      <c r="FY77" s="585"/>
      <c r="FZ77" s="585"/>
      <c r="GA77" s="585"/>
      <c r="GB77" s="585"/>
      <c r="GC77" s="585"/>
      <c r="GD77" s="585"/>
      <c r="GE77" s="585"/>
      <c r="GF77" s="585"/>
      <c r="GG77" s="585"/>
      <c r="GH77" s="585"/>
      <c r="GI77" s="585"/>
      <c r="GJ77" s="585"/>
      <c r="GK77" s="585"/>
      <c r="GL77" s="585"/>
      <c r="GM77" s="585"/>
      <c r="GN77" s="585"/>
      <c r="GO77" s="585"/>
      <c r="GP77" s="585"/>
      <c r="GQ77" s="585"/>
      <c r="GR77" s="585"/>
      <c r="GS77" s="585"/>
      <c r="GT77" s="585"/>
      <c r="GU77" s="585"/>
      <c r="GV77" s="585"/>
      <c r="GW77" s="585"/>
      <c r="GX77" s="585"/>
      <c r="GY77" s="585"/>
      <c r="GZ77" s="585"/>
      <c r="HA77" s="585"/>
      <c r="HB77" s="585"/>
      <c r="HC77" s="585"/>
      <c r="HD77" s="585"/>
      <c r="HE77" s="585"/>
      <c r="HF77" s="585"/>
      <c r="HG77" s="585"/>
      <c r="HH77" s="585"/>
      <c r="HI77" s="585"/>
      <c r="HJ77" s="585"/>
      <c r="HK77" s="585"/>
      <c r="HL77" s="585"/>
      <c r="HM77" s="585"/>
      <c r="HN77" s="585"/>
      <c r="HO77" s="585"/>
      <c r="HP77" s="585"/>
      <c r="HQ77" s="585"/>
      <c r="HR77" s="585"/>
      <c r="HS77" s="585"/>
      <c r="HT77" s="585"/>
      <c r="HU77" s="585"/>
      <c r="HV77" s="585"/>
      <c r="HW77" s="585"/>
      <c r="HX77" s="585"/>
      <c r="HY77" s="585"/>
      <c r="HZ77" s="585"/>
      <c r="IA77" s="585"/>
      <c r="IB77" s="585"/>
      <c r="IC77" s="585"/>
      <c r="ID77" s="585"/>
      <c r="IE77" s="585"/>
      <c r="IF77" s="585"/>
      <c r="IG77" s="585"/>
      <c r="IH77" s="585"/>
      <c r="II77" s="585"/>
      <c r="IJ77" s="585"/>
      <c r="IK77" s="585"/>
      <c r="IL77" s="585"/>
      <c r="IM77" s="585"/>
      <c r="IN77" s="585"/>
      <c r="IO77" s="585"/>
      <c r="IP77" s="585"/>
      <c r="IQ77" s="585"/>
      <c r="IR77" s="585"/>
      <c r="IS77" s="585"/>
      <c r="IT77" s="585"/>
      <c r="IU77" s="585"/>
      <c r="IV77" s="585"/>
      <c r="IW77" s="585"/>
      <c r="IX77" s="585"/>
      <c r="IY77" s="585"/>
      <c r="IZ77" s="585"/>
      <c r="JA77" s="585"/>
      <c r="JB77" s="585"/>
      <c r="JC77" s="585"/>
      <c r="JD77" s="585"/>
      <c r="JE77" s="585"/>
      <c r="JF77" s="585"/>
      <c r="JG77" s="585"/>
      <c r="JH77" s="585"/>
      <c r="JI77" s="585"/>
      <c r="JJ77" s="585"/>
      <c r="JK77" s="585"/>
      <c r="JL77" s="585"/>
      <c r="JM77" s="585"/>
      <c r="JN77" s="585"/>
      <c r="JO77" s="585"/>
      <c r="JP77" s="585"/>
      <c r="JQ77" s="585"/>
      <c r="JR77" s="585"/>
      <c r="JS77" s="585"/>
      <c r="JT77" s="587"/>
      <c r="JU77" s="585"/>
      <c r="JV77" s="585"/>
      <c r="JW77" s="585"/>
      <c r="JX77" s="585"/>
      <c r="JY77" s="585"/>
      <c r="JZ77" s="585"/>
      <c r="KA77" s="585"/>
      <c r="KB77" s="585"/>
      <c r="KC77" s="585"/>
      <c r="KD77" s="585"/>
      <c r="KE77" s="585"/>
      <c r="KF77" s="585"/>
      <c r="KG77" s="585"/>
      <c r="KH77" s="585"/>
      <c r="KI77" s="585"/>
      <c r="KJ77" s="585"/>
      <c r="KK77" s="585"/>
      <c r="KL77" s="585"/>
      <c r="KM77" s="585"/>
      <c r="KN77" s="585"/>
      <c r="KO77" s="585"/>
      <c r="KP77" s="585"/>
      <c r="KQ77" s="585"/>
      <c r="KR77" s="585"/>
      <c r="KS77" s="585"/>
      <c r="KT77" s="585"/>
      <c r="KU77" s="585"/>
      <c r="KV77" s="585"/>
      <c r="KW77" s="585"/>
      <c r="KX77" s="585"/>
      <c r="KY77" s="585"/>
      <c r="KZ77" s="585"/>
      <c r="LA77" s="585"/>
      <c r="LB77" s="585"/>
      <c r="LC77" s="585"/>
      <c r="LD77" s="584"/>
      <c r="LE77" s="585"/>
      <c r="LF77" s="585"/>
      <c r="LG77" s="585"/>
      <c r="LH77" s="585"/>
      <c r="LI77" s="585"/>
      <c r="LJ77" s="585"/>
      <c r="LK77" s="585"/>
      <c r="LL77" s="585"/>
      <c r="LM77" s="585"/>
      <c r="LN77" s="585"/>
      <c r="LO77" s="585"/>
      <c r="LP77" s="585"/>
      <c r="LQ77" s="585"/>
      <c r="LR77" s="585"/>
      <c r="LS77" s="585"/>
      <c r="LT77" s="585"/>
      <c r="LU77" s="585"/>
      <c r="LV77" s="585"/>
      <c r="LW77" s="585"/>
      <c r="LX77" s="585"/>
      <c r="LY77" s="585"/>
      <c r="LZ77" s="585"/>
      <c r="MA77" s="585"/>
      <c r="MB77" s="585"/>
    </row>
    <row r="78" spans="1:340">
      <c r="B78" s="582"/>
      <c r="C78" s="583"/>
      <c r="D78" s="584"/>
      <c r="E78" s="584"/>
      <c r="F78" s="585"/>
      <c r="G78" s="587"/>
      <c r="H78" s="587"/>
      <c r="I78" s="587"/>
      <c r="J78" s="585"/>
      <c r="K78" s="585"/>
      <c r="L78" s="585"/>
      <c r="M78" s="585"/>
      <c r="N78" s="585"/>
      <c r="O78" s="585"/>
      <c r="P78" s="585"/>
      <c r="Q78" s="585"/>
      <c r="R78" s="585"/>
      <c r="S78" s="585"/>
      <c r="T78" s="585"/>
      <c r="U78" s="585"/>
      <c r="V78" s="585"/>
      <c r="W78" s="585"/>
      <c r="X78" s="585"/>
      <c r="Y78" s="585"/>
      <c r="Z78" s="585"/>
      <c r="AA78" s="585"/>
      <c r="AB78" s="584"/>
      <c r="AC78" s="585"/>
      <c r="AD78" s="585"/>
      <c r="AE78" s="585"/>
      <c r="AF78" s="585"/>
      <c r="AG78" s="585"/>
      <c r="AH78" s="585"/>
      <c r="AI78" s="585"/>
      <c r="AJ78" s="585"/>
      <c r="AK78" s="585"/>
      <c r="AL78" s="585"/>
      <c r="AM78" s="585"/>
      <c r="AN78" s="585"/>
      <c r="AO78" s="585"/>
      <c r="AP78" s="585"/>
      <c r="AQ78" s="585"/>
      <c r="AR78" s="585"/>
      <c r="AS78" s="585"/>
      <c r="AT78" s="585"/>
      <c r="AU78" s="585"/>
      <c r="AV78" s="585"/>
      <c r="AW78" s="585"/>
      <c r="AX78" s="585"/>
      <c r="AY78" s="585"/>
      <c r="AZ78" s="585"/>
      <c r="BA78" s="585"/>
      <c r="BB78" s="585"/>
      <c r="BC78" s="585"/>
      <c r="BD78" s="585"/>
      <c r="BE78" s="585"/>
      <c r="BF78" s="585"/>
      <c r="BG78" s="585"/>
      <c r="BH78" s="585"/>
      <c r="BI78" s="585"/>
      <c r="BJ78" s="585"/>
      <c r="BK78" s="585"/>
      <c r="BL78" s="585"/>
      <c r="BM78" s="585"/>
      <c r="BN78" s="585"/>
      <c r="BO78" s="585"/>
      <c r="BP78" s="585"/>
      <c r="BQ78" s="585"/>
      <c r="BR78" s="585"/>
      <c r="BS78" s="585"/>
      <c r="BT78" s="585"/>
      <c r="BU78" s="585"/>
      <c r="BV78" s="585"/>
      <c r="BW78" s="585"/>
      <c r="BX78" s="585"/>
      <c r="BY78" s="585"/>
      <c r="BZ78" s="585"/>
      <c r="CA78" s="585"/>
      <c r="CB78" s="585"/>
      <c r="CC78" s="585"/>
      <c r="CD78" s="585"/>
      <c r="CE78" s="585"/>
      <c r="CF78" s="585"/>
      <c r="CG78" s="585"/>
      <c r="CH78" s="585"/>
      <c r="CI78" s="585"/>
      <c r="CJ78" s="585"/>
      <c r="CK78" s="585"/>
      <c r="CL78" s="585"/>
      <c r="CM78" s="585"/>
      <c r="CN78" s="585"/>
      <c r="CO78" s="585"/>
      <c r="CP78" s="585"/>
      <c r="CQ78" s="585"/>
      <c r="CR78" s="585"/>
      <c r="CS78" s="585"/>
      <c r="CT78" s="585"/>
      <c r="CU78" s="585"/>
      <c r="CV78" s="585"/>
      <c r="CW78" s="585"/>
      <c r="CX78" s="585"/>
      <c r="CY78" s="585"/>
      <c r="CZ78" s="585"/>
      <c r="DA78" s="585"/>
      <c r="DB78" s="585"/>
      <c r="DC78" s="585"/>
      <c r="DD78" s="585"/>
      <c r="DE78" s="585"/>
      <c r="DF78" s="585"/>
      <c r="DG78" s="585"/>
      <c r="DH78" s="585"/>
      <c r="DI78" s="585"/>
      <c r="DJ78" s="585"/>
      <c r="DK78" s="585"/>
      <c r="DL78" s="585"/>
      <c r="DM78" s="585"/>
      <c r="DN78" s="585"/>
      <c r="DO78" s="585"/>
      <c r="DP78" s="585"/>
      <c r="DQ78" s="585"/>
      <c r="DR78" s="585"/>
      <c r="DS78" s="585"/>
      <c r="DT78" s="585"/>
      <c r="DU78" s="585"/>
      <c r="DV78" s="585"/>
      <c r="DW78" s="585"/>
      <c r="DX78" s="585"/>
      <c r="DY78" s="585"/>
      <c r="DZ78" s="585"/>
      <c r="EA78" s="585"/>
      <c r="EB78" s="585"/>
      <c r="EC78" s="585"/>
      <c r="ED78" s="585"/>
      <c r="EE78" s="585"/>
      <c r="EF78" s="585"/>
      <c r="EG78" s="585"/>
      <c r="EH78" s="585"/>
      <c r="EI78" s="585"/>
      <c r="EJ78" s="585"/>
      <c r="EK78" s="585"/>
      <c r="EL78" s="585"/>
      <c r="EM78" s="585"/>
      <c r="EN78" s="585"/>
      <c r="EO78" s="585"/>
      <c r="EP78" s="585"/>
      <c r="EQ78" s="585"/>
      <c r="ER78" s="585"/>
      <c r="ES78" s="585"/>
      <c r="ET78" s="585"/>
      <c r="EU78" s="585"/>
      <c r="EV78" s="585"/>
      <c r="EW78" s="585"/>
      <c r="EX78" s="585"/>
      <c r="EY78" s="585"/>
      <c r="EZ78" s="585"/>
      <c r="FA78" s="585"/>
      <c r="FB78" s="585"/>
      <c r="FC78" s="585"/>
      <c r="FD78" s="585"/>
      <c r="FE78" s="585"/>
      <c r="FF78" s="585"/>
      <c r="FG78" s="585"/>
      <c r="FH78" s="585"/>
      <c r="FI78" s="585"/>
      <c r="FJ78" s="585"/>
      <c r="FK78" s="585"/>
      <c r="FL78" s="585"/>
      <c r="FM78" s="585"/>
      <c r="FN78" s="585"/>
      <c r="FO78" s="585"/>
      <c r="FP78" s="585"/>
      <c r="FQ78" s="585"/>
      <c r="FR78" s="585"/>
      <c r="FS78" s="585"/>
      <c r="FT78" s="585"/>
      <c r="FU78" s="585"/>
      <c r="FV78" s="585"/>
      <c r="FW78" s="585"/>
      <c r="FX78" s="585"/>
      <c r="FY78" s="585"/>
      <c r="FZ78" s="585"/>
      <c r="GA78" s="585"/>
      <c r="GB78" s="585"/>
      <c r="GC78" s="585"/>
      <c r="GD78" s="585"/>
      <c r="GE78" s="585"/>
      <c r="GF78" s="585"/>
      <c r="GG78" s="585"/>
      <c r="GH78" s="585"/>
      <c r="GI78" s="585"/>
      <c r="GJ78" s="585"/>
      <c r="GK78" s="585"/>
      <c r="GL78" s="585"/>
      <c r="GM78" s="585"/>
      <c r="GN78" s="585"/>
      <c r="GO78" s="585"/>
      <c r="GP78" s="585"/>
      <c r="GQ78" s="585"/>
      <c r="GR78" s="585"/>
      <c r="GS78" s="585"/>
      <c r="GT78" s="585"/>
      <c r="GU78" s="585"/>
      <c r="GV78" s="585"/>
      <c r="GW78" s="585"/>
      <c r="GX78" s="585"/>
      <c r="GY78" s="585"/>
      <c r="GZ78" s="585"/>
      <c r="HA78" s="585"/>
      <c r="HB78" s="585"/>
      <c r="HC78" s="585"/>
      <c r="HD78" s="585"/>
      <c r="HE78" s="585"/>
      <c r="HF78" s="585"/>
      <c r="HG78" s="585"/>
      <c r="HH78" s="585"/>
      <c r="HI78" s="585"/>
      <c r="HJ78" s="585"/>
      <c r="HK78" s="585"/>
      <c r="HL78" s="585"/>
      <c r="HM78" s="585"/>
      <c r="HN78" s="585"/>
      <c r="HO78" s="585"/>
      <c r="HP78" s="585"/>
      <c r="HQ78" s="585"/>
      <c r="HR78" s="585"/>
      <c r="HS78" s="585"/>
      <c r="HT78" s="585"/>
      <c r="HU78" s="585"/>
      <c r="HV78" s="585"/>
      <c r="HW78" s="585"/>
      <c r="HX78" s="585"/>
      <c r="HY78" s="585"/>
      <c r="HZ78" s="585"/>
      <c r="IA78" s="585"/>
      <c r="IB78" s="585"/>
      <c r="IC78" s="585"/>
      <c r="ID78" s="585"/>
      <c r="IE78" s="585"/>
      <c r="IF78" s="585"/>
      <c r="IG78" s="585"/>
      <c r="IH78" s="585"/>
      <c r="II78" s="585"/>
      <c r="IJ78" s="585"/>
      <c r="IK78" s="585"/>
      <c r="IL78" s="585"/>
      <c r="IM78" s="585"/>
      <c r="IN78" s="585"/>
      <c r="IO78" s="585"/>
      <c r="IP78" s="585"/>
      <c r="IQ78" s="585"/>
      <c r="IR78" s="585"/>
      <c r="IS78" s="585"/>
      <c r="IT78" s="585"/>
      <c r="IU78" s="585"/>
      <c r="IV78" s="585"/>
      <c r="IW78" s="585"/>
      <c r="IX78" s="585"/>
      <c r="IY78" s="585"/>
      <c r="IZ78" s="585"/>
      <c r="JA78" s="585"/>
      <c r="JB78" s="585"/>
      <c r="JC78" s="585"/>
      <c r="JD78" s="585"/>
      <c r="JE78" s="585"/>
      <c r="JF78" s="585"/>
      <c r="JG78" s="585"/>
      <c r="JH78" s="585"/>
      <c r="JI78" s="585"/>
      <c r="JJ78" s="585"/>
      <c r="JK78" s="585"/>
      <c r="JL78" s="585"/>
      <c r="JM78" s="585"/>
      <c r="JN78" s="585"/>
      <c r="JO78" s="585"/>
      <c r="JP78" s="585"/>
      <c r="JQ78" s="585"/>
      <c r="JR78" s="585"/>
      <c r="JS78" s="585"/>
      <c r="JT78" s="587"/>
      <c r="JU78" s="585"/>
      <c r="JV78" s="585"/>
      <c r="JW78" s="585"/>
      <c r="JX78" s="585"/>
      <c r="JY78" s="585"/>
      <c r="JZ78" s="585"/>
      <c r="KA78" s="585"/>
      <c r="KB78" s="585"/>
      <c r="KC78" s="585"/>
      <c r="KD78" s="585"/>
      <c r="KE78" s="585"/>
      <c r="KF78" s="585"/>
      <c r="KG78" s="585"/>
      <c r="KH78" s="585"/>
      <c r="KI78" s="585"/>
      <c r="KJ78" s="585"/>
      <c r="KK78" s="585"/>
      <c r="KL78" s="585"/>
      <c r="KM78" s="585"/>
      <c r="KN78" s="585"/>
      <c r="KO78" s="585"/>
      <c r="KP78" s="585"/>
      <c r="KQ78" s="585"/>
      <c r="KR78" s="585"/>
      <c r="KS78" s="585"/>
      <c r="KT78" s="585"/>
      <c r="KU78" s="585"/>
      <c r="KV78" s="585"/>
      <c r="KW78" s="585"/>
      <c r="KX78" s="585"/>
      <c r="KY78" s="585"/>
      <c r="KZ78" s="585"/>
      <c r="LA78" s="585"/>
      <c r="LB78" s="585"/>
      <c r="LC78" s="585"/>
      <c r="LD78" s="584"/>
      <c r="LE78" s="585"/>
      <c r="LF78" s="585"/>
      <c r="LG78" s="585"/>
      <c r="LH78" s="585"/>
      <c r="LI78" s="585"/>
      <c r="LJ78" s="585"/>
      <c r="LK78" s="585"/>
      <c r="LL78" s="585"/>
      <c r="LM78" s="585"/>
      <c r="LN78" s="585"/>
      <c r="LO78" s="585"/>
      <c r="LP78" s="585"/>
      <c r="LQ78" s="585"/>
      <c r="LR78" s="585"/>
      <c r="LS78" s="585"/>
      <c r="LT78" s="585"/>
      <c r="LU78" s="585"/>
      <c r="LV78" s="585"/>
      <c r="LW78" s="585"/>
      <c r="LX78" s="585"/>
      <c r="LY78" s="585"/>
      <c r="LZ78" s="585"/>
      <c r="MA78" s="585"/>
      <c r="MB78" s="585"/>
    </row>
    <row r="79" spans="1:340">
      <c r="B79" s="582"/>
      <c r="C79" s="583"/>
      <c r="D79" s="584"/>
      <c r="E79" s="584"/>
      <c r="F79" s="585"/>
      <c r="G79" s="587"/>
      <c r="H79" s="587"/>
      <c r="I79" s="587"/>
      <c r="J79" s="585"/>
      <c r="K79" s="585"/>
      <c r="L79" s="585"/>
      <c r="M79" s="585"/>
      <c r="N79" s="585"/>
      <c r="O79" s="585"/>
      <c r="P79" s="585"/>
      <c r="Q79" s="585"/>
      <c r="R79" s="585"/>
      <c r="S79" s="585"/>
      <c r="T79" s="585"/>
      <c r="U79" s="585"/>
      <c r="V79" s="585"/>
      <c r="W79" s="585"/>
      <c r="X79" s="585"/>
      <c r="Y79" s="585"/>
      <c r="Z79" s="585"/>
      <c r="AA79" s="585"/>
      <c r="AB79" s="584"/>
      <c r="AC79" s="585"/>
      <c r="AD79" s="585"/>
      <c r="AE79" s="585"/>
      <c r="AF79" s="585"/>
      <c r="AG79" s="585"/>
      <c r="AH79" s="585"/>
      <c r="AI79" s="585"/>
      <c r="AJ79" s="585"/>
      <c r="AK79" s="585"/>
      <c r="AL79" s="585"/>
      <c r="AM79" s="585"/>
      <c r="AN79" s="585"/>
      <c r="AO79" s="585"/>
      <c r="AP79" s="585"/>
      <c r="AQ79" s="585"/>
      <c r="AR79" s="585"/>
      <c r="AS79" s="585"/>
      <c r="AT79" s="585"/>
      <c r="AU79" s="585"/>
      <c r="AV79" s="585"/>
      <c r="AW79" s="585"/>
      <c r="AX79" s="585"/>
      <c r="AY79" s="585"/>
      <c r="AZ79" s="585"/>
      <c r="BA79" s="585"/>
      <c r="BB79" s="585"/>
      <c r="BC79" s="585"/>
      <c r="BD79" s="585"/>
      <c r="BE79" s="585"/>
      <c r="BF79" s="585"/>
      <c r="BG79" s="585"/>
      <c r="BH79" s="585"/>
      <c r="BI79" s="585"/>
      <c r="BJ79" s="585"/>
      <c r="BK79" s="585"/>
      <c r="BL79" s="585"/>
      <c r="BM79" s="585"/>
      <c r="BN79" s="585"/>
      <c r="BO79" s="585"/>
      <c r="BP79" s="585"/>
      <c r="BQ79" s="585"/>
      <c r="BR79" s="585"/>
      <c r="BS79" s="585"/>
      <c r="BT79" s="585"/>
      <c r="BU79" s="585"/>
      <c r="BV79" s="585"/>
      <c r="BW79" s="585"/>
      <c r="BX79" s="585"/>
      <c r="BY79" s="585"/>
      <c r="BZ79" s="585"/>
      <c r="CA79" s="585"/>
      <c r="CB79" s="585"/>
      <c r="CC79" s="585"/>
      <c r="CD79" s="585"/>
      <c r="CE79" s="585"/>
      <c r="CF79" s="585"/>
      <c r="CG79" s="585"/>
      <c r="CH79" s="585"/>
      <c r="CI79" s="585"/>
      <c r="CJ79" s="585"/>
      <c r="CK79" s="585"/>
      <c r="CL79" s="585"/>
      <c r="CM79" s="585"/>
      <c r="CN79" s="585"/>
      <c r="CO79" s="585"/>
      <c r="CP79" s="585"/>
      <c r="CQ79" s="585"/>
      <c r="CR79" s="585"/>
      <c r="CS79" s="585"/>
      <c r="CT79" s="585"/>
      <c r="CU79" s="585"/>
      <c r="CV79" s="585"/>
      <c r="CW79" s="585"/>
      <c r="CX79" s="585"/>
      <c r="CY79" s="585"/>
      <c r="CZ79" s="585"/>
      <c r="DA79" s="585"/>
      <c r="DB79" s="585"/>
      <c r="DC79" s="585"/>
      <c r="DD79" s="585"/>
      <c r="DE79" s="585"/>
      <c r="DF79" s="585"/>
      <c r="DG79" s="585"/>
      <c r="DH79" s="585"/>
      <c r="DI79" s="585"/>
      <c r="DJ79" s="585"/>
      <c r="DK79" s="585"/>
      <c r="DL79" s="585"/>
      <c r="DM79" s="585"/>
      <c r="DN79" s="585"/>
      <c r="DO79" s="585"/>
      <c r="DP79" s="585"/>
      <c r="DQ79" s="585"/>
      <c r="DR79" s="585"/>
      <c r="DS79" s="585"/>
      <c r="DT79" s="585"/>
      <c r="DU79" s="585"/>
      <c r="DV79" s="585"/>
      <c r="DW79" s="585"/>
      <c r="DX79" s="585"/>
      <c r="DY79" s="585"/>
      <c r="DZ79" s="585"/>
      <c r="EA79" s="585"/>
      <c r="EB79" s="585"/>
      <c r="EC79" s="585"/>
      <c r="ED79" s="585"/>
      <c r="EE79" s="585"/>
      <c r="EF79" s="585"/>
      <c r="EG79" s="585"/>
      <c r="EH79" s="585"/>
      <c r="EI79" s="585"/>
      <c r="EJ79" s="585"/>
      <c r="EK79" s="585"/>
      <c r="EL79" s="585"/>
      <c r="EM79" s="585"/>
      <c r="EN79" s="585"/>
      <c r="EO79" s="585"/>
      <c r="EP79" s="585"/>
      <c r="EQ79" s="585"/>
      <c r="ER79" s="585"/>
      <c r="ES79" s="585"/>
      <c r="ET79" s="585"/>
      <c r="EU79" s="585"/>
      <c r="EV79" s="585"/>
      <c r="EW79" s="585"/>
      <c r="EX79" s="585"/>
      <c r="EY79" s="585"/>
      <c r="EZ79" s="585"/>
      <c r="FA79" s="585"/>
      <c r="FB79" s="585"/>
      <c r="FC79" s="585"/>
      <c r="FD79" s="585"/>
      <c r="FE79" s="585"/>
      <c r="FF79" s="585"/>
      <c r="FG79" s="585"/>
      <c r="FH79" s="585"/>
      <c r="FI79" s="585"/>
      <c r="FJ79" s="585"/>
      <c r="FK79" s="585"/>
      <c r="FL79" s="585"/>
      <c r="FM79" s="585"/>
      <c r="FN79" s="585"/>
      <c r="FO79" s="585"/>
      <c r="FP79" s="585"/>
      <c r="FQ79" s="585"/>
      <c r="FR79" s="585"/>
      <c r="FS79" s="585"/>
      <c r="FT79" s="585"/>
      <c r="FU79" s="585"/>
      <c r="FV79" s="585"/>
      <c r="FW79" s="585"/>
      <c r="FX79" s="585"/>
      <c r="FY79" s="585"/>
      <c r="FZ79" s="585"/>
      <c r="GA79" s="585"/>
      <c r="GB79" s="585"/>
      <c r="GC79" s="585"/>
      <c r="GD79" s="585"/>
      <c r="GE79" s="585"/>
      <c r="GF79" s="585"/>
      <c r="GG79" s="585"/>
      <c r="GH79" s="585"/>
      <c r="GI79" s="585"/>
      <c r="GJ79" s="585"/>
      <c r="GK79" s="585"/>
      <c r="GL79" s="585"/>
      <c r="GM79" s="585"/>
      <c r="GN79" s="585"/>
      <c r="GO79" s="585"/>
      <c r="GP79" s="585"/>
      <c r="GQ79" s="585"/>
      <c r="GR79" s="585"/>
      <c r="GS79" s="585"/>
      <c r="GT79" s="585"/>
      <c r="GU79" s="585"/>
      <c r="GV79" s="585"/>
      <c r="GW79" s="585"/>
      <c r="GX79" s="585"/>
      <c r="GY79" s="585"/>
      <c r="GZ79" s="585"/>
      <c r="HA79" s="585"/>
      <c r="HB79" s="585"/>
      <c r="HC79" s="585"/>
      <c r="HD79" s="585"/>
      <c r="HE79" s="585"/>
      <c r="HF79" s="585"/>
      <c r="HG79" s="585"/>
      <c r="HH79" s="585"/>
      <c r="HI79" s="585"/>
      <c r="HJ79" s="585"/>
      <c r="HK79" s="585"/>
      <c r="HL79" s="585"/>
      <c r="HM79" s="585"/>
      <c r="HN79" s="585"/>
      <c r="HO79" s="585"/>
      <c r="HP79" s="585"/>
      <c r="HQ79" s="585"/>
      <c r="HR79" s="585"/>
      <c r="HS79" s="585"/>
      <c r="HT79" s="585"/>
      <c r="HU79" s="585"/>
      <c r="HV79" s="585"/>
      <c r="HW79" s="585"/>
      <c r="HX79" s="585"/>
      <c r="HY79" s="585"/>
      <c r="HZ79" s="585"/>
      <c r="IA79" s="585"/>
      <c r="IB79" s="585"/>
      <c r="IC79" s="585"/>
      <c r="ID79" s="585"/>
      <c r="IE79" s="585"/>
      <c r="IF79" s="585"/>
      <c r="IG79" s="585"/>
      <c r="IH79" s="585"/>
      <c r="II79" s="585"/>
      <c r="IJ79" s="585"/>
      <c r="IK79" s="585"/>
      <c r="IL79" s="585"/>
      <c r="IM79" s="585"/>
      <c r="IN79" s="585"/>
      <c r="IO79" s="585"/>
      <c r="IP79" s="585"/>
      <c r="IQ79" s="585"/>
      <c r="IR79" s="585"/>
      <c r="IS79" s="585"/>
      <c r="IT79" s="585"/>
      <c r="IU79" s="585"/>
      <c r="IV79" s="585"/>
      <c r="IW79" s="585"/>
      <c r="IX79" s="585"/>
      <c r="IY79" s="585"/>
      <c r="IZ79" s="585"/>
      <c r="JA79" s="585"/>
      <c r="JB79" s="585"/>
      <c r="JC79" s="585"/>
      <c r="JD79" s="585"/>
      <c r="JE79" s="585"/>
      <c r="JF79" s="585"/>
      <c r="JG79" s="585"/>
      <c r="JH79" s="585"/>
      <c r="JI79" s="585"/>
      <c r="JJ79" s="585"/>
      <c r="JK79" s="585"/>
      <c r="JL79" s="585"/>
      <c r="JM79" s="585"/>
      <c r="JN79" s="585"/>
      <c r="JO79" s="585"/>
      <c r="JP79" s="585"/>
      <c r="JQ79" s="585"/>
      <c r="JR79" s="585"/>
      <c r="JS79" s="585"/>
      <c r="JT79" s="587"/>
      <c r="JU79" s="585"/>
      <c r="JV79" s="585"/>
      <c r="JW79" s="585"/>
      <c r="JX79" s="585"/>
      <c r="JY79" s="585"/>
      <c r="JZ79" s="585"/>
      <c r="KA79" s="585"/>
      <c r="KB79" s="585"/>
      <c r="KC79" s="585"/>
      <c r="KD79" s="585"/>
      <c r="KE79" s="585"/>
      <c r="KF79" s="585"/>
      <c r="KG79" s="585"/>
      <c r="KH79" s="585"/>
      <c r="KI79" s="585"/>
      <c r="KJ79" s="585"/>
      <c r="KK79" s="585"/>
      <c r="KL79" s="585"/>
      <c r="KM79" s="585"/>
      <c r="KN79" s="585"/>
      <c r="KO79" s="585"/>
      <c r="KP79" s="585"/>
      <c r="KQ79" s="585"/>
      <c r="KR79" s="585"/>
      <c r="KS79" s="585"/>
      <c r="KT79" s="585"/>
      <c r="KU79" s="585"/>
      <c r="KV79" s="585"/>
      <c r="KW79" s="585"/>
      <c r="KX79" s="585"/>
      <c r="KY79" s="585"/>
      <c r="KZ79" s="585"/>
      <c r="LA79" s="585"/>
      <c r="LB79" s="585"/>
      <c r="LC79" s="585"/>
      <c r="LD79" s="584"/>
      <c r="LE79" s="585"/>
      <c r="LF79" s="585"/>
      <c r="LG79" s="585"/>
      <c r="LH79" s="585"/>
      <c r="LI79" s="585"/>
      <c r="LJ79" s="585"/>
      <c r="LK79" s="585"/>
      <c r="LL79" s="585"/>
      <c r="LM79" s="585"/>
      <c r="LN79" s="585"/>
      <c r="LO79" s="585"/>
      <c r="LP79" s="585"/>
      <c r="LQ79" s="585"/>
      <c r="LR79" s="585"/>
      <c r="LS79" s="585"/>
      <c r="LT79" s="585"/>
      <c r="LU79" s="585"/>
      <c r="LV79" s="585"/>
      <c r="LW79" s="585"/>
      <c r="LX79" s="585"/>
      <c r="LY79" s="585"/>
      <c r="LZ79" s="585"/>
      <c r="MA79" s="585"/>
      <c r="MB79" s="585"/>
    </row>
    <row r="80" spans="1:340">
      <c r="B80" s="582"/>
      <c r="C80" s="583"/>
      <c r="D80" s="584"/>
      <c r="E80" s="584"/>
      <c r="F80" s="585"/>
      <c r="G80" s="587"/>
      <c r="H80" s="587"/>
      <c r="I80" s="587"/>
      <c r="J80" s="585"/>
      <c r="K80" s="585"/>
      <c r="L80" s="585"/>
      <c r="M80" s="585"/>
      <c r="N80" s="585"/>
      <c r="O80" s="585"/>
      <c r="P80" s="585"/>
      <c r="Q80" s="585"/>
      <c r="R80" s="585"/>
      <c r="S80" s="585"/>
      <c r="T80" s="585"/>
      <c r="U80" s="585"/>
      <c r="V80" s="585"/>
      <c r="W80" s="585"/>
      <c r="X80" s="585"/>
      <c r="Y80" s="585"/>
      <c r="Z80" s="585"/>
      <c r="AA80" s="585"/>
      <c r="AB80" s="584"/>
      <c r="AC80" s="585"/>
      <c r="AD80" s="585"/>
      <c r="AE80" s="585"/>
      <c r="AF80" s="585"/>
      <c r="AG80" s="585"/>
      <c r="AH80" s="585"/>
      <c r="AI80" s="585"/>
      <c r="AJ80" s="585"/>
      <c r="AK80" s="585"/>
      <c r="AL80" s="585"/>
      <c r="AM80" s="585"/>
      <c r="AN80" s="585"/>
      <c r="AO80" s="585"/>
      <c r="AP80" s="585"/>
      <c r="AQ80" s="585"/>
      <c r="AR80" s="585"/>
      <c r="AS80" s="585"/>
      <c r="AT80" s="585"/>
      <c r="AU80" s="585"/>
      <c r="AV80" s="585"/>
      <c r="AW80" s="585"/>
      <c r="AX80" s="585"/>
      <c r="AY80" s="585"/>
      <c r="AZ80" s="585"/>
      <c r="BA80" s="585"/>
      <c r="BB80" s="585"/>
      <c r="BC80" s="585"/>
      <c r="BD80" s="585"/>
      <c r="BE80" s="585"/>
      <c r="BF80" s="585"/>
      <c r="BG80" s="585"/>
      <c r="BH80" s="585"/>
      <c r="BI80" s="585"/>
      <c r="BJ80" s="585"/>
      <c r="BK80" s="585"/>
      <c r="BL80" s="585"/>
      <c r="BM80" s="585"/>
      <c r="BN80" s="585"/>
      <c r="BO80" s="585"/>
      <c r="BP80" s="585"/>
      <c r="BQ80" s="585"/>
      <c r="BR80" s="585"/>
      <c r="BS80" s="585"/>
      <c r="BT80" s="585"/>
      <c r="BU80" s="585"/>
      <c r="BV80" s="585"/>
      <c r="BW80" s="585"/>
      <c r="BX80" s="585"/>
      <c r="BY80" s="585"/>
      <c r="BZ80" s="585"/>
      <c r="CA80" s="585"/>
      <c r="CB80" s="585"/>
      <c r="CC80" s="585"/>
      <c r="CD80" s="585"/>
      <c r="CE80" s="585"/>
      <c r="CF80" s="585"/>
      <c r="CG80" s="585"/>
      <c r="CH80" s="585"/>
      <c r="CI80" s="585"/>
      <c r="CJ80" s="585"/>
      <c r="CK80" s="585"/>
      <c r="CL80" s="585"/>
      <c r="CM80" s="585"/>
      <c r="CN80" s="585"/>
      <c r="CO80" s="585"/>
      <c r="CP80" s="585"/>
      <c r="CQ80" s="585"/>
      <c r="CR80" s="585"/>
      <c r="CS80" s="585"/>
      <c r="CT80" s="585"/>
      <c r="CU80" s="585"/>
      <c r="CV80" s="585"/>
      <c r="CW80" s="585"/>
      <c r="CX80" s="585"/>
      <c r="CY80" s="585"/>
      <c r="CZ80" s="585"/>
      <c r="DA80" s="585"/>
      <c r="DB80" s="585"/>
      <c r="DC80" s="585"/>
      <c r="DD80" s="585"/>
      <c r="DE80" s="585"/>
      <c r="DF80" s="585"/>
      <c r="DG80" s="585"/>
      <c r="DH80" s="585"/>
      <c r="DI80" s="585"/>
      <c r="DJ80" s="585"/>
      <c r="DK80" s="585"/>
      <c r="DL80" s="585"/>
      <c r="DM80" s="585"/>
      <c r="DN80" s="585"/>
      <c r="DO80" s="585"/>
      <c r="DP80" s="585"/>
      <c r="DQ80" s="585"/>
      <c r="DR80" s="585"/>
      <c r="DS80" s="585"/>
      <c r="DT80" s="585"/>
      <c r="DU80" s="585"/>
      <c r="DV80" s="585"/>
      <c r="DW80" s="585"/>
      <c r="DX80" s="585"/>
      <c r="DY80" s="585"/>
      <c r="DZ80" s="585"/>
      <c r="EA80" s="585"/>
      <c r="EB80" s="585"/>
      <c r="EC80" s="585"/>
      <c r="ED80" s="585"/>
      <c r="EE80" s="585"/>
      <c r="EF80" s="585"/>
      <c r="EG80" s="585"/>
      <c r="EH80" s="585"/>
      <c r="EI80" s="585"/>
      <c r="EJ80" s="585"/>
      <c r="EK80" s="585"/>
      <c r="EL80" s="585"/>
      <c r="EM80" s="585"/>
      <c r="EN80" s="585"/>
      <c r="EO80" s="585"/>
      <c r="EP80" s="585"/>
      <c r="EQ80" s="585"/>
      <c r="ER80" s="585"/>
      <c r="ES80" s="585"/>
      <c r="ET80" s="585"/>
      <c r="EU80" s="585"/>
      <c r="EV80" s="585"/>
      <c r="EW80" s="585"/>
      <c r="EX80" s="585"/>
      <c r="EY80" s="585"/>
      <c r="EZ80" s="585"/>
      <c r="FA80" s="585"/>
      <c r="FB80" s="585"/>
      <c r="FC80" s="585"/>
      <c r="FD80" s="585"/>
      <c r="FE80" s="585"/>
      <c r="FF80" s="585"/>
      <c r="FG80" s="585"/>
      <c r="FH80" s="585"/>
      <c r="FI80" s="585"/>
      <c r="FJ80" s="585"/>
      <c r="FK80" s="585"/>
      <c r="FL80" s="585"/>
      <c r="FM80" s="585"/>
      <c r="FN80" s="585"/>
      <c r="FO80" s="585"/>
      <c r="FP80" s="585"/>
      <c r="FQ80" s="585"/>
      <c r="FR80" s="585"/>
      <c r="FS80" s="585"/>
      <c r="FT80" s="585"/>
      <c r="FU80" s="585"/>
      <c r="FV80" s="585"/>
      <c r="FW80" s="585"/>
      <c r="FX80" s="585"/>
      <c r="FY80" s="585"/>
      <c r="FZ80" s="585"/>
      <c r="GA80" s="585"/>
      <c r="GB80" s="585"/>
      <c r="GC80" s="585"/>
      <c r="GD80" s="585"/>
      <c r="GE80" s="585"/>
      <c r="GF80" s="585"/>
      <c r="GG80" s="585"/>
      <c r="GH80" s="585"/>
      <c r="GI80" s="585"/>
      <c r="GJ80" s="585"/>
      <c r="GK80" s="585"/>
      <c r="GL80" s="585"/>
      <c r="GM80" s="585"/>
      <c r="GN80" s="585"/>
      <c r="GO80" s="585"/>
      <c r="GP80" s="585"/>
      <c r="GQ80" s="585"/>
      <c r="GR80" s="585"/>
      <c r="GS80" s="585"/>
      <c r="GT80" s="585"/>
      <c r="GU80" s="585"/>
      <c r="GV80" s="585"/>
      <c r="GW80" s="585"/>
      <c r="GX80" s="585"/>
      <c r="GY80" s="585"/>
      <c r="GZ80" s="585"/>
      <c r="HA80" s="585"/>
      <c r="HB80" s="585"/>
      <c r="HC80" s="585"/>
      <c r="HD80" s="585"/>
      <c r="HE80" s="585"/>
      <c r="HF80" s="585"/>
      <c r="HG80" s="585"/>
      <c r="HH80" s="585"/>
      <c r="HI80" s="585"/>
      <c r="HJ80" s="585"/>
      <c r="HK80" s="585"/>
      <c r="HL80" s="585"/>
      <c r="HM80" s="585"/>
      <c r="HN80" s="585"/>
      <c r="HO80" s="585"/>
      <c r="HP80" s="585"/>
      <c r="HQ80" s="585"/>
      <c r="HR80" s="585"/>
      <c r="HS80" s="585"/>
      <c r="HT80" s="585"/>
      <c r="HU80" s="585"/>
      <c r="HV80" s="585"/>
      <c r="HW80" s="585"/>
      <c r="HX80" s="585"/>
      <c r="HY80" s="585"/>
      <c r="HZ80" s="585"/>
      <c r="IA80" s="585"/>
      <c r="IB80" s="585"/>
      <c r="IC80" s="585"/>
      <c r="ID80" s="585"/>
      <c r="IE80" s="585"/>
      <c r="IF80" s="585"/>
      <c r="IG80" s="585"/>
      <c r="IH80" s="585"/>
      <c r="II80" s="585"/>
      <c r="IJ80" s="585"/>
      <c r="IK80" s="585"/>
      <c r="IL80" s="585"/>
      <c r="IM80" s="585"/>
      <c r="IN80" s="585"/>
      <c r="IO80" s="585"/>
      <c r="IP80" s="585"/>
      <c r="IQ80" s="585"/>
      <c r="IR80" s="585"/>
      <c r="IS80" s="585"/>
      <c r="IT80" s="585"/>
      <c r="IU80" s="585"/>
      <c r="IV80" s="585"/>
      <c r="IW80" s="585"/>
      <c r="IX80" s="585"/>
      <c r="IY80" s="585"/>
      <c r="IZ80" s="585"/>
      <c r="JA80" s="585"/>
      <c r="JB80" s="585"/>
      <c r="JC80" s="585"/>
      <c r="JD80" s="585"/>
      <c r="JE80" s="585"/>
      <c r="JF80" s="585"/>
      <c r="JG80" s="585"/>
      <c r="JH80" s="585"/>
      <c r="JI80" s="585"/>
      <c r="JJ80" s="585"/>
      <c r="JK80" s="585"/>
      <c r="JL80" s="585"/>
      <c r="JM80" s="585"/>
      <c r="JN80" s="585"/>
      <c r="JO80" s="585"/>
      <c r="JP80" s="585"/>
      <c r="JQ80" s="585"/>
      <c r="JR80" s="585"/>
      <c r="JS80" s="585"/>
      <c r="JT80" s="587"/>
      <c r="JU80" s="585"/>
      <c r="JV80" s="585"/>
      <c r="JW80" s="585"/>
      <c r="JX80" s="585"/>
      <c r="JY80" s="585"/>
      <c r="JZ80" s="585"/>
      <c r="KA80" s="585"/>
      <c r="KB80" s="585"/>
      <c r="KC80" s="585"/>
      <c r="KD80" s="585"/>
      <c r="KE80" s="585"/>
      <c r="KF80" s="585"/>
      <c r="KG80" s="585"/>
      <c r="KH80" s="585"/>
      <c r="KI80" s="585"/>
      <c r="KJ80" s="585"/>
      <c r="KK80" s="585"/>
      <c r="KL80" s="585"/>
      <c r="KM80" s="585"/>
      <c r="KN80" s="585"/>
      <c r="KO80" s="585"/>
      <c r="KP80" s="585"/>
      <c r="KQ80" s="585"/>
      <c r="KR80" s="585"/>
      <c r="KS80" s="585"/>
      <c r="KT80" s="585"/>
      <c r="KU80" s="585"/>
      <c r="KV80" s="585"/>
      <c r="KW80" s="585"/>
      <c r="KX80" s="585"/>
      <c r="KY80" s="585"/>
      <c r="KZ80" s="585"/>
      <c r="LA80" s="585"/>
      <c r="LB80" s="585"/>
      <c r="LC80" s="585"/>
      <c r="LD80" s="584"/>
      <c r="LE80" s="585"/>
      <c r="LF80" s="585"/>
      <c r="LG80" s="585"/>
      <c r="LH80" s="585"/>
      <c r="LI80" s="585"/>
      <c r="LJ80" s="585"/>
      <c r="LK80" s="585"/>
      <c r="LL80" s="585"/>
      <c r="LM80" s="585"/>
      <c r="LN80" s="585"/>
      <c r="LO80" s="585"/>
      <c r="LP80" s="585"/>
      <c r="LQ80" s="585"/>
      <c r="LR80" s="585"/>
      <c r="LS80" s="585"/>
      <c r="LT80" s="585"/>
      <c r="LU80" s="585"/>
      <c r="LV80" s="585"/>
      <c r="LW80" s="585"/>
      <c r="LX80" s="585"/>
      <c r="LY80" s="585"/>
      <c r="LZ80" s="585"/>
      <c r="MA80" s="585"/>
      <c r="MB80" s="585"/>
    </row>
    <row r="81" spans="2:340">
      <c r="B81" s="582"/>
      <c r="C81" s="583"/>
      <c r="D81" s="584"/>
      <c r="E81" s="584"/>
      <c r="F81" s="585"/>
      <c r="G81" s="587"/>
      <c r="H81" s="587"/>
      <c r="I81" s="587"/>
      <c r="J81" s="585"/>
      <c r="K81" s="585"/>
      <c r="L81" s="585"/>
      <c r="M81" s="585"/>
      <c r="N81" s="585"/>
      <c r="O81" s="585"/>
      <c r="P81" s="585"/>
      <c r="Q81" s="585"/>
      <c r="R81" s="585"/>
      <c r="S81" s="585"/>
      <c r="T81" s="585"/>
      <c r="U81" s="585"/>
      <c r="V81" s="585"/>
      <c r="W81" s="585"/>
      <c r="X81" s="585"/>
      <c r="Y81" s="585"/>
      <c r="Z81" s="585"/>
      <c r="AA81" s="585"/>
      <c r="AB81" s="584"/>
      <c r="AC81" s="585"/>
      <c r="AD81" s="585"/>
      <c r="AE81" s="585"/>
      <c r="AF81" s="585"/>
      <c r="AG81" s="585"/>
      <c r="AH81" s="585"/>
      <c r="AI81" s="585"/>
      <c r="AJ81" s="585"/>
      <c r="AK81" s="585"/>
      <c r="AL81" s="585"/>
      <c r="AM81" s="585"/>
      <c r="AN81" s="585"/>
      <c r="AO81" s="585"/>
      <c r="AP81" s="585"/>
      <c r="AQ81" s="585"/>
      <c r="AR81" s="585"/>
      <c r="AS81" s="585"/>
      <c r="AT81" s="585"/>
      <c r="AU81" s="585"/>
      <c r="AV81" s="585"/>
      <c r="AW81" s="585"/>
      <c r="AX81" s="585"/>
      <c r="AY81" s="585"/>
      <c r="AZ81" s="585"/>
      <c r="BA81" s="585"/>
      <c r="BB81" s="585"/>
      <c r="BC81" s="585"/>
      <c r="BD81" s="585"/>
      <c r="BE81" s="585"/>
      <c r="BF81" s="585"/>
      <c r="BG81" s="585"/>
      <c r="BH81" s="585"/>
      <c r="BI81" s="585"/>
      <c r="BJ81" s="585"/>
      <c r="BK81" s="585"/>
      <c r="BL81" s="585"/>
      <c r="BM81" s="585"/>
      <c r="BN81" s="585"/>
      <c r="BO81" s="585"/>
      <c r="BP81" s="585"/>
      <c r="BQ81" s="585"/>
      <c r="BR81" s="585"/>
      <c r="BS81" s="585"/>
      <c r="BT81" s="585"/>
      <c r="BU81" s="585"/>
      <c r="BV81" s="585"/>
      <c r="BW81" s="585"/>
      <c r="BX81" s="585"/>
      <c r="BY81" s="585"/>
      <c r="BZ81" s="585"/>
      <c r="CA81" s="585"/>
      <c r="CB81" s="585"/>
      <c r="CC81" s="585"/>
      <c r="CD81" s="585"/>
      <c r="CE81" s="585"/>
      <c r="CF81" s="585"/>
      <c r="CG81" s="585"/>
      <c r="CH81" s="585"/>
      <c r="CI81" s="585"/>
      <c r="CJ81" s="585"/>
      <c r="CK81" s="585"/>
      <c r="CL81" s="585"/>
      <c r="CM81" s="585"/>
      <c r="CN81" s="585"/>
      <c r="CO81" s="585"/>
      <c r="CP81" s="585"/>
      <c r="CQ81" s="585"/>
      <c r="CR81" s="585"/>
      <c r="CS81" s="585"/>
      <c r="CT81" s="585"/>
      <c r="CU81" s="585"/>
      <c r="CV81" s="585"/>
      <c r="CW81" s="585"/>
      <c r="CX81" s="585"/>
      <c r="CY81" s="585"/>
      <c r="CZ81" s="585"/>
      <c r="DA81" s="585"/>
      <c r="DB81" s="585"/>
      <c r="DC81" s="585"/>
      <c r="DD81" s="585"/>
      <c r="DE81" s="585"/>
      <c r="DF81" s="585"/>
      <c r="DG81" s="585"/>
      <c r="DH81" s="585"/>
      <c r="DI81" s="585"/>
      <c r="DJ81" s="585"/>
      <c r="DK81" s="585"/>
      <c r="DL81" s="585"/>
      <c r="DM81" s="585"/>
      <c r="DN81" s="585"/>
      <c r="DO81" s="585"/>
      <c r="DP81" s="585"/>
      <c r="DQ81" s="585"/>
      <c r="DR81" s="585"/>
      <c r="DS81" s="585"/>
      <c r="DT81" s="585"/>
      <c r="DU81" s="585"/>
      <c r="DV81" s="585"/>
      <c r="DW81" s="585"/>
      <c r="DX81" s="585"/>
      <c r="DY81" s="585"/>
      <c r="DZ81" s="585"/>
      <c r="EA81" s="585"/>
      <c r="EB81" s="585"/>
      <c r="EC81" s="585"/>
      <c r="ED81" s="585"/>
      <c r="EE81" s="585"/>
      <c r="EF81" s="585"/>
      <c r="EG81" s="585"/>
      <c r="EH81" s="585"/>
      <c r="EI81" s="585"/>
      <c r="EJ81" s="585"/>
      <c r="EK81" s="585"/>
      <c r="EL81" s="585"/>
      <c r="EM81" s="585"/>
      <c r="EN81" s="585"/>
      <c r="EO81" s="585"/>
      <c r="EP81" s="585"/>
      <c r="EQ81" s="585"/>
      <c r="ER81" s="585"/>
      <c r="ES81" s="585"/>
      <c r="ET81" s="585"/>
      <c r="EU81" s="585"/>
      <c r="EV81" s="585"/>
      <c r="EW81" s="585"/>
      <c r="EX81" s="585"/>
      <c r="EY81" s="585"/>
      <c r="EZ81" s="585"/>
      <c r="FA81" s="585"/>
      <c r="FB81" s="585"/>
      <c r="FC81" s="585"/>
      <c r="FD81" s="585"/>
      <c r="FE81" s="585"/>
      <c r="FF81" s="585"/>
      <c r="FG81" s="585"/>
      <c r="FH81" s="585"/>
      <c r="FI81" s="585"/>
      <c r="FJ81" s="585"/>
      <c r="FK81" s="585"/>
      <c r="FL81" s="585"/>
      <c r="FM81" s="585"/>
      <c r="FN81" s="585"/>
      <c r="FO81" s="585"/>
      <c r="FP81" s="585"/>
      <c r="FQ81" s="585"/>
      <c r="FR81" s="585"/>
      <c r="FS81" s="585"/>
      <c r="FT81" s="585"/>
      <c r="FU81" s="585"/>
      <c r="FV81" s="585"/>
      <c r="FW81" s="585"/>
      <c r="FX81" s="585"/>
      <c r="FY81" s="585"/>
      <c r="FZ81" s="585"/>
      <c r="GA81" s="585"/>
      <c r="GB81" s="585"/>
      <c r="GC81" s="585"/>
      <c r="GD81" s="585"/>
      <c r="GE81" s="585"/>
      <c r="GF81" s="585"/>
      <c r="GG81" s="585"/>
      <c r="GH81" s="585"/>
      <c r="GI81" s="585"/>
      <c r="GJ81" s="585"/>
      <c r="GK81" s="585"/>
      <c r="GL81" s="585"/>
      <c r="GM81" s="585"/>
      <c r="GN81" s="585"/>
      <c r="GO81" s="585"/>
      <c r="GP81" s="585"/>
      <c r="GQ81" s="585"/>
      <c r="GR81" s="585"/>
      <c r="GS81" s="585"/>
      <c r="GT81" s="585"/>
      <c r="GU81" s="585"/>
      <c r="GV81" s="585"/>
      <c r="GW81" s="585"/>
      <c r="GX81" s="585"/>
      <c r="GY81" s="585"/>
      <c r="GZ81" s="585"/>
      <c r="HA81" s="585"/>
      <c r="HB81" s="585"/>
      <c r="HC81" s="585"/>
      <c r="HD81" s="585"/>
      <c r="HE81" s="585"/>
      <c r="HF81" s="585"/>
      <c r="HG81" s="585"/>
      <c r="HH81" s="585"/>
      <c r="HI81" s="585"/>
      <c r="HJ81" s="585"/>
      <c r="HK81" s="585"/>
      <c r="HL81" s="585"/>
      <c r="HM81" s="585"/>
      <c r="HN81" s="585"/>
      <c r="HO81" s="585"/>
      <c r="HP81" s="585"/>
      <c r="HQ81" s="585"/>
      <c r="HR81" s="585"/>
      <c r="HS81" s="585"/>
      <c r="HT81" s="585"/>
      <c r="HU81" s="585"/>
      <c r="HV81" s="585"/>
      <c r="HW81" s="585"/>
      <c r="HX81" s="585"/>
      <c r="HY81" s="585"/>
      <c r="HZ81" s="585"/>
      <c r="IA81" s="585"/>
      <c r="IB81" s="585"/>
      <c r="IC81" s="585"/>
      <c r="ID81" s="585"/>
      <c r="IE81" s="585"/>
      <c r="IF81" s="585"/>
      <c r="IG81" s="585"/>
      <c r="IH81" s="585"/>
      <c r="II81" s="585"/>
      <c r="IJ81" s="585"/>
      <c r="IK81" s="585"/>
      <c r="IL81" s="585"/>
      <c r="IM81" s="585"/>
      <c r="IN81" s="585"/>
      <c r="IO81" s="585"/>
      <c r="IP81" s="585"/>
      <c r="IQ81" s="585"/>
      <c r="IR81" s="585"/>
      <c r="IS81" s="585"/>
      <c r="IT81" s="585"/>
      <c r="IU81" s="585"/>
      <c r="IV81" s="585"/>
      <c r="IW81" s="585"/>
      <c r="IX81" s="585"/>
      <c r="IY81" s="585"/>
      <c r="IZ81" s="585"/>
      <c r="JA81" s="585"/>
      <c r="JB81" s="585"/>
      <c r="JC81" s="585"/>
      <c r="JD81" s="585"/>
      <c r="JE81" s="585"/>
      <c r="JF81" s="585"/>
      <c r="JG81" s="585"/>
      <c r="JH81" s="585"/>
      <c r="JI81" s="585"/>
      <c r="JJ81" s="585"/>
      <c r="JK81" s="585"/>
      <c r="JL81" s="585"/>
      <c r="JM81" s="585"/>
      <c r="JN81" s="585"/>
      <c r="JO81" s="585"/>
      <c r="JP81" s="585"/>
      <c r="JQ81" s="585"/>
      <c r="JR81" s="585"/>
      <c r="JS81" s="585"/>
      <c r="JT81" s="587"/>
      <c r="JU81" s="585"/>
      <c r="JV81" s="585"/>
      <c r="JW81" s="585"/>
      <c r="JX81" s="585"/>
      <c r="JY81" s="585"/>
      <c r="JZ81" s="585"/>
      <c r="KA81" s="585"/>
      <c r="KB81" s="585"/>
      <c r="KC81" s="585"/>
      <c r="KD81" s="585"/>
      <c r="KE81" s="585"/>
      <c r="KF81" s="585"/>
      <c r="KG81" s="585"/>
      <c r="KH81" s="585"/>
      <c r="KI81" s="585"/>
      <c r="KJ81" s="585"/>
      <c r="KK81" s="585"/>
      <c r="KL81" s="585"/>
      <c r="KM81" s="585"/>
      <c r="KN81" s="585"/>
      <c r="KO81" s="585"/>
      <c r="KP81" s="585"/>
      <c r="KQ81" s="585"/>
      <c r="KR81" s="585"/>
      <c r="KS81" s="585"/>
      <c r="KT81" s="585"/>
      <c r="KU81" s="585"/>
      <c r="KV81" s="585"/>
      <c r="KW81" s="585"/>
      <c r="KX81" s="585"/>
      <c r="KY81" s="585"/>
      <c r="KZ81" s="585"/>
      <c r="LA81" s="585"/>
      <c r="LB81" s="585"/>
      <c r="LC81" s="585"/>
      <c r="LD81" s="584"/>
      <c r="LE81" s="585"/>
      <c r="LF81" s="585"/>
      <c r="LG81" s="585"/>
      <c r="LH81" s="585"/>
      <c r="LI81" s="585"/>
      <c r="LJ81" s="585"/>
      <c r="LK81" s="585"/>
      <c r="LL81" s="585"/>
      <c r="LM81" s="585"/>
      <c r="LN81" s="585"/>
      <c r="LO81" s="585"/>
      <c r="LP81" s="585"/>
      <c r="LQ81" s="585"/>
      <c r="LR81" s="585"/>
      <c r="LS81" s="585"/>
      <c r="LT81" s="585"/>
      <c r="LU81" s="585"/>
      <c r="LV81" s="585"/>
      <c r="LW81" s="585"/>
      <c r="LX81" s="585"/>
      <c r="LY81" s="585"/>
      <c r="LZ81" s="585"/>
      <c r="MA81" s="585"/>
      <c r="MB81" s="585"/>
    </row>
  </sheetData>
  <autoFilter ref="A7:MB68"/>
  <mergeCells count="24">
    <mergeCell ref="LT3:LV4"/>
    <mergeCell ref="LW3:LZ4"/>
    <mergeCell ref="MA3:MA4"/>
    <mergeCell ref="MB3:MB4"/>
    <mergeCell ref="L4:P4"/>
    <mergeCell ref="Q4:Q5"/>
    <mergeCell ref="R4:R5"/>
    <mergeCell ref="LG4:LO4"/>
    <mergeCell ref="LP4:LP5"/>
    <mergeCell ref="LQ4:LQ5"/>
    <mergeCell ref="Z3:Z4"/>
    <mergeCell ref="AA3:AA4"/>
    <mergeCell ref="LD3:LD5"/>
    <mergeCell ref="LE3:LE5"/>
    <mergeCell ref="LF3:LF5"/>
    <mergeCell ref="LG3:LS3"/>
    <mergeCell ref="LR4:LR5"/>
    <mergeCell ref="LS4:LS5"/>
    <mergeCell ref="E3:E5"/>
    <mergeCell ref="J3:J5"/>
    <mergeCell ref="K3:K5"/>
    <mergeCell ref="L3:R3"/>
    <mergeCell ref="S3:U4"/>
    <mergeCell ref="V3:Y4"/>
  </mergeCells>
  <pageMargins left="0.11811023622047245" right="0.11811023622047245" top="0.35433070866141736" bottom="0.35433070866141736" header="0.31496062992125984" footer="0.31496062992125984"/>
  <pageSetup paperSize="9" scale="43" fitToWidth="2" orientation="landscape" verticalDpi="0" r:id="rId1"/>
  <colBreaks count="1" manualBreakCount="1">
    <brk id="2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11</vt:i4>
      </vt:variant>
    </vt:vector>
  </HeadingPairs>
  <TitlesOfParts>
    <vt:vector size="17" baseType="lpstr">
      <vt:lpstr>БАЗА</vt:lpstr>
      <vt:lpstr> 2024</vt:lpstr>
      <vt:lpstr>НВВ 2022</vt:lpstr>
      <vt:lpstr>ЗДЕСЬ ЗАПОЛНЯЕМ ТАРиОБЪЕМЫ  (2</vt:lpstr>
      <vt:lpstr>ЗДЕСЬ ЗАПОЛНЯЕМ ИСХОДНЫЙ 2024</vt:lpstr>
      <vt:lpstr>СМЕТА 2021-2022</vt:lpstr>
      <vt:lpstr>' 2024'!Заголовки_для_печати</vt:lpstr>
      <vt:lpstr>'ЗДЕСЬ ЗАПОЛНЯЕМ ИСХОДНЫЙ 2024'!Заголовки_для_печати</vt:lpstr>
      <vt:lpstr>'ЗДЕСЬ ЗАПОЛНЯЕМ ТАРиОБЪЕМЫ  (2'!Заголовки_для_печати</vt:lpstr>
      <vt:lpstr>'НВВ 2022'!Заголовки_для_печати</vt:lpstr>
      <vt:lpstr>'СМЕТА 2021-2022'!Заголовки_для_печати</vt:lpstr>
      <vt:lpstr>' 2024'!Область_печати</vt:lpstr>
      <vt:lpstr>'ЗДЕСЬ ЗАПОЛНЯЕМ ИСХОДНЫЙ 2024'!Область_печати</vt:lpstr>
      <vt:lpstr>'ЗДЕСЬ ЗАПОЛНЯЕМ ТАРиОБЪЕМЫ  (2'!Область_печати</vt:lpstr>
      <vt:lpstr>'НВВ 2022'!Область_печати</vt:lpstr>
      <vt:lpstr>'СМЕТА 2021-2022'!СПИСОК_СТОЛБЦОВ_2</vt:lpstr>
      <vt:lpstr>СПИСОК_СТОЛБЦОВ_2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teplo1</cp:lastModifiedBy>
  <cp:lastPrinted>2023-07-10T08:45:29Z</cp:lastPrinted>
  <dcterms:created xsi:type="dcterms:W3CDTF">2015-09-24T13:26:40Z</dcterms:created>
  <dcterms:modified xsi:type="dcterms:W3CDTF">2024-01-10T09:15:22Z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Version">
    <vt:lpwstr>1.0</vt:lpwstr>
  </property>
</Properties>
</file>